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4055" tabRatio="899" firstSheet="9"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机械车位" sheetId="80" state="hidden" r:id="rId23"/>
    <sheet name="收益法-车库" sheetId="79" r:id="rId24"/>
    <sheet name="收益法-仓储" sheetId="78" r:id="rId25"/>
    <sheet name="收益法-住宅"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81" r:id="rId49"/>
    <sheet name="Sheet1" sheetId="82" r:id="rId50"/>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'收益法-车库'!$A$1:$F$43,'收益法-车库'!$H$3:$M$29,'收益法-车库'!$A$46:$F$71,'收益法-车库'!$I$46:$N$65</definedName>
    <definedName name="_xlnm.Print_Area" localSheetId="22">'收益法-机械车位'!$A$1:$F$43,'收益法-机械车位'!$H$3:$M$29,'收益法-机械车位'!$A$46:$F$71,'收益法-机械车位'!$I$46:$N$65</definedName>
    <definedName name="_xlnm.Print_Area" localSheetId="25">'收益法-住宅'!$A$1:$F$43,'收益法-住宅'!$H$3:$M$29,'收益法-住宅'!$A$46:$F$71,'收益法-住宅'!$I$46:$N$65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1" i="82" l="1"/>
  <c r="I20" i="82"/>
  <c r="I5" i="82"/>
  <c r="H5" i="82" s="1"/>
  <c r="M5" i="82"/>
  <c r="O21" i="82"/>
  <c r="N21" i="82"/>
  <c r="K21" i="82"/>
  <c r="J21" i="82"/>
  <c r="M20" i="82"/>
  <c r="M19" i="82"/>
  <c r="M18" i="82"/>
  <c r="I18" i="82"/>
  <c r="H18" i="82" s="1"/>
  <c r="M17" i="82"/>
  <c r="I17" i="82"/>
  <c r="H17" i="82" s="1"/>
  <c r="M16" i="82"/>
  <c r="I16" i="82"/>
  <c r="H16" i="82" s="1"/>
  <c r="M15" i="82"/>
  <c r="I15" i="82"/>
  <c r="H15" i="82" s="1"/>
  <c r="M14" i="82"/>
  <c r="I14" i="82"/>
  <c r="H14" i="82" s="1"/>
  <c r="M13" i="82"/>
  <c r="I13" i="82"/>
  <c r="H13" i="82" s="1"/>
  <c r="M12" i="82"/>
  <c r="I12" i="82"/>
  <c r="H12" i="82" s="1"/>
  <c r="M11" i="82"/>
  <c r="I11" i="82"/>
  <c r="H11" i="82" s="1"/>
  <c r="M10" i="82"/>
  <c r="I10" i="82"/>
  <c r="H10" i="82" s="1"/>
  <c r="M9" i="82"/>
  <c r="I9" i="82"/>
  <c r="H9" i="82" s="1"/>
  <c r="M8" i="82"/>
  <c r="I8" i="82"/>
  <c r="H8" i="82" s="1"/>
  <c r="M7" i="82"/>
  <c r="I7" i="82"/>
  <c r="H7" i="82" s="1"/>
  <c r="M6" i="82"/>
  <c r="I6" i="82"/>
  <c r="H6" i="82" s="1"/>
  <c r="M21" i="82"/>
  <c r="G5" i="77"/>
  <c r="M30" i="3"/>
  <c r="K22" i="77"/>
  <c r="L22" i="77"/>
  <c r="H20" i="82" l="1"/>
  <c r="H21" i="82" s="1"/>
  <c r="L21" i="82"/>
  <c r="AN30" i="3"/>
  <c r="AF23" i="3"/>
  <c r="AT30" i="3"/>
  <c r="AT28" i="3"/>
  <c r="AT29" i="3"/>
  <c r="AT27" i="3"/>
  <c r="K14" i="3"/>
  <c r="K15" i="3"/>
  <c r="K16" i="3"/>
  <c r="K17" i="3"/>
  <c r="K18" i="3"/>
  <c r="K19" i="3"/>
  <c r="K20" i="3"/>
  <c r="K21" i="3"/>
  <c r="K22" i="3"/>
  <c r="K23" i="3"/>
  <c r="K24" i="3"/>
  <c r="K25" i="3"/>
  <c r="K26" i="3"/>
  <c r="K13" i="3"/>
  <c r="I14" i="3"/>
  <c r="I15" i="3"/>
  <c r="I16" i="3"/>
  <c r="I17" i="3"/>
  <c r="I18" i="3"/>
  <c r="I19" i="3"/>
  <c r="I20" i="3"/>
  <c r="I21" i="3"/>
  <c r="I22" i="3"/>
  <c r="I23" i="3"/>
  <c r="I24" i="3"/>
  <c r="I25" i="3"/>
  <c r="I26" i="3"/>
  <c r="I13" i="3"/>
  <c r="L19" i="77" l="1"/>
  <c r="G19" i="77" s="1"/>
  <c r="L20" i="77"/>
  <c r="L21" i="77"/>
  <c r="H19" i="77"/>
  <c r="H20" i="77"/>
  <c r="H21" i="77"/>
  <c r="H22" i="77"/>
  <c r="G20" i="77" l="1"/>
  <c r="G21" i="77"/>
  <c r="AH8" i="1"/>
  <c r="AL8" i="1" l="1"/>
  <c r="AL7" i="1"/>
  <c r="N14" i="1"/>
  <c r="A3" i="3" l="1"/>
  <c r="E71" i="39" l="1"/>
  <c r="F71" i="39" s="1"/>
  <c r="G71" i="39" s="1"/>
  <c r="H71" i="39" s="1"/>
  <c r="I71" i="39" s="1"/>
  <c r="J71" i="39" s="1"/>
  <c r="K71" i="39" s="1"/>
  <c r="L71" i="39" s="1"/>
  <c r="M71" i="39" s="1"/>
  <c r="N71" i="39" s="1"/>
  <c r="O71" i="39" s="1"/>
  <c r="D71" i="39"/>
  <c r="I38" i="39"/>
  <c r="G38" i="39"/>
  <c r="E38" i="39"/>
  <c r="I46" i="39"/>
  <c r="G46" i="39"/>
  <c r="E46" i="39"/>
  <c r="I7" i="39"/>
  <c r="G7" i="39"/>
  <c r="E7" i="39"/>
  <c r="I5" i="39"/>
  <c r="G5" i="39"/>
  <c r="E5" i="39"/>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B55" i="1"/>
  <c r="B56" i="1"/>
  <c r="B57" i="1"/>
  <c r="B58" i="1"/>
  <c r="B59" i="1"/>
  <c r="B54" i="1"/>
  <c r="N8" i="1"/>
  <c r="N7" i="1"/>
  <c r="L14" i="1"/>
  <c r="L6" i="77"/>
  <c r="L7" i="77"/>
  <c r="L8" i="77"/>
  <c r="L9" i="77"/>
  <c r="L10" i="77"/>
  <c r="L11" i="77"/>
  <c r="L12" i="77"/>
  <c r="L13" i="77"/>
  <c r="L14" i="77"/>
  <c r="L15" i="77"/>
  <c r="L16" i="77"/>
  <c r="L17" i="77"/>
  <c r="L18" i="77"/>
  <c r="G22" i="77"/>
  <c r="L5" i="77"/>
  <c r="C38" i="39"/>
  <c r="Q23" i="77"/>
  <c r="P23" i="77"/>
  <c r="O23" i="77"/>
  <c r="N23" i="77"/>
  <c r="M23" i="77"/>
  <c r="K23" i="77"/>
  <c r="J23" i="77"/>
  <c r="I23" i="77"/>
  <c r="H18" i="77"/>
  <c r="G18" i="77" s="1"/>
  <c r="H17" i="77"/>
  <c r="G17" i="77" s="1"/>
  <c r="H16" i="77"/>
  <c r="G16" i="77" s="1"/>
  <c r="H15" i="77"/>
  <c r="G15" i="77" s="1"/>
  <c r="H14" i="77"/>
  <c r="G14" i="77" s="1"/>
  <c r="H13" i="77"/>
  <c r="G13" i="77" s="1"/>
  <c r="H12" i="77"/>
  <c r="G12" i="77" s="1"/>
  <c r="H11" i="77"/>
  <c r="G11" i="77" s="1"/>
  <c r="H10" i="77"/>
  <c r="G10" i="77" s="1"/>
  <c r="H9" i="77"/>
  <c r="G9" i="77" s="1"/>
  <c r="H8" i="77"/>
  <c r="G8" i="77" s="1"/>
  <c r="H7" i="77"/>
  <c r="G7" i="77" s="1"/>
  <c r="H6" i="77"/>
  <c r="G6" i="77" s="1"/>
  <c r="H5" i="77"/>
  <c r="C76" i="79"/>
  <c r="C76" i="78"/>
  <c r="L23" i="77" l="1"/>
  <c r="G23" i="77"/>
  <c r="D24" i="80"/>
  <c r="P61" i="80"/>
  <c r="D22" i="80"/>
  <c r="Q71" i="79"/>
  <c r="D24" i="79"/>
  <c r="P61" i="79"/>
  <c r="D22" i="79"/>
  <c r="Q71" i="78"/>
  <c r="D24" i="78"/>
  <c r="P61" i="78"/>
  <c r="D22" i="78"/>
  <c r="H23" i="77"/>
  <c r="F37" i="79"/>
  <c r="F36" i="79"/>
  <c r="M23" i="79"/>
  <c r="M28" i="79"/>
  <c r="J15" i="78"/>
  <c r="M9" i="79"/>
  <c r="J15" i="79"/>
  <c r="F42" i="79"/>
  <c r="F37" i="78"/>
  <c r="M24" i="78"/>
  <c r="F36" i="78"/>
  <c r="M22" i="79"/>
  <c r="F6" i="79"/>
  <c r="F7" i="79"/>
  <c r="F6" i="78"/>
  <c r="F38" i="78"/>
  <c r="F16" i="79"/>
  <c r="M6" i="78"/>
  <c r="F8" i="78"/>
  <c r="M22" i="78"/>
  <c r="L47" i="78"/>
  <c r="F13" i="79"/>
  <c r="F40" i="79"/>
  <c r="M6" i="79"/>
  <c r="F8" i="79"/>
  <c r="M27" i="78"/>
  <c r="M9" i="78"/>
  <c r="F42" i="78"/>
  <c r="M27" i="79"/>
  <c r="M23" i="78"/>
  <c r="F26" i="79"/>
  <c r="F9" i="78"/>
  <c r="M26" i="78"/>
  <c r="F38" i="79"/>
  <c r="M26" i="79"/>
  <c r="L47" i="79"/>
  <c r="M8" i="78"/>
  <c r="F40" i="78"/>
  <c r="F16" i="78"/>
  <c r="M24" i="79"/>
  <c r="M8" i="79"/>
  <c r="F9" i="79"/>
  <c r="M28" i="78"/>
  <c r="F26" i="78"/>
  <c r="F13" i="78"/>
  <c r="F50" i="79" l="1"/>
  <c r="M7" i="79"/>
  <c r="J6" i="79" s="1"/>
  <c r="F66" i="79"/>
  <c r="F64" i="79"/>
  <c r="C6" i="79"/>
  <c r="F68" i="79"/>
  <c r="F51" i="79"/>
  <c r="F65" i="79"/>
  <c r="C27" i="79"/>
  <c r="F66" i="78"/>
  <c r="F64" i="78"/>
  <c r="F68" i="78"/>
  <c r="F51" i="78"/>
  <c r="F65" i="78"/>
  <c r="C27" i="78"/>
  <c r="B7" i="4"/>
  <c r="C49" i="79" l="1"/>
  <c r="D3" i="4"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G1" i="80" s="1"/>
  <c r="A10" i="1"/>
  <c r="A11" i="1"/>
  <c r="A12" i="1"/>
  <c r="A13" i="1"/>
  <c r="A6" i="1"/>
  <c r="F3" i="35"/>
  <c r="B11" i="1"/>
  <c r="E11"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AZ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c r="A19" i="51" s="1"/>
  <c r="B14" i="72"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c r="Q13" i="39"/>
  <c r="Z13" i="39" s="1"/>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c r="AC37" i="39"/>
  <c r="W37" i="39"/>
  <c r="AB34" i="39"/>
  <c r="W14" i="39"/>
  <c r="W9" i="39"/>
  <c r="W8" i="39"/>
  <c r="J19" i="40"/>
  <c r="AC19" i="40"/>
  <c r="J50" i="40"/>
  <c r="H103" i="9"/>
  <c r="D8" i="53" s="1"/>
  <c r="B16" i="53"/>
  <c r="B33" i="72" s="1"/>
  <c r="C7" i="37"/>
  <c r="C7" i="34"/>
  <c r="C7" i="36"/>
  <c r="W35" i="40"/>
  <c r="A118" i="9"/>
  <c r="A4" i="52"/>
  <c r="B41"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AZ506" i="3"/>
  <c r="AZ496" i="3"/>
  <c r="G548" i="3"/>
  <c r="G538" i="3"/>
  <c r="G520" i="3"/>
  <c r="G502" i="3"/>
  <c r="BS5" i="3"/>
  <c r="AZ343" i="3"/>
  <c r="BK5" i="3"/>
  <c r="BI5" i="3"/>
  <c r="BG5" i="3"/>
  <c r="BE5" i="3"/>
  <c r="BA17"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F48" i="43"/>
  <c r="H52" i="43" s="1"/>
  <c r="F70" i="43"/>
  <c r="H73" i="43" s="1"/>
  <c r="M11" i="43"/>
  <c r="F39" i="43"/>
  <c r="F35"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AC21" i="39" s="1"/>
  <c r="F21" i="39"/>
  <c r="AA21" i="39" s="1"/>
  <c r="H21" i="39"/>
  <c r="AB21" i="39" s="1"/>
  <c r="U19" i="39"/>
  <c r="S9"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BL13" i="3"/>
  <c r="J56" i="9"/>
  <c r="J57" i="9" s="1"/>
  <c r="J59" i="9" s="1"/>
  <c r="J61" i="9" s="1"/>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78" i="43"/>
  <c r="C17" i="43"/>
  <c r="K17" i="43"/>
  <c r="N6" i="43"/>
  <c r="N3"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F63" i="40" s="1"/>
  <c r="M47" i="9"/>
  <c r="G19" i="43"/>
  <c r="O19" i="43" s="1"/>
  <c r="C19" i="43" s="1"/>
  <c r="T35" i="4"/>
  <c r="C46" i="36"/>
  <c r="C59" i="34"/>
  <c r="D59" i="34" s="1"/>
  <c r="E59" i="34" s="1"/>
  <c r="C52" i="37"/>
  <c r="A4" i="51"/>
  <c r="B6" i="72" s="1"/>
  <c r="C48" i="35"/>
  <c r="H65" i="43"/>
  <c r="H63" i="43"/>
  <c r="H56" i="43"/>
  <c r="L20" i="6"/>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S14" i="39"/>
  <c r="AA14" i="39"/>
  <c r="U43" i="39"/>
  <c r="AB43" i="39"/>
  <c r="S27" i="39"/>
  <c r="W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51" i="43"/>
  <c r="H59" i="43"/>
  <c r="H61" i="43"/>
  <c r="M4" i="43"/>
  <c r="M5" i="43"/>
  <c r="N12" i="43"/>
  <c r="N11" i="43"/>
  <c r="M10" i="43"/>
  <c r="M2" i="43"/>
  <c r="M7" i="43"/>
  <c r="H70" i="43"/>
  <c r="N9" i="43"/>
  <c r="M8" i="43"/>
  <c r="N10" i="43"/>
  <c r="H74" i="43"/>
  <c r="M6" i="43"/>
  <c r="N7" i="43"/>
  <c r="N4" i="43"/>
  <c r="N2" i="43"/>
  <c r="N17" i="43"/>
  <c r="O17" i="43"/>
  <c r="E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V12" i="71"/>
  <c r="C12" i="71"/>
  <c r="D13" i="71"/>
  <c r="E65" i="40"/>
  <c r="E41" i="43"/>
  <c r="C41" i="43"/>
  <c r="D10" i="71"/>
  <c r="T12" i="71"/>
  <c r="D11" i="71"/>
  <c r="D12" i="71"/>
  <c r="U12" i="71"/>
  <c r="F7" i="80"/>
  <c r="M23" i="80"/>
  <c r="F42" i="80"/>
  <c r="M26" i="80"/>
  <c r="F26" i="80"/>
  <c r="M28" i="80"/>
  <c r="F37" i="67"/>
  <c r="L48" i="15"/>
  <c r="F42" i="67"/>
  <c r="C76" i="15"/>
  <c r="J15" i="67"/>
  <c r="M24" i="15"/>
  <c r="D2" i="21"/>
  <c r="E10" i="76"/>
  <c r="B12" i="76"/>
  <c r="L47" i="15"/>
  <c r="D2" i="37"/>
  <c r="AO10" i="1"/>
  <c r="M26" i="67"/>
  <c r="E11" i="76"/>
  <c r="M8" i="67"/>
  <c r="F16" i="15"/>
  <c r="B8" i="76"/>
  <c r="F38" i="15"/>
  <c r="F40" i="67"/>
  <c r="E2" i="68"/>
  <c r="F26" i="15"/>
  <c r="F40" i="80"/>
  <c r="F9" i="80"/>
  <c r="M24" i="80"/>
  <c r="L47" i="80"/>
  <c r="M22" i="80"/>
  <c r="F37" i="80"/>
  <c r="D2" i="33"/>
  <c r="M23" i="67"/>
  <c r="M27" i="67"/>
  <c r="AO11" i="1"/>
  <c r="F8" i="15"/>
  <c r="F6" i="67"/>
  <c r="AO12" i="1"/>
  <c r="F37" i="15"/>
  <c r="D4" i="73"/>
  <c r="M28" i="67"/>
  <c r="M27" i="15"/>
  <c r="F36" i="15"/>
  <c r="D5" i="73"/>
  <c r="F36" i="67"/>
  <c r="F26" i="67"/>
  <c r="B13" i="76"/>
  <c r="L48" i="79"/>
  <c r="F6" i="15"/>
  <c r="J15" i="15"/>
  <c r="B9" i="76"/>
  <c r="M8" i="15"/>
  <c r="M26" i="15"/>
  <c r="F38" i="80"/>
  <c r="M9" i="80"/>
  <c r="F36" i="80"/>
  <c r="F6" i="80"/>
  <c r="F8" i="80"/>
  <c r="C76" i="80"/>
  <c r="L48" i="78"/>
  <c r="B10" i="76"/>
  <c r="F9" i="15"/>
  <c r="M24" i="67"/>
  <c r="E7" i="76"/>
  <c r="B7" i="76"/>
  <c r="F8" i="67"/>
  <c r="E2" i="69"/>
  <c r="D7" i="73"/>
  <c r="M9" i="15"/>
  <c r="F5" i="73"/>
  <c r="M6" i="15"/>
  <c r="M22" i="15"/>
  <c r="F3" i="73"/>
  <c r="F40" i="15"/>
  <c r="M6" i="67"/>
  <c r="E9" i="76"/>
  <c r="F38" i="67"/>
  <c r="AO13" i="1"/>
  <c r="D2" i="34"/>
  <c r="F4" i="73"/>
  <c r="M6" i="80"/>
  <c r="M8" i="80"/>
  <c r="F13" i="80"/>
  <c r="F16" i="80"/>
  <c r="M27" i="80"/>
  <c r="J15" i="80"/>
  <c r="F13" i="15"/>
  <c r="F16" i="67"/>
  <c r="E8" i="76"/>
  <c r="M28" i="15"/>
  <c r="B11" i="76"/>
  <c r="F20" i="31"/>
  <c r="D3" i="73"/>
  <c r="L47" i="67"/>
  <c r="E13" i="76"/>
  <c r="F9" i="67"/>
  <c r="D6" i="73"/>
  <c r="C76" i="67"/>
  <c r="D2" i="35"/>
  <c r="D2" i="36"/>
  <c r="E12" i="76"/>
  <c r="F6" i="73"/>
  <c r="F7" i="73"/>
  <c r="M9" i="67"/>
  <c r="F13" i="67"/>
  <c r="M22" i="67"/>
  <c r="M23" i="15"/>
  <c r="F42" i="15"/>
  <c r="G63" i="40" l="1"/>
  <c r="F65" i="40"/>
  <c r="C65" i="40"/>
  <c r="G28" i="3"/>
  <c r="BB5" i="3"/>
  <c r="E8" i="6" s="1"/>
  <c r="G21" i="6"/>
  <c r="E21" i="6" s="1"/>
  <c r="U38" i="39"/>
  <c r="BL30" i="3"/>
  <c r="BL34" i="3"/>
  <c r="AZ34" i="3" s="1"/>
  <c r="G22" i="3"/>
  <c r="G24" i="3"/>
  <c r="G26" i="3"/>
  <c r="G21" i="3"/>
  <c r="G25" i="3"/>
  <c r="BA27" i="3"/>
  <c r="BA15" i="3"/>
  <c r="BL28" i="3"/>
  <c r="AZ28" i="3" s="1"/>
  <c r="AZ30" i="3"/>
  <c r="BC5" i="3"/>
  <c r="T12" i="1"/>
  <c r="I4" i="6"/>
  <c r="G3" i="43" s="1"/>
  <c r="B113" i="43" s="1"/>
  <c r="BA25" i="3"/>
  <c r="G23" i="3"/>
  <c r="BA22" i="3"/>
  <c r="BA20" i="3"/>
  <c r="T10" i="1"/>
  <c r="AR12" i="1"/>
  <c r="F97" i="39"/>
  <c r="G97" i="39" s="1"/>
  <c r="S13" i="39"/>
  <c r="Q71" i="80"/>
  <c r="F65" i="80"/>
  <c r="F51" i="80"/>
  <c r="C27" i="80"/>
  <c r="C6" i="80"/>
  <c r="C32" i="80" s="1"/>
  <c r="F64" i="80"/>
  <c r="F66" i="80"/>
  <c r="F50" i="80"/>
  <c r="M7" i="80"/>
  <c r="J6" i="80" s="1"/>
  <c r="J18" i="80" s="1"/>
  <c r="F68" i="80"/>
  <c r="G27" i="3"/>
  <c r="BN5" i="3"/>
  <c r="G20" i="3"/>
  <c r="G27" i="6"/>
  <c r="H5" i="3"/>
  <c r="BA21" i="3"/>
  <c r="BA23" i="3"/>
  <c r="BA24" i="3"/>
  <c r="BA26" i="3"/>
  <c r="G13" i="3"/>
  <c r="BL21" i="3"/>
  <c r="BL23" i="3"/>
  <c r="BL20" i="3"/>
  <c r="BL24" i="3"/>
  <c r="AZ24" i="3" s="1"/>
  <c r="K7" i="1"/>
  <c r="M7" i="1" s="1"/>
  <c r="D7" i="12"/>
  <c r="C7" i="12"/>
  <c r="E32" i="6"/>
  <c r="K6" i="1"/>
  <c r="F7" i="12"/>
  <c r="K9" i="1"/>
  <c r="AZ13" i="3"/>
  <c r="G14" i="3"/>
  <c r="L58" i="79"/>
  <c r="L58" i="78"/>
  <c r="G65" i="40"/>
  <c r="H63" i="40"/>
  <c r="D68" i="39"/>
  <c r="C70" i="39"/>
  <c r="G8" i="1"/>
  <c r="F9" i="1"/>
  <c r="J51" i="15"/>
  <c r="C77" i="9"/>
  <c r="C74" i="9" s="1"/>
  <c r="C28" i="78"/>
  <c r="C28" i="80"/>
  <c r="C28" i="79"/>
  <c r="J18" i="79"/>
  <c r="C32" i="79"/>
  <c r="C33" i="79"/>
  <c r="G7" i="1"/>
  <c r="J51" i="79"/>
  <c r="J51" i="78"/>
  <c r="J51" i="80"/>
  <c r="W31" i="39"/>
  <c r="W29" i="39"/>
  <c r="U29" i="39"/>
  <c r="F99" i="39"/>
  <c r="G99" i="39" s="1"/>
  <c r="J25" i="39"/>
  <c r="H25" i="39"/>
  <c r="F25" i="39"/>
  <c r="AC23" i="39"/>
  <c r="W23" i="39"/>
  <c r="F89" i="39"/>
  <c r="G89" i="39" s="1"/>
  <c r="H15" i="39"/>
  <c r="F15" i="39"/>
  <c r="J15" i="39"/>
  <c r="J32" i="39"/>
  <c r="AC32" i="39" s="1"/>
  <c r="H107" i="39"/>
  <c r="I107" i="39" s="1"/>
  <c r="J107" i="39" s="1"/>
  <c r="K107" i="39" s="1"/>
  <c r="L107" i="39" s="1"/>
  <c r="M107" i="39" s="1"/>
  <c r="H32" i="39"/>
  <c r="U32" i="39" s="1"/>
  <c r="F32" i="39"/>
  <c r="S42" i="39"/>
  <c r="S29" i="39"/>
  <c r="W27" i="39"/>
  <c r="U21" i="39"/>
  <c r="S17" i="39"/>
  <c r="W19" i="39"/>
  <c r="S19" i="39"/>
  <c r="U17" i="39"/>
  <c r="I81" i="39"/>
  <c r="J81" i="39" s="1"/>
  <c r="K81" i="39" s="1"/>
  <c r="L81" i="39" s="1"/>
  <c r="M81" i="39" s="1"/>
  <c r="AA12" i="39"/>
  <c r="AB13" i="39"/>
  <c r="U14" i="39"/>
  <c r="F124" i="39"/>
  <c r="G124" i="39" s="1"/>
  <c r="H124" i="39" s="1"/>
  <c r="I124" i="39" s="1"/>
  <c r="J124" i="39" s="1"/>
  <c r="K124" i="39" s="1"/>
  <c r="L124" i="39" s="1"/>
  <c r="M124" i="39" s="1"/>
  <c r="F41" i="39"/>
  <c r="S41" i="39" s="1"/>
  <c r="H41" i="39"/>
  <c r="AA41" i="39"/>
  <c r="U40" i="39"/>
  <c r="AB32" i="39"/>
  <c r="P61" i="15"/>
  <c r="F54" i="9"/>
  <c r="F28" i="15"/>
  <c r="C28" i="15" s="1"/>
  <c r="C24" i="12"/>
  <c r="F31" i="12"/>
  <c r="M18" i="67"/>
  <c r="F30" i="68"/>
  <c r="F48" i="68" s="1"/>
  <c r="C94" i="9"/>
  <c r="C92" i="9"/>
  <c r="F48" i="9"/>
  <c r="O52" i="9" s="1"/>
  <c r="C30" i="68"/>
  <c r="D68" i="9"/>
  <c r="M18" i="15"/>
  <c r="F32" i="15"/>
  <c r="F60" i="15" s="1"/>
  <c r="F30" i="69"/>
  <c r="F32" i="67"/>
  <c r="F60" i="67" s="1"/>
  <c r="F52" i="9"/>
  <c r="F28" i="67"/>
  <c r="C28" i="67" s="1"/>
  <c r="F30" i="11"/>
  <c r="C21" i="68"/>
  <c r="C40" i="69"/>
  <c r="C21" i="69"/>
  <c r="D23" i="67"/>
  <c r="BL22" i="3"/>
  <c r="AZ22" i="3" s="1"/>
  <c r="BL25" i="3"/>
  <c r="BL27" i="3"/>
  <c r="BL29" i="3"/>
  <c r="AZ29" i="3" s="1"/>
  <c r="BL31" i="3"/>
  <c r="AZ31" i="3" s="1"/>
  <c r="BL33" i="3"/>
  <c r="AZ33" i="3" s="1"/>
  <c r="BL36" i="3"/>
  <c r="AZ36" i="3" s="1"/>
  <c r="BL38" i="3"/>
  <c r="AZ38" i="3" s="1"/>
  <c r="BL26" i="3"/>
  <c r="AZ26" i="3" s="1"/>
  <c r="BL37" i="3"/>
  <c r="AZ37" i="3" s="1"/>
  <c r="BL39" i="3"/>
  <c r="AZ39" i="3" s="1"/>
  <c r="BL18" i="3"/>
  <c r="BL19" i="3"/>
  <c r="BL15" i="3"/>
  <c r="AZ15" i="3" s="1"/>
  <c r="G19" i="3"/>
  <c r="AC5" i="3"/>
  <c r="BL17" i="3"/>
  <c r="AZ17" i="3" s="1"/>
  <c r="G17" i="3"/>
  <c r="G18" i="3"/>
  <c r="T11" i="1"/>
  <c r="AQ13" i="1"/>
  <c r="AR10" i="1"/>
  <c r="BA19" i="3"/>
  <c r="AZ19" i="3" s="1"/>
  <c r="BA18" i="3"/>
  <c r="T13" i="1"/>
  <c r="AR11" i="1"/>
  <c r="BA5" i="3"/>
  <c r="O10" i="1"/>
  <c r="P10" i="1" s="1"/>
  <c r="BH5" i="3"/>
  <c r="BD5" i="3"/>
  <c r="M13" i="1"/>
  <c r="O13" i="1" s="1"/>
  <c r="P13" i="1" s="1"/>
  <c r="BP5" i="3"/>
  <c r="BL16" i="3"/>
  <c r="AZ16" i="3" s="1"/>
  <c r="BO5" i="3"/>
  <c r="F29" i="6" s="1"/>
  <c r="BL14" i="3"/>
  <c r="BT5" i="3"/>
  <c r="BR5" i="3"/>
  <c r="BQ5" i="3"/>
  <c r="F28" i="6" s="1"/>
  <c r="O11" i="1"/>
  <c r="P11" i="1" s="1"/>
  <c r="M17" i="43"/>
  <c r="L17" i="43"/>
  <c r="H49" i="43"/>
  <c r="H48" i="43"/>
  <c r="H54" i="43"/>
  <c r="H60" i="43"/>
  <c r="H67" i="43"/>
  <c r="H76" i="43"/>
  <c r="H72" i="43"/>
  <c r="H55" i="43"/>
  <c r="H64" i="43"/>
  <c r="H66" i="43"/>
  <c r="F38" i="43"/>
  <c r="C6" i="43"/>
  <c r="F34" i="43"/>
  <c r="F33" i="43"/>
  <c r="H71" i="43"/>
  <c r="H53" i="43"/>
  <c r="H17" i="43"/>
  <c r="H75" i="43"/>
  <c r="J17" i="43"/>
  <c r="I17" i="43"/>
  <c r="D17" i="43"/>
  <c r="H113" i="43"/>
  <c r="D12" i="52"/>
  <c r="D127" i="9"/>
  <c r="D13" i="52" s="1"/>
  <c r="F59" i="34"/>
  <c r="G59" i="34" s="1"/>
  <c r="H59" i="34" s="1"/>
  <c r="I59" i="34" s="1"/>
  <c r="J59" i="34" s="1"/>
  <c r="K59" i="34" s="1"/>
  <c r="L59" i="34" s="1"/>
  <c r="M59" i="34" s="1"/>
  <c r="N59" i="34" s="1"/>
  <c r="O59" i="34" s="1"/>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F3" i="71"/>
  <c r="P22" i="43" s="1"/>
  <c r="B10" i="70"/>
  <c r="Q71" i="15"/>
  <c r="J57" i="15"/>
  <c r="J55" i="15" s="1"/>
  <c r="J58" i="15" s="1"/>
  <c r="Q50" i="15" s="1"/>
  <c r="I54" i="15"/>
  <c r="K1" i="73"/>
  <c r="B20" i="31"/>
  <c r="B21" i="31" s="1"/>
  <c r="I1" i="73"/>
  <c r="B39" i="1" s="1"/>
  <c r="F51" i="67"/>
  <c r="F65" i="67"/>
  <c r="B12" i="70"/>
  <c r="F51" i="15"/>
  <c r="E20" i="43"/>
  <c r="F66" i="67"/>
  <c r="B11" i="70"/>
  <c r="N59" i="15"/>
  <c r="L58" i="15"/>
  <c r="F66" i="15"/>
  <c r="Q71" i="67"/>
  <c r="F64" i="15"/>
  <c r="F70" i="67"/>
  <c r="C27" i="67"/>
  <c r="C27" i="15"/>
  <c r="F65" i="15"/>
  <c r="N59" i="67"/>
  <c r="L59" i="67"/>
  <c r="B13" i="70"/>
  <c r="F68" i="67"/>
  <c r="F64" i="67"/>
  <c r="F68" i="15"/>
  <c r="F7" i="67"/>
  <c r="F43" i="78"/>
  <c r="M29" i="78"/>
  <c r="M29" i="80"/>
  <c r="L48" i="67"/>
  <c r="F43" i="80"/>
  <c r="F7" i="15"/>
  <c r="M29" i="67"/>
  <c r="L48" i="80"/>
  <c r="C16" i="78"/>
  <c r="F43" i="15"/>
  <c r="F43" i="67"/>
  <c r="F7" i="78"/>
  <c r="M29" i="15"/>
  <c r="G1" i="73"/>
  <c r="F7" i="34" l="1"/>
  <c r="Z7" i="43"/>
  <c r="BL5" i="3"/>
  <c r="E5" i="6"/>
  <c r="E56" i="39"/>
  <c r="E51" i="40"/>
  <c r="F27" i="6"/>
  <c r="K101" i="43"/>
  <c r="K103" i="43" s="1"/>
  <c r="I101" i="43"/>
  <c r="I104" i="43" s="1"/>
  <c r="D9" i="69"/>
  <c r="C9" i="69" s="1"/>
  <c r="AZ27" i="3"/>
  <c r="K8" i="1"/>
  <c r="H16" i="1" s="1"/>
  <c r="E7" i="12"/>
  <c r="L101" i="43"/>
  <c r="L109" i="43" s="1"/>
  <c r="AC11" i="43"/>
  <c r="AC13" i="43" s="1"/>
  <c r="AF11" i="43"/>
  <c r="AF13" i="43" s="1"/>
  <c r="J101" i="43"/>
  <c r="J103" i="43" s="1"/>
  <c r="G22" i="43"/>
  <c r="N101" i="43"/>
  <c r="N103" i="43" s="1"/>
  <c r="Y11" i="43"/>
  <c r="Y13" i="43" s="1"/>
  <c r="AG11" i="43"/>
  <c r="AG13" i="43" s="1"/>
  <c r="AB11" i="43"/>
  <c r="AB13" i="43" s="1"/>
  <c r="AJ11" i="43"/>
  <c r="AJ13" i="43" s="1"/>
  <c r="D101" i="43"/>
  <c r="D109" i="43" s="1"/>
  <c r="G101" i="43"/>
  <c r="G102" i="43" s="1"/>
  <c r="N104" i="46"/>
  <c r="J22" i="43"/>
  <c r="H101" i="43"/>
  <c r="H102" i="43" s="1"/>
  <c r="E22" i="43"/>
  <c r="F101" i="43"/>
  <c r="F107" i="43" s="1"/>
  <c r="F22" i="43"/>
  <c r="AA11" i="43"/>
  <c r="AA13" i="43" s="1"/>
  <c r="AE11" i="43"/>
  <c r="AE13" i="43" s="1"/>
  <c r="AI11" i="43"/>
  <c r="AI13" i="43" s="1"/>
  <c r="Z11" i="43"/>
  <c r="Z13" i="43" s="1"/>
  <c r="AD11" i="43"/>
  <c r="AD13" i="43" s="1"/>
  <c r="AH11" i="43"/>
  <c r="AH13" i="43" s="1"/>
  <c r="E101" i="43"/>
  <c r="E102" i="43" s="1"/>
  <c r="M101" i="43"/>
  <c r="M102" i="43" s="1"/>
  <c r="H22" i="43"/>
  <c r="C101" i="43"/>
  <c r="C106" i="43" s="1"/>
  <c r="G29" i="6"/>
  <c r="E29" i="6" s="1"/>
  <c r="AZ20" i="3"/>
  <c r="G5" i="3"/>
  <c r="B3" i="3" s="1"/>
  <c r="E390" i="3" s="1"/>
  <c r="AZ21" i="3"/>
  <c r="AZ25" i="3"/>
  <c r="C33" i="80"/>
  <c r="C6" i="67"/>
  <c r="C32" i="67" s="1"/>
  <c r="F50" i="67"/>
  <c r="F59" i="67" s="1"/>
  <c r="M7" i="67"/>
  <c r="J6" i="67" s="1"/>
  <c r="J18" i="67" s="1"/>
  <c r="L56" i="67"/>
  <c r="J57" i="67"/>
  <c r="J55" i="67" s="1"/>
  <c r="J58" i="67" s="1"/>
  <c r="Q50" i="67" s="1"/>
  <c r="I54" i="67"/>
  <c r="L58" i="67"/>
  <c r="Q60" i="67" s="1"/>
  <c r="F71" i="67"/>
  <c r="L22" i="1"/>
  <c r="K20" i="1"/>
  <c r="Q16" i="1"/>
  <c r="F28" i="12" s="1"/>
  <c r="C49" i="80"/>
  <c r="L20" i="1"/>
  <c r="AZ18" i="3"/>
  <c r="AZ23" i="3"/>
  <c r="G28" i="6"/>
  <c r="F71" i="80"/>
  <c r="F50" i="15"/>
  <c r="C49" i="15" s="1"/>
  <c r="M7" i="15"/>
  <c r="J6" i="15" s="1"/>
  <c r="J18" i="15" s="1"/>
  <c r="C6" i="15"/>
  <c r="C32" i="15" s="1"/>
  <c r="F71" i="15"/>
  <c r="F50" i="78"/>
  <c r="C49" i="78" s="1"/>
  <c r="C6" i="78"/>
  <c r="M7" i="78"/>
  <c r="J6" i="78" s="1"/>
  <c r="J18" i="78" s="1"/>
  <c r="F71" i="78"/>
  <c r="O7" i="1"/>
  <c r="P7" i="1" s="1"/>
  <c r="M9" i="1"/>
  <c r="M8" i="1"/>
  <c r="M6" i="1"/>
  <c r="AP6" i="1"/>
  <c r="C36" i="69" s="1"/>
  <c r="L58" i="80"/>
  <c r="L56" i="80"/>
  <c r="L57" i="80"/>
  <c r="L60" i="80"/>
  <c r="J60" i="78"/>
  <c r="Q48" i="78" s="1"/>
  <c r="J57" i="78"/>
  <c r="J55" i="78" s="1"/>
  <c r="J58" i="78" s="1"/>
  <c r="Q50" i="78" s="1"/>
  <c r="J59" i="78"/>
  <c r="I54" i="78"/>
  <c r="N59" i="78"/>
  <c r="E68" i="39"/>
  <c r="D70" i="39"/>
  <c r="Q73" i="79"/>
  <c r="Q60" i="79"/>
  <c r="J57" i="80"/>
  <c r="J55" i="80" s="1"/>
  <c r="J58" i="80" s="1"/>
  <c r="Q50" i="80" s="1"/>
  <c r="I54" i="80"/>
  <c r="J59" i="80"/>
  <c r="N59" i="80"/>
  <c r="J60" i="80"/>
  <c r="Q48" i="80" s="1"/>
  <c r="N59" i="79"/>
  <c r="J60" i="79"/>
  <c r="Q48" i="79" s="1"/>
  <c r="J57" i="79"/>
  <c r="J55" i="79" s="1"/>
  <c r="J58" i="79" s="1"/>
  <c r="Q50" i="79" s="1"/>
  <c r="I54" i="79"/>
  <c r="J59" i="79"/>
  <c r="G9" i="1"/>
  <c r="G16" i="1" s="1"/>
  <c r="H10" i="40" s="1"/>
  <c r="I63" i="40"/>
  <c r="H65" i="40"/>
  <c r="L56" i="78"/>
  <c r="L60" i="78"/>
  <c r="Q60" i="78"/>
  <c r="Q73" i="78"/>
  <c r="L56" i="79"/>
  <c r="L60" i="79"/>
  <c r="L57" i="79"/>
  <c r="W32" i="39"/>
  <c r="AA25" i="39"/>
  <c r="S25" i="39"/>
  <c r="AC25" i="39"/>
  <c r="W25" i="39"/>
  <c r="AB25" i="39"/>
  <c r="U25" i="39"/>
  <c r="W15" i="39"/>
  <c r="AC15" i="39"/>
  <c r="U15" i="39"/>
  <c r="AB15" i="39"/>
  <c r="AA15" i="39"/>
  <c r="S15" i="39"/>
  <c r="AA32" i="39"/>
  <c r="S32" i="39"/>
  <c r="AB41" i="39"/>
  <c r="U41" i="39"/>
  <c r="F11" i="80"/>
  <c r="M11" i="80"/>
  <c r="J10" i="80" s="1"/>
  <c r="J5" i="80" s="1"/>
  <c r="F11" i="79"/>
  <c r="M11" i="79"/>
  <c r="J10" i="79" s="1"/>
  <c r="J5" i="79" s="1"/>
  <c r="F11" i="78"/>
  <c r="M11" i="78"/>
  <c r="C48" i="68"/>
  <c r="C30" i="11"/>
  <c r="C48" i="11"/>
  <c r="F48" i="69"/>
  <c r="C48" i="69"/>
  <c r="C30" i="69"/>
  <c r="E10" i="6"/>
  <c r="E27" i="6"/>
  <c r="F30" i="6"/>
  <c r="E15" i="6"/>
  <c r="E12" i="6"/>
  <c r="E13" i="6"/>
  <c r="E11" i="6"/>
  <c r="E14" i="6"/>
  <c r="AZ14" i="3"/>
  <c r="M109" i="43"/>
  <c r="M107" i="43"/>
  <c r="C105" i="43"/>
  <c r="C107" i="43"/>
  <c r="D117" i="43"/>
  <c r="E117" i="43" s="1"/>
  <c r="F117" i="43" s="1"/>
  <c r="G117" i="43" s="1"/>
  <c r="H117" i="43" s="1"/>
  <c r="I118" i="43"/>
  <c r="J118" i="43" s="1"/>
  <c r="K118" i="43" s="1"/>
  <c r="L118" i="43" s="1"/>
  <c r="M118" i="43" s="1"/>
  <c r="D118" i="43"/>
  <c r="E118" i="43" s="1"/>
  <c r="F118" i="43" s="1"/>
  <c r="D115" i="43"/>
  <c r="E115" i="43" s="1"/>
  <c r="F115" i="43" s="1"/>
  <c r="G115" i="43" s="1"/>
  <c r="H115" i="43" s="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4" i="43"/>
  <c r="N106" i="43"/>
  <c r="N109" i="43"/>
  <c r="K107" i="43"/>
  <c r="K106" i="43"/>
  <c r="K105" i="43"/>
  <c r="I109" i="43"/>
  <c r="I102" i="43"/>
  <c r="J105" i="43"/>
  <c r="J107" i="43"/>
  <c r="G103" i="43"/>
  <c r="G104" i="43"/>
  <c r="G17" i="43"/>
  <c r="C16" i="43" s="1"/>
  <c r="D5" i="43" s="1"/>
  <c r="F7" i="33"/>
  <c r="E52" i="37"/>
  <c r="AC7" i="21"/>
  <c r="V48" i="21" s="1"/>
  <c r="I48" i="21" s="1"/>
  <c r="W7" i="21"/>
  <c r="AB7" i="34"/>
  <c r="T49" i="34" s="1"/>
  <c r="G49" i="34" s="1"/>
  <c r="U7" i="34"/>
  <c r="AA7" i="34"/>
  <c r="R49" i="34" s="1"/>
  <c r="S7" i="34"/>
  <c r="H7" i="33"/>
  <c r="J7" i="33"/>
  <c r="E48" i="35"/>
  <c r="U7" i="21"/>
  <c r="AB7" i="21"/>
  <c r="T48" i="21" s="1"/>
  <c r="G48" i="21" s="1"/>
  <c r="S7" i="21"/>
  <c r="AA7" i="21"/>
  <c r="R48" i="21" s="1"/>
  <c r="E46" i="36"/>
  <c r="W7" i="34"/>
  <c r="AC7" i="34"/>
  <c r="V49" i="34" s="1"/>
  <c r="I49" i="34" s="1"/>
  <c r="D6" i="71"/>
  <c r="C5" i="71"/>
  <c r="D5" i="71" s="1"/>
  <c r="M17" i="67"/>
  <c r="M17" i="15"/>
  <c r="F59" i="15"/>
  <c r="P24" i="43"/>
  <c r="B66" i="40" s="1"/>
  <c r="P21" i="43"/>
  <c r="P25" i="43"/>
  <c r="P23" i="43"/>
  <c r="B71" i="39" s="1"/>
  <c r="M20" i="43"/>
  <c r="B40" i="1"/>
  <c r="F24" i="80" s="1"/>
  <c r="M28" i="43"/>
  <c r="N28" i="43"/>
  <c r="O28" i="43"/>
  <c r="P28" i="43"/>
  <c r="M11" i="67"/>
  <c r="J10" i="67" s="1"/>
  <c r="F11" i="15"/>
  <c r="M11" i="15"/>
  <c r="F11" i="67"/>
  <c r="Q60" i="15"/>
  <c r="Q73" i="15"/>
  <c r="Q61" i="67"/>
  <c r="Q74" i="67"/>
  <c r="C16" i="79"/>
  <c r="M29" i="79"/>
  <c r="C16" i="67"/>
  <c r="C16" i="15"/>
  <c r="F43" i="79"/>
  <c r="C16" i="80"/>
  <c r="C49" i="67" l="1"/>
  <c r="G105" i="43"/>
  <c r="J109" i="43"/>
  <c r="J106" i="43"/>
  <c r="I105" i="43"/>
  <c r="I106" i="43"/>
  <c r="N105" i="43"/>
  <c r="N102" i="43"/>
  <c r="C109" i="43"/>
  <c r="M105" i="43"/>
  <c r="M106" i="43"/>
  <c r="D9" i="11"/>
  <c r="C9" i="11" s="1"/>
  <c r="D9" i="68"/>
  <c r="C9" i="68" s="1"/>
  <c r="G106" i="43"/>
  <c r="G107" i="43"/>
  <c r="G109" i="43"/>
  <c r="J102" i="43"/>
  <c r="J104" i="43"/>
  <c r="K109" i="43"/>
  <c r="K102" i="43"/>
  <c r="K104" i="43"/>
  <c r="N104" i="43"/>
  <c r="N107" i="43"/>
  <c r="C103" i="43"/>
  <c r="C104" i="43"/>
  <c r="C102" i="43"/>
  <c r="M104" i="43"/>
  <c r="M103" i="43"/>
  <c r="D19" i="12"/>
  <c r="C19" i="12" s="1"/>
  <c r="D107" i="43"/>
  <c r="I107" i="43"/>
  <c r="I103" i="43"/>
  <c r="L107" i="43"/>
  <c r="L102" i="43"/>
  <c r="AZ5" i="3"/>
  <c r="E3" i="6" s="1"/>
  <c r="F31" i="6"/>
  <c r="F71" i="79"/>
  <c r="E370" i="3"/>
  <c r="D106" i="43"/>
  <c r="D103" i="43"/>
  <c r="L103" i="43"/>
  <c r="L106" i="43"/>
  <c r="L105" i="43"/>
  <c r="E104" i="43"/>
  <c r="E484" i="3"/>
  <c r="F106" i="43"/>
  <c r="E356" i="3"/>
  <c r="E157" i="3"/>
  <c r="F109" i="43"/>
  <c r="H105" i="43"/>
  <c r="E190" i="3"/>
  <c r="E21" i="3"/>
  <c r="E475" i="3"/>
  <c r="E223" i="3"/>
  <c r="D22" i="43"/>
  <c r="D102" i="43"/>
  <c r="D105" i="43"/>
  <c r="D104" i="43"/>
  <c r="E109" i="43"/>
  <c r="E106" i="43"/>
  <c r="F102" i="43"/>
  <c r="F104" i="43"/>
  <c r="H103" i="43"/>
  <c r="E326" i="3"/>
  <c r="E522" i="3"/>
  <c r="E488" i="3"/>
  <c r="E281" i="3"/>
  <c r="E84" i="3"/>
  <c r="E273" i="3"/>
  <c r="E288" i="3"/>
  <c r="E460" i="3"/>
  <c r="E350" i="3"/>
  <c r="E107" i="43"/>
  <c r="E105" i="43"/>
  <c r="E103" i="43"/>
  <c r="F105" i="43"/>
  <c r="F103" i="43"/>
  <c r="H106" i="43"/>
  <c r="H109" i="43"/>
  <c r="E113" i="3"/>
  <c r="E49" i="3"/>
  <c r="E235" i="3"/>
  <c r="E18" i="3"/>
  <c r="E42" i="3"/>
  <c r="E332" i="3"/>
  <c r="E119" i="3"/>
  <c r="E68" i="3"/>
  <c r="E200" i="3"/>
  <c r="E572" i="3"/>
  <c r="E182" i="3"/>
  <c r="E537" i="3"/>
  <c r="E529" i="3"/>
  <c r="X6" i="3"/>
  <c r="E367" i="3"/>
  <c r="E464" i="3"/>
  <c r="E387" i="3"/>
  <c r="H107" i="43"/>
  <c r="H104" i="43"/>
  <c r="E83" i="3"/>
  <c r="E287" i="3"/>
  <c r="E102" i="3"/>
  <c r="E232" i="3"/>
  <c r="E86" i="3"/>
  <c r="E383" i="3"/>
  <c r="E220" i="3"/>
  <c r="E78" i="3"/>
  <c r="E482" i="3"/>
  <c r="E94" i="3"/>
  <c r="AL6" i="3"/>
  <c r="E391" i="3"/>
  <c r="E243" i="3"/>
  <c r="E225" i="3"/>
  <c r="E108" i="3"/>
  <c r="E264" i="3"/>
  <c r="E184" i="3"/>
  <c r="E371" i="3"/>
  <c r="E46" i="3"/>
  <c r="E109" i="3"/>
  <c r="E377" i="3"/>
  <c r="E211" i="3"/>
  <c r="E70" i="3"/>
  <c r="E471" i="3"/>
  <c r="W6" i="3"/>
  <c r="E438" i="3"/>
  <c r="E313" i="3"/>
  <c r="E434" i="3"/>
  <c r="E436" i="3"/>
  <c r="E582" i="3"/>
  <c r="E456" i="3"/>
  <c r="E397" i="3"/>
  <c r="E312" i="3"/>
  <c r="E388" i="3"/>
  <c r="E509"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78" i="3"/>
  <c r="E25" i="3"/>
  <c r="E309" i="3"/>
  <c r="E81" i="3"/>
  <c r="E355" i="3"/>
  <c r="E33" i="3"/>
  <c r="E492" i="3"/>
  <c r="E249" i="3"/>
  <c r="E160" i="3"/>
  <c r="E467" i="3"/>
  <c r="E480" i="3"/>
  <c r="E30" i="3"/>
  <c r="E334" i="3"/>
  <c r="E316" i="3"/>
  <c r="E295" i="3"/>
  <c r="E166" i="3"/>
  <c r="E121" i="3"/>
  <c r="E88" i="3"/>
  <c r="E433" i="3"/>
  <c r="E450" i="3"/>
  <c r="E571" i="3"/>
  <c r="E562" i="3"/>
  <c r="E457" i="3"/>
  <c r="E474" i="3"/>
  <c r="E532" i="3"/>
  <c r="E224" i="3"/>
  <c r="E136" i="3"/>
  <c r="E314" i="3"/>
  <c r="E39" i="3"/>
  <c r="E520" i="3"/>
  <c r="E413" i="3"/>
  <c r="E500" i="3"/>
  <c r="E432" i="3"/>
  <c r="E525" i="3"/>
  <c r="E196" i="3"/>
  <c r="E398" i="3"/>
  <c r="E552" i="3"/>
  <c r="E149" i="3"/>
  <c r="E461" i="3"/>
  <c r="E239" i="3"/>
  <c r="E380" i="3"/>
  <c r="E28" i="6"/>
  <c r="K23" i="6" s="1"/>
  <c r="M23" i="6" s="1"/>
  <c r="I23" i="6" s="1"/>
  <c r="S23" i="6" s="1"/>
  <c r="G30" i="6"/>
  <c r="G31" i="6" s="1"/>
  <c r="E114" i="3"/>
  <c r="E185" i="3"/>
  <c r="E523" i="3"/>
  <c r="E217" i="3"/>
  <c r="E431" i="3"/>
  <c r="E322" i="3"/>
  <c r="E135" i="3"/>
  <c r="E418" i="3"/>
  <c r="E445" i="3"/>
  <c r="E508" i="3"/>
  <c r="E282" i="3"/>
  <c r="E366" i="3"/>
  <c r="E61" i="3"/>
  <c r="E298" i="3"/>
  <c r="E506" i="3"/>
  <c r="E201" i="3"/>
  <c r="E563" i="3"/>
  <c r="E153" i="3"/>
  <c r="E501" i="3"/>
  <c r="E319" i="3"/>
  <c r="E53" i="3"/>
  <c r="E134" i="3"/>
  <c r="E189" i="3"/>
  <c r="E231" i="3"/>
  <c r="E439" i="3"/>
  <c r="E561" i="3"/>
  <c r="E533" i="3"/>
  <c r="E247" i="3"/>
  <c r="E535" i="3"/>
  <c r="E278" i="3"/>
  <c r="E294" i="3"/>
  <c r="E320" i="3"/>
  <c r="E407" i="3"/>
  <c r="V6" i="3"/>
  <c r="E551" i="3"/>
  <c r="E559" i="3"/>
  <c r="E358" i="3"/>
  <c r="E151" i="3"/>
  <c r="E396" i="3"/>
  <c r="E516" i="3"/>
  <c r="E550" i="3"/>
  <c r="E395" i="3"/>
  <c r="E237" i="3"/>
  <c r="E97" i="3"/>
  <c r="E285" i="3"/>
  <c r="E359" i="3"/>
  <c r="E574" i="3"/>
  <c r="O6" i="3"/>
  <c r="E302" i="3"/>
  <c r="E17" i="3"/>
  <c r="E213" i="3"/>
  <c r="E565" i="3"/>
  <c r="E304" i="3"/>
  <c r="E329" i="3"/>
  <c r="E545" i="3"/>
  <c r="E510" i="3"/>
  <c r="E352" i="3"/>
  <c r="E205" i="3"/>
  <c r="E128" i="3"/>
  <c r="E385" i="3"/>
  <c r="E518" i="3"/>
  <c r="AI6" i="3"/>
  <c r="E578" i="3"/>
  <c r="E423" i="3"/>
  <c r="E382" i="3"/>
  <c r="E263" i="3"/>
  <c r="E245" i="3"/>
  <c r="E191" i="3"/>
  <c r="E188" i="3"/>
  <c r="E290" i="3"/>
  <c r="E161" i="3"/>
  <c r="E117" i="3"/>
  <c r="E207" i="3"/>
  <c r="E252" i="3"/>
  <c r="E271" i="3"/>
  <c r="E204" i="3"/>
  <c r="E145" i="3"/>
  <c r="E164" i="3"/>
  <c r="E107" i="3"/>
  <c r="E327" i="3"/>
  <c r="E379" i="3"/>
  <c r="E576" i="3"/>
  <c r="E585" i="3"/>
  <c r="Z6" i="3"/>
  <c r="E69" i="3"/>
  <c r="N6" i="3"/>
  <c r="AJ6" i="3"/>
  <c r="E216" i="3"/>
  <c r="E328" i="3"/>
  <c r="E553" i="3"/>
  <c r="E169" i="3"/>
  <c r="S6" i="3"/>
  <c r="E305" i="3"/>
  <c r="E530" i="3"/>
  <c r="E254" i="3"/>
  <c r="E230" i="3"/>
  <c r="E538" i="3"/>
  <c r="E270" i="3"/>
  <c r="E172" i="3"/>
  <c r="E335" i="3"/>
  <c r="AB6" i="3"/>
  <c r="E570" i="3"/>
  <c r="E311" i="3"/>
  <c r="E569" i="3"/>
  <c r="E260" i="3"/>
  <c r="AT6" i="3"/>
  <c r="E337" i="3"/>
  <c r="E555" i="3"/>
  <c r="E503" i="3"/>
  <c r="E183" i="3"/>
  <c r="E261" i="3"/>
  <c r="E567" i="3"/>
  <c r="E227" i="3"/>
  <c r="E353" i="3"/>
  <c r="AN6" i="3"/>
  <c r="E402" i="3"/>
  <c r="E303" i="3"/>
  <c r="E159" i="3"/>
  <c r="E91" i="3"/>
  <c r="E180" i="3"/>
  <c r="E77" i="3"/>
  <c r="E253" i="3"/>
  <c r="E199" i="3"/>
  <c r="E286" i="3"/>
  <c r="E575" i="3"/>
  <c r="E499" i="3"/>
  <c r="U6" i="3"/>
  <c r="AG6" i="3"/>
  <c r="E515" i="3"/>
  <c r="AO6" i="3"/>
  <c r="E411" i="3"/>
  <c r="E448" i="3"/>
  <c r="E478" i="3"/>
  <c r="E485" i="3"/>
  <c r="E548" i="3"/>
  <c r="P6" i="3"/>
  <c r="E414" i="3"/>
  <c r="E347" i="3"/>
  <c r="E399" i="3"/>
  <c r="E124" i="3"/>
  <c r="E568" i="3"/>
  <c r="E536" i="3"/>
  <c r="E453" i="3"/>
  <c r="E244" i="3"/>
  <c r="E156" i="3"/>
  <c r="E269" i="3"/>
  <c r="E89" i="3"/>
  <c r="E85" i="3"/>
  <c r="E238" i="3"/>
  <c r="E116" i="3"/>
  <c r="E105" i="3"/>
  <c r="E393" i="3"/>
  <c r="E493" i="3"/>
  <c r="E564" i="3"/>
  <c r="E543" i="3"/>
  <c r="E427" i="3"/>
  <c r="E486" i="3"/>
  <c r="E507" i="3"/>
  <c r="E422" i="3"/>
  <c r="E416" i="3"/>
  <c r="E449" i="3"/>
  <c r="E459" i="3"/>
  <c r="E255" i="3"/>
  <c r="E374" i="3"/>
  <c r="I3" i="6"/>
  <c r="E566" i="3"/>
  <c r="AP6" i="3"/>
  <c r="E268" i="3"/>
  <c r="E526" i="3"/>
  <c r="E426" i="3"/>
  <c r="E338" i="3"/>
  <c r="E343" i="3"/>
  <c r="E130" i="3"/>
  <c r="AR6" i="3"/>
  <c r="E215" i="3"/>
  <c r="M6" i="3"/>
  <c r="E229" i="3"/>
  <c r="E415" i="3"/>
  <c r="E410" i="3"/>
  <c r="E361" i="3"/>
  <c r="E539" i="3"/>
  <c r="E165" i="3"/>
  <c r="E586" i="3"/>
  <c r="E301" i="3"/>
  <c r="E221" i="3"/>
  <c r="E212" i="3"/>
  <c r="E141" i="3"/>
  <c r="AD6" i="3"/>
  <c r="R6" i="3"/>
  <c r="E502" i="3"/>
  <c r="E442" i="3"/>
  <c r="E466" i="3"/>
  <c r="E541" i="3"/>
  <c r="E430" i="3"/>
  <c r="E280" i="3"/>
  <c r="I6" i="3"/>
  <c r="E368" i="3"/>
  <c r="E148" i="3"/>
  <c r="E140" i="3"/>
  <c r="E197" i="3"/>
  <c r="E369" i="3"/>
  <c r="E534" i="3"/>
  <c r="E405" i="3"/>
  <c r="E469" i="3"/>
  <c r="E400" i="3"/>
  <c r="E443" i="3"/>
  <c r="E345" i="3"/>
  <c r="E558" i="3"/>
  <c r="E557" i="3"/>
  <c r="E547" i="3"/>
  <c r="E581" i="3"/>
  <c r="AS6" i="3"/>
  <c r="E531" i="3"/>
  <c r="E403" i="3"/>
  <c r="E444" i="3"/>
  <c r="E476" i="3"/>
  <c r="E489" i="3"/>
  <c r="E546" i="3"/>
  <c r="E404" i="3"/>
  <c r="E447" i="3"/>
  <c r="E28" i="3"/>
  <c r="E71" i="3"/>
  <c r="E583" i="3"/>
  <c r="E336" i="3"/>
  <c r="E293" i="3"/>
  <c r="E511" i="3"/>
  <c r="AK6" i="3"/>
  <c r="E306" i="3"/>
  <c r="E262" i="3"/>
  <c r="E236" i="3"/>
  <c r="E181" i="3"/>
  <c r="E120" i="3"/>
  <c r="E277" i="3"/>
  <c r="E177" i="3"/>
  <c r="E133" i="3"/>
  <c r="E330" i="3"/>
  <c r="K6" i="3"/>
  <c r="Q6" i="3"/>
  <c r="E560" i="3"/>
  <c r="E437" i="3"/>
  <c r="E472" i="3"/>
  <c r="E481" i="3"/>
  <c r="E406" i="3"/>
  <c r="E408" i="3"/>
  <c r="E440" i="3"/>
  <c r="E451" i="3"/>
  <c r="E490" i="3"/>
  <c r="E360" i="3"/>
  <c r="E376" i="3"/>
  <c r="E556" i="3"/>
  <c r="AH6" i="3"/>
  <c r="E497" i="3"/>
  <c r="J6" i="3"/>
  <c r="E13" i="3"/>
  <c r="E498" i="3"/>
  <c r="E494" i="3"/>
  <c r="E419" i="3"/>
  <c r="E452" i="3"/>
  <c r="E483" i="3"/>
  <c r="E470" i="3"/>
  <c r="E401" i="3"/>
  <c r="E420" i="3"/>
  <c r="E463" i="3"/>
  <c r="E26" i="3"/>
  <c r="E40"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2" i="3"/>
  <c r="E106" i="3"/>
  <c r="E54" i="3"/>
  <c r="E73" i="3"/>
  <c r="E111" i="3"/>
  <c r="E146" i="3"/>
  <c r="E168" i="3"/>
  <c r="E203" i="3"/>
  <c r="E150" i="3"/>
  <c r="E171" i="3"/>
  <c r="K15" i="1"/>
  <c r="L19" i="6"/>
  <c r="L27" i="6" s="1"/>
  <c r="F27" i="69"/>
  <c r="F45" i="69" s="1"/>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39" i="3"/>
  <c r="E198" i="3"/>
  <c r="E115" i="3"/>
  <c r="E41" i="3"/>
  <c r="E104"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86" i="3"/>
  <c r="E126" i="3"/>
  <c r="E162" i="3"/>
  <c r="E92" i="3"/>
  <c r="E27" i="3"/>
  <c r="E55" i="3"/>
  <c r="E454" i="3"/>
  <c r="E496" i="3"/>
  <c r="E468" i="3"/>
  <c r="E429" i="3"/>
  <c r="E577" i="3"/>
  <c r="AE6" i="3"/>
  <c r="E587" i="3"/>
  <c r="E344" i="3"/>
  <c r="E465" i="3"/>
  <c r="E424" i="3"/>
  <c r="E527" i="3"/>
  <c r="E458" i="3"/>
  <c r="E573" i="3"/>
  <c r="E519" i="3"/>
  <c r="E193" i="3"/>
  <c r="E45" i="3"/>
  <c r="E228" i="3"/>
  <c r="E296" i="3"/>
  <c r="E16" i="3"/>
  <c r="E246" i="3"/>
  <c r="E56" i="3"/>
  <c r="E479" i="3"/>
  <c r="E417" i="3"/>
  <c r="E491" i="3"/>
  <c r="E435" i="3"/>
  <c r="E517" i="3"/>
  <c r="E554" i="3"/>
  <c r="E505" i="3"/>
  <c r="E477" i="3"/>
  <c r="E512" i="3"/>
  <c r="T6" i="3"/>
  <c r="E173" i="3"/>
  <c r="E122" i="3"/>
  <c r="E549" i="3"/>
  <c r="AA6" i="3"/>
  <c r="E487" i="3"/>
  <c r="E421" i="3"/>
  <c r="E542" i="3"/>
  <c r="E167" i="3"/>
  <c r="E99" i="3"/>
  <c r="E495" i="3"/>
  <c r="E528" i="3"/>
  <c r="E143" i="3"/>
  <c r="E514" i="3"/>
  <c r="E579" i="3"/>
  <c r="E175" i="3"/>
  <c r="E125" i="3"/>
  <c r="E321" i="3"/>
  <c r="K21" i="6"/>
  <c r="S8" i="1" s="1"/>
  <c r="J5" i="67"/>
  <c r="J26" i="67" s="1"/>
  <c r="M20" i="1"/>
  <c r="Q73" i="67"/>
  <c r="K20" i="6"/>
  <c r="S7" i="1" s="1"/>
  <c r="F27" i="11"/>
  <c r="C47" i="11" s="1"/>
  <c r="D45" i="11" s="1"/>
  <c r="F27" i="68"/>
  <c r="F45" i="68" s="1"/>
  <c r="M22" i="1"/>
  <c r="K19" i="6"/>
  <c r="S6" i="1" s="1"/>
  <c r="E6" i="70" s="1"/>
  <c r="J10" i="39"/>
  <c r="K25" i="6"/>
  <c r="M25" i="6" s="1"/>
  <c r="I25" i="6" s="1"/>
  <c r="S25" i="6" s="1"/>
  <c r="AB10" i="40"/>
  <c r="U10" i="40"/>
  <c r="J10" i="78"/>
  <c r="J5" i="78" s="1"/>
  <c r="J24" i="78" s="1"/>
  <c r="L46" i="78"/>
  <c r="J10" i="15"/>
  <c r="J5" i="15" s="1"/>
  <c r="J24" i="15" s="1"/>
  <c r="C33" i="78"/>
  <c r="C32" i="78"/>
  <c r="O6" i="1"/>
  <c r="P6" i="1" s="1"/>
  <c r="C13" i="12" s="1"/>
  <c r="O8" i="1"/>
  <c r="P8" i="1" s="1"/>
  <c r="O9" i="1"/>
  <c r="P9" i="1" s="1"/>
  <c r="Q57" i="79"/>
  <c r="Q66" i="79"/>
  <c r="Q57" i="78"/>
  <c r="Q66" i="78"/>
  <c r="J10" i="40"/>
  <c r="F10" i="40"/>
  <c r="L46" i="80"/>
  <c r="F10" i="39"/>
  <c r="H10" i="39"/>
  <c r="J63" i="40"/>
  <c r="I65" i="40"/>
  <c r="L46" i="79"/>
  <c r="F68" i="39"/>
  <c r="E70" i="39"/>
  <c r="Q66" i="80"/>
  <c r="Q57" i="80"/>
  <c r="Q60" i="80"/>
  <c r="Q73" i="80"/>
  <c r="J26" i="80"/>
  <c r="J24" i="80"/>
  <c r="C24" i="80"/>
  <c r="C53" i="80"/>
  <c r="C48" i="80" s="1"/>
  <c r="C10" i="80"/>
  <c r="C5" i="80" s="1"/>
  <c r="J26" i="79"/>
  <c r="J24" i="79"/>
  <c r="F24" i="78"/>
  <c r="C24" i="78" s="1"/>
  <c r="F24" i="79"/>
  <c r="C53" i="79"/>
  <c r="C48" i="79" s="1"/>
  <c r="C10" i="79"/>
  <c r="C5" i="79" s="1"/>
  <c r="C5" i="43"/>
  <c r="T14" i="43" s="1"/>
  <c r="V14" i="43" s="1"/>
  <c r="C53" i="78"/>
  <c r="C48" i="78" s="1"/>
  <c r="C10" i="78"/>
  <c r="C5" i="78" s="1"/>
  <c r="AR6" i="1"/>
  <c r="C47" i="68"/>
  <c r="D45" i="68" s="1"/>
  <c r="E59" i="40"/>
  <c r="E64" i="39"/>
  <c r="E58" i="40"/>
  <c r="E63" i="39"/>
  <c r="E60" i="40"/>
  <c r="E65" i="39"/>
  <c r="AY6" i="3"/>
  <c r="E61" i="39"/>
  <c r="E56" i="40"/>
  <c r="E57" i="40"/>
  <c r="E62" i="39"/>
  <c r="E16" i="6"/>
  <c r="C23" i="43"/>
  <c r="C21" i="43" s="1"/>
  <c r="S7" i="43"/>
  <c r="S4" i="43"/>
  <c r="S5" i="43"/>
  <c r="S3" i="43"/>
  <c r="T3" i="43" s="1"/>
  <c r="V3" i="43" s="1"/>
  <c r="S2" i="43"/>
  <c r="S6" i="43"/>
  <c r="T6" i="43" s="1"/>
  <c r="V6" i="43" s="1"/>
  <c r="D113" i="43"/>
  <c r="C36" i="43"/>
  <c r="C37" i="43"/>
  <c r="C33" i="43"/>
  <c r="C35" i="43"/>
  <c r="C39" i="43"/>
  <c r="C34" i="43"/>
  <c r="C38" i="43"/>
  <c r="T12" i="43"/>
  <c r="V12" i="43" s="1"/>
  <c r="T4" i="43"/>
  <c r="V4" i="43" s="1"/>
  <c r="T13" i="43"/>
  <c r="V13" i="43" s="1"/>
  <c r="T11" i="43"/>
  <c r="V11" i="43" s="1"/>
  <c r="C29" i="43"/>
  <c r="T16" i="43"/>
  <c r="V16" i="43" s="1"/>
  <c r="R49" i="21"/>
  <c r="E48" i="21"/>
  <c r="G52" i="21"/>
  <c r="H52" i="21" s="1"/>
  <c r="G53" i="21"/>
  <c r="H53" i="21" s="1"/>
  <c r="U7" i="33"/>
  <c r="AB7" i="33"/>
  <c r="T48" i="33" s="1"/>
  <c r="G48" i="33" s="1"/>
  <c r="R50" i="34"/>
  <c r="E49" i="34"/>
  <c r="I54" i="34" s="1"/>
  <c r="J54" i="34" s="1"/>
  <c r="G53" i="34"/>
  <c r="H53" i="34" s="1"/>
  <c r="G54" i="34"/>
  <c r="H54" i="34" s="1"/>
  <c r="I52" i="21"/>
  <c r="J52" i="21" s="1"/>
  <c r="I53" i="21"/>
  <c r="J53" i="21" s="1"/>
  <c r="F52" i="37"/>
  <c r="I53" i="34"/>
  <c r="J53" i="34" s="1"/>
  <c r="F46" i="36"/>
  <c r="F48" i="35"/>
  <c r="W7" i="33"/>
  <c r="AC7" i="33"/>
  <c r="V48" i="33" s="1"/>
  <c r="I48" i="33" s="1"/>
  <c r="AA7" i="33"/>
  <c r="R48" i="33" s="1"/>
  <c r="S7" i="33"/>
  <c r="C53" i="67"/>
  <c r="C10" i="67"/>
  <c r="C5" i="67" s="1"/>
  <c r="C53" i="15"/>
  <c r="C48" i="15" s="1"/>
  <c r="C10" i="15"/>
  <c r="C5" i="15" s="1"/>
  <c r="F25" i="12"/>
  <c r="F22" i="69"/>
  <c r="F41" i="69" s="1"/>
  <c r="F24" i="67"/>
  <c r="C24" i="67" s="1"/>
  <c r="F22" i="11"/>
  <c r="F22" i="68"/>
  <c r="F24" i="15"/>
  <c r="C24" i="15" s="1"/>
  <c r="C17" i="79"/>
  <c r="C17" i="15"/>
  <c r="C17" i="80"/>
  <c r="C17" i="78"/>
  <c r="C48" i="67" l="1"/>
  <c r="C60" i="67" s="1"/>
  <c r="C29" i="69"/>
  <c r="D27" i="69" s="1"/>
  <c r="H6" i="3"/>
  <c r="M21" i="6"/>
  <c r="I21" i="6" s="1"/>
  <c r="S21" i="6" s="1"/>
  <c r="K26" i="6"/>
  <c r="M26" i="6" s="1"/>
  <c r="I26" i="6" s="1"/>
  <c r="S26" i="6" s="1"/>
  <c r="K22" i="6"/>
  <c r="S9" i="1" s="1"/>
  <c r="AQ9" i="1" s="1"/>
  <c r="AC6" i="3"/>
  <c r="C47" i="69"/>
  <c r="D45" i="69" s="1"/>
  <c r="M20" i="6"/>
  <c r="I20" i="6" s="1"/>
  <c r="S20" i="6" s="1"/>
  <c r="M22" i="6"/>
  <c r="I22" i="6" s="1"/>
  <c r="S22" i="6" s="1"/>
  <c r="K24" i="6"/>
  <c r="M24" i="6" s="1"/>
  <c r="I24" i="6" s="1"/>
  <c r="S24" i="6" s="1"/>
  <c r="J24" i="67"/>
  <c r="E30" i="6"/>
  <c r="E31" i="6" s="1"/>
  <c r="K14" i="1"/>
  <c r="M19" i="6"/>
  <c r="T6" i="1"/>
  <c r="AQ6" i="1"/>
  <c r="J26" i="78"/>
  <c r="AC10" i="39"/>
  <c r="W10" i="39"/>
  <c r="J26" i="15"/>
  <c r="E8" i="70"/>
  <c r="E9" i="70"/>
  <c r="E7" i="70"/>
  <c r="J65" i="40"/>
  <c r="K63" i="40"/>
  <c r="AA10" i="39"/>
  <c r="S10" i="39"/>
  <c r="S10" i="40"/>
  <c r="AA10" i="40"/>
  <c r="G68" i="39"/>
  <c r="F70" i="39"/>
  <c r="U10" i="39"/>
  <c r="AB10" i="39"/>
  <c r="AC10" i="40"/>
  <c r="W10" i="40"/>
  <c r="C66" i="80"/>
  <c r="C60" i="80"/>
  <c r="C38" i="80"/>
  <c r="C66" i="79"/>
  <c r="C60" i="79"/>
  <c r="C38" i="79"/>
  <c r="C24" i="79"/>
  <c r="C38" i="78"/>
  <c r="T8" i="43"/>
  <c r="V8" i="43" s="1"/>
  <c r="T7" i="43"/>
  <c r="V7" i="43" s="1"/>
  <c r="T15" i="43"/>
  <c r="V15" i="43" s="1"/>
  <c r="T5" i="43"/>
  <c r="V5" i="43" s="1"/>
  <c r="T2" i="43"/>
  <c r="V2" i="43" s="1"/>
  <c r="T10" i="43"/>
  <c r="V10" i="43" s="1"/>
  <c r="T9" i="43"/>
  <c r="V9" i="43" s="1"/>
  <c r="C66" i="78"/>
  <c r="C60" i="78"/>
  <c r="AR9" i="1"/>
  <c r="AQ7" i="1"/>
  <c r="AR7" i="1"/>
  <c r="T7" i="1"/>
  <c r="AQ8" i="1"/>
  <c r="AR8" i="1"/>
  <c r="T8"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3" i="3"/>
  <c r="AY66" i="3"/>
  <c r="AY23" i="3"/>
  <c r="AY176" i="3"/>
  <c r="AY155" i="3"/>
  <c r="AY115" i="3"/>
  <c r="AY59" i="3"/>
  <c r="AY188" i="3"/>
  <c r="AY131" i="3"/>
  <c r="AY276" i="3"/>
  <c r="AY58" i="3"/>
  <c r="AY297" i="3"/>
  <c r="AY268" i="3"/>
  <c r="AY225" i="3"/>
  <c r="AY371" i="3"/>
  <c r="AY335" i="3"/>
  <c r="AY318" i="3"/>
  <c r="AY470" i="3"/>
  <c r="AY428" i="3"/>
  <c r="AY40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1" i="3"/>
  <c r="AY207" i="3"/>
  <c r="AY124" i="3"/>
  <c r="AY42" i="3"/>
  <c r="AY281" i="3"/>
  <c r="AY168" i="3"/>
  <c r="AY236" i="3"/>
  <c r="AY36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44" i="3"/>
  <c r="AY95" i="3"/>
  <c r="AY152" i="3"/>
  <c r="AY111" i="3"/>
  <c r="AY253" i="3"/>
  <c r="AY382" i="3"/>
  <c r="AY303" i="3"/>
  <c r="AY460" i="3"/>
  <c r="AY52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3" i="21"/>
  <c r="D19" i="11"/>
  <c r="C19" i="11" s="1"/>
  <c r="C17" i="4"/>
  <c r="B4" i="52" s="1"/>
  <c r="B43" i="72" s="1"/>
  <c r="D37" i="11"/>
  <c r="D14" i="12"/>
  <c r="M18" i="9"/>
  <c r="B118" i="9" s="1"/>
  <c r="B14" i="74" s="1"/>
  <c r="B1" i="74" s="1"/>
  <c r="D3" i="34"/>
  <c r="L18" i="9"/>
  <c r="D3" i="33"/>
  <c r="E6" i="6"/>
  <c r="D3" i="37"/>
  <c r="E66" i="39"/>
  <c r="M27" i="6"/>
  <c r="I19" i="6"/>
  <c r="E29" i="43"/>
  <c r="C30" i="43"/>
  <c r="E30" i="43" s="1"/>
  <c r="E34" i="43"/>
  <c r="G34" i="43"/>
  <c r="I34" i="43" s="1"/>
  <c r="E35" i="43"/>
  <c r="G35" i="43"/>
  <c r="I35" i="43" s="1"/>
  <c r="E37" i="43"/>
  <c r="G37" i="43"/>
  <c r="I37" i="43" s="1"/>
  <c r="G38" i="43"/>
  <c r="I38" i="43" s="1"/>
  <c r="E38" i="43"/>
  <c r="G39" i="43"/>
  <c r="I39" i="43" s="1"/>
  <c r="E39" i="43"/>
  <c r="E33" i="43"/>
  <c r="G33" i="43"/>
  <c r="I33" i="43" s="1"/>
  <c r="E36" i="43"/>
  <c r="G36" i="43"/>
  <c r="I36" i="43" s="1"/>
  <c r="E54" i="34"/>
  <c r="F54" i="34" s="1"/>
  <c r="E53" i="34"/>
  <c r="F53" i="34" s="1"/>
  <c r="I52" i="33"/>
  <c r="J52" i="33" s="1"/>
  <c r="G48" i="35"/>
  <c r="G46" i="36"/>
  <c r="G52" i="37"/>
  <c r="C49" i="34"/>
  <c r="C50" i="34"/>
  <c r="C49" i="21"/>
  <c r="C48" i="21"/>
  <c r="R49" i="33"/>
  <c r="E48" i="33"/>
  <c r="G52" i="33"/>
  <c r="H52" i="33" s="1"/>
  <c r="G53" i="33"/>
  <c r="H53" i="33" s="1"/>
  <c r="E52" i="21"/>
  <c r="F52" i="21" s="1"/>
  <c r="E53" i="21"/>
  <c r="F53" i="21" s="1"/>
  <c r="F41" i="68"/>
  <c r="C60" i="15"/>
  <c r="C66" i="15"/>
  <c r="C26" i="69"/>
  <c r="D22" i="69" s="1"/>
  <c r="C44" i="69"/>
  <c r="D41" i="69" s="1"/>
  <c r="C38" i="67"/>
  <c r="C38" i="15"/>
  <c r="C66" i="67"/>
  <c r="C17" i="67"/>
  <c r="C14" i="79"/>
  <c r="C14" i="80"/>
  <c r="C14" i="67"/>
  <c r="C14" i="15"/>
  <c r="C14" i="78"/>
  <c r="C18" i="67" l="1"/>
  <c r="C15" i="67"/>
  <c r="T9" i="1"/>
  <c r="S16" i="1"/>
  <c r="K27" i="6"/>
  <c r="M14" i="1"/>
  <c r="C34" i="69"/>
  <c r="K16" i="1"/>
  <c r="B2" i="34"/>
  <c r="B3" i="34" s="1"/>
  <c r="E2" i="70"/>
  <c r="C15" i="15"/>
  <c r="C18" i="15"/>
  <c r="C18" i="79"/>
  <c r="C15" i="79"/>
  <c r="C18" i="78"/>
  <c r="C15" i="78"/>
  <c r="C15" i="80"/>
  <c r="C18" i="80"/>
  <c r="H68" i="39"/>
  <c r="G70" i="39"/>
  <c r="K65" i="40"/>
  <c r="L63" i="40"/>
  <c r="C26" i="43"/>
  <c r="B2" i="43" s="1"/>
  <c r="B3" i="43" s="1"/>
  <c r="B2" i="21"/>
  <c r="B3" i="21" s="1"/>
  <c r="D10" i="68"/>
  <c r="D20" i="12"/>
  <c r="C20" i="12" s="1"/>
  <c r="D10" i="11"/>
  <c r="C10" i="11" s="1"/>
  <c r="D10" i="69"/>
  <c r="C8" i="74"/>
  <c r="C7" i="74"/>
  <c r="C20" i="11"/>
  <c r="M19" i="9"/>
  <c r="C118" i="9" s="1"/>
  <c r="C14" i="74" s="1"/>
  <c r="B2" i="74" s="1"/>
  <c r="D26" i="6"/>
  <c r="D8" i="6"/>
  <c r="D14" i="6"/>
  <c r="D5" i="6"/>
  <c r="D12" i="6"/>
  <c r="D11" i="6"/>
  <c r="D13" i="6"/>
  <c r="E61" i="40"/>
  <c r="C18" i="4"/>
  <c r="D9" i="6"/>
  <c r="L19" i="9"/>
  <c r="D19" i="6"/>
  <c r="D23" i="6"/>
  <c r="D6" i="6"/>
  <c r="D10" i="6"/>
  <c r="D29" i="6"/>
  <c r="D20" i="6"/>
  <c r="D21" i="6"/>
  <c r="D15" i="6"/>
  <c r="D24" i="6"/>
  <c r="D22" i="6"/>
  <c r="D25" i="6"/>
  <c r="D28" i="6"/>
  <c r="H26" i="6"/>
  <c r="H25" i="6"/>
  <c r="H22" i="6"/>
  <c r="H20" i="6"/>
  <c r="R20" i="6" s="1"/>
  <c r="R7" i="1" s="1"/>
  <c r="H24" i="6"/>
  <c r="R24" i="6" s="1"/>
  <c r="H21" i="6"/>
  <c r="H23" i="6"/>
  <c r="D17" i="12"/>
  <c r="C17" i="12" s="1"/>
  <c r="H19" i="6"/>
  <c r="S19" i="6"/>
  <c r="S27" i="6" s="1"/>
  <c r="I27" i="6"/>
  <c r="C27" i="43"/>
  <c r="C49" i="33"/>
  <c r="B2" i="33" s="1"/>
  <c r="B3" i="33" s="1"/>
  <c r="C48" i="33"/>
  <c r="E53" i="33"/>
  <c r="F53" i="33" s="1"/>
  <c r="E52" i="33"/>
  <c r="F52" i="33" s="1"/>
  <c r="H46" i="36"/>
  <c r="H48" i="35"/>
  <c r="H52" i="37"/>
  <c r="I53" i="33"/>
  <c r="J53" i="33" s="1"/>
  <c r="C33" i="15"/>
  <c r="J59" i="15"/>
  <c r="J60" i="15" s="1"/>
  <c r="E6" i="76"/>
  <c r="B6" i="76"/>
  <c r="T16" i="1" l="1"/>
  <c r="C19" i="67"/>
  <c r="C20" i="67" s="1"/>
  <c r="C26" i="67" s="1"/>
  <c r="C38" i="69"/>
  <c r="C35" i="69"/>
  <c r="M16" i="1"/>
  <c r="O14" i="1"/>
  <c r="C19" i="15"/>
  <c r="C20" i="15" s="1"/>
  <c r="C26" i="15" s="1"/>
  <c r="C23" i="67"/>
  <c r="C29" i="67" s="1"/>
  <c r="C19" i="78"/>
  <c r="C19" i="79"/>
  <c r="C20" i="79" s="1"/>
  <c r="C23" i="79" s="1"/>
  <c r="C23" i="15"/>
  <c r="C29" i="15" s="1"/>
  <c r="C19" i="80"/>
  <c r="C20" i="78"/>
  <c r="C26" i="78" s="1"/>
  <c r="C20" i="80"/>
  <c r="C26" i="80" s="1"/>
  <c r="M63" i="40"/>
  <c r="L65" i="40"/>
  <c r="H70" i="39"/>
  <c r="I68" i="39"/>
  <c r="B2" i="76"/>
  <c r="R23" i="6"/>
  <c r="R22" i="6"/>
  <c r="R9" i="1" s="1"/>
  <c r="R26" i="6"/>
  <c r="D27" i="6"/>
  <c r="D16" i="6"/>
  <c r="D30" i="6"/>
  <c r="D8" i="74"/>
  <c r="D7" i="74"/>
  <c r="C10" i="68"/>
  <c r="B29" i="1" s="1"/>
  <c r="D19" i="68"/>
  <c r="R21" i="6"/>
  <c r="R8" i="1" s="1"/>
  <c r="R25" i="6"/>
  <c r="A7" i="51"/>
  <c r="B7" i="72" s="1"/>
  <c r="C4" i="52"/>
  <c r="B45" i="72" s="1"/>
  <c r="A10" i="51"/>
  <c r="B9" i="72" s="1"/>
  <c r="C10" i="69"/>
  <c r="C8" i="69" s="1"/>
  <c r="C5" i="69" s="1"/>
  <c r="D19" i="69"/>
  <c r="H27" i="6"/>
  <c r="R19" i="6"/>
  <c r="E2" i="76"/>
  <c r="I48" i="35"/>
  <c r="I46" i="36"/>
  <c r="J46" i="36" s="1"/>
  <c r="K46" i="36" s="1"/>
  <c r="L46" i="36" s="1"/>
  <c r="M46" i="36" s="1"/>
  <c r="N46" i="36" s="1"/>
  <c r="O46" i="36" s="1"/>
  <c r="J7" i="36"/>
  <c r="I52" i="37"/>
  <c r="H7" i="36"/>
  <c r="Q48" i="15"/>
  <c r="L46" i="15"/>
  <c r="F35" i="79"/>
  <c r="M21" i="67"/>
  <c r="M21" i="79"/>
  <c r="F35" i="67"/>
  <c r="F35" i="80"/>
  <c r="M21" i="80"/>
  <c r="F7" i="36" l="1"/>
  <c r="O16" i="1"/>
  <c r="P14" i="1"/>
  <c r="P16" i="1" s="1"/>
  <c r="C11" i="12" s="1"/>
  <c r="N16" i="1"/>
  <c r="B21" i="1" s="1"/>
  <c r="L16" i="1"/>
  <c r="C33" i="67"/>
  <c r="C36" i="67"/>
  <c r="J14" i="67"/>
  <c r="J19" i="67"/>
  <c r="Q49" i="67"/>
  <c r="C13" i="67"/>
  <c r="C57" i="67"/>
  <c r="J59" i="67"/>
  <c r="J20" i="67"/>
  <c r="C34" i="67"/>
  <c r="F63" i="67"/>
  <c r="C62" i="67" s="1"/>
  <c r="D31" i="6"/>
  <c r="I6" i="6" s="1"/>
  <c r="C11" i="39" s="1"/>
  <c r="J14" i="15"/>
  <c r="C36" i="15"/>
  <c r="C13" i="15"/>
  <c r="J19" i="15"/>
  <c r="C57" i="15"/>
  <c r="Q49" i="15"/>
  <c r="C23" i="80"/>
  <c r="C29" i="80" s="1"/>
  <c r="C57" i="80" s="1"/>
  <c r="C23" i="78"/>
  <c r="C29" i="78" s="1"/>
  <c r="J14" i="78" s="1"/>
  <c r="C26" i="79"/>
  <c r="C29" i="79" s="1"/>
  <c r="I70" i="39"/>
  <c r="J68" i="39"/>
  <c r="M65" i="40"/>
  <c r="N63" i="40"/>
  <c r="B3" i="76"/>
  <c r="F63" i="80"/>
  <c r="C62" i="80" s="1"/>
  <c r="C34" i="80"/>
  <c r="C31" i="80" s="1"/>
  <c r="J20" i="80"/>
  <c r="J20" i="79"/>
  <c r="F63" i="79"/>
  <c r="C62" i="79" s="1"/>
  <c r="C34" i="79"/>
  <c r="C31" i="79" s="1"/>
  <c r="R27" i="6"/>
  <c r="R6" i="1"/>
  <c r="C19" i="69"/>
  <c r="C24" i="69" s="1"/>
  <c r="D37" i="69"/>
  <c r="C37" i="69" s="1"/>
  <c r="C33" i="69" s="1"/>
  <c r="C19" i="68"/>
  <c r="D37" i="68"/>
  <c r="C23" i="69"/>
  <c r="AA7" i="36"/>
  <c r="R36" i="36" s="1"/>
  <c r="S7" i="36"/>
  <c r="U7" i="36"/>
  <c r="AB7" i="36"/>
  <c r="T36" i="36" s="1"/>
  <c r="G36" i="36" s="1"/>
  <c r="J52" i="37"/>
  <c r="W7" i="36"/>
  <c r="AC7" i="36"/>
  <c r="V36" i="36" s="1"/>
  <c r="I36" i="36" s="1"/>
  <c r="J48" i="35"/>
  <c r="F35" i="15"/>
  <c r="M21" i="78"/>
  <c r="M21" i="15"/>
  <c r="F35" i="78"/>
  <c r="C36" i="80" l="1"/>
  <c r="C15" i="12"/>
  <c r="C12" i="12"/>
  <c r="B24" i="1"/>
  <c r="C29" i="11"/>
  <c r="D27" i="11" s="1"/>
  <c r="C44" i="11"/>
  <c r="D41" i="11" s="1"/>
  <c r="C24" i="11"/>
  <c r="B23" i="1"/>
  <c r="C29" i="68"/>
  <c r="D27" i="68" s="1"/>
  <c r="C44" i="68"/>
  <c r="D41" i="68" s="1"/>
  <c r="C28" i="11"/>
  <c r="C27" i="11" s="1"/>
  <c r="I5" i="6"/>
  <c r="C31" i="67"/>
  <c r="J17" i="67"/>
  <c r="C56" i="67"/>
  <c r="C65" i="67" s="1"/>
  <c r="Q70" i="67"/>
  <c r="C75" i="67"/>
  <c r="C37" i="67"/>
  <c r="C61" i="67"/>
  <c r="C59" i="67" s="1"/>
  <c r="C64" i="67"/>
  <c r="J13" i="67"/>
  <c r="J23" i="67" s="1"/>
  <c r="J22" i="67"/>
  <c r="C36" i="78"/>
  <c r="C57" i="78"/>
  <c r="C61" i="78" s="1"/>
  <c r="C61" i="15"/>
  <c r="C64" i="15"/>
  <c r="Q70" i="15"/>
  <c r="C75" i="15"/>
  <c r="C56" i="15"/>
  <c r="C65" i="15" s="1"/>
  <c r="C37" i="15"/>
  <c r="J13" i="15"/>
  <c r="J23" i="15" s="1"/>
  <c r="J22" i="15"/>
  <c r="C13" i="80"/>
  <c r="C75" i="80" s="1"/>
  <c r="J19" i="80"/>
  <c r="J17" i="80" s="1"/>
  <c r="C13" i="78"/>
  <c r="C75" i="78" s="1"/>
  <c r="J19" i="78"/>
  <c r="Q49" i="78"/>
  <c r="Q49" i="80"/>
  <c r="J14" i="80"/>
  <c r="J13" i="80" s="1"/>
  <c r="J23" i="80" s="1"/>
  <c r="H11" i="39"/>
  <c r="F11" i="39"/>
  <c r="J11" i="39"/>
  <c r="J22" i="78"/>
  <c r="J13" i="78"/>
  <c r="J23" i="78" s="1"/>
  <c r="J22" i="80"/>
  <c r="C64" i="80"/>
  <c r="C61" i="80"/>
  <c r="C59" i="80" s="1"/>
  <c r="C36" i="79"/>
  <c r="J14" i="79"/>
  <c r="Q49" i="79"/>
  <c r="C57" i="79"/>
  <c r="J19" i="79"/>
  <c r="J17" i="79" s="1"/>
  <c r="C13" i="79"/>
  <c r="N65" i="40"/>
  <c r="H7" i="40" s="1"/>
  <c r="O63" i="40"/>
  <c r="O65" i="40" s="1"/>
  <c r="J7" i="40"/>
  <c r="J70" i="39"/>
  <c r="K68" i="39"/>
  <c r="C20" i="69"/>
  <c r="C25" i="69" s="1"/>
  <c r="C22" i="69" s="1"/>
  <c r="F63" i="78"/>
  <c r="C62" i="78" s="1"/>
  <c r="C34" i="78"/>
  <c r="C31" i="78" s="1"/>
  <c r="J20" i="78"/>
  <c r="J20" i="15"/>
  <c r="J17" i="15" s="1"/>
  <c r="F63" i="15"/>
  <c r="C62" i="15" s="1"/>
  <c r="C34" i="15"/>
  <c r="C31" i="15" s="1"/>
  <c r="R16" i="1"/>
  <c r="C39" i="69"/>
  <c r="C43" i="69" s="1"/>
  <c r="C42" i="69"/>
  <c r="C24" i="68"/>
  <c r="I40" i="36"/>
  <c r="J40" i="36" s="1"/>
  <c r="G40" i="36"/>
  <c r="H40" i="36" s="1"/>
  <c r="G41" i="36"/>
  <c r="H41" i="36" s="1"/>
  <c r="K48" i="35"/>
  <c r="K52" i="37"/>
  <c r="R37" i="36"/>
  <c r="E36" i="36"/>
  <c r="AE9" i="1"/>
  <c r="F41" i="67"/>
  <c r="F7" i="40" l="1"/>
  <c r="C56" i="78"/>
  <c r="C65" i="78" s="1"/>
  <c r="C25" i="11"/>
  <c r="C26" i="68"/>
  <c r="D22" i="68" s="1"/>
  <c r="C23" i="11"/>
  <c r="C22" i="11" s="1"/>
  <c r="C26" i="11"/>
  <c r="D22" i="11" s="1"/>
  <c r="F50" i="68"/>
  <c r="F50" i="11"/>
  <c r="F34" i="68"/>
  <c r="M59" i="15"/>
  <c r="L59" i="15" s="1"/>
  <c r="J53" i="15"/>
  <c r="M59" i="78"/>
  <c r="L59" i="78" s="1"/>
  <c r="M59" i="79"/>
  <c r="L59" i="79" s="1"/>
  <c r="J53" i="80"/>
  <c r="C29" i="12"/>
  <c r="D28" i="12" s="1"/>
  <c r="F50" i="69"/>
  <c r="F34" i="11"/>
  <c r="F11" i="12"/>
  <c r="C14" i="12" s="1"/>
  <c r="C16" i="12" s="1"/>
  <c r="M59" i="67"/>
  <c r="J53" i="67"/>
  <c r="J53" i="78"/>
  <c r="J53" i="79"/>
  <c r="M59" i="80"/>
  <c r="L59" i="80" s="1"/>
  <c r="C26" i="12"/>
  <c r="D25" i="12" s="1"/>
  <c r="C30" i="67"/>
  <c r="C39" i="67" s="1"/>
  <c r="C40" i="67" s="1"/>
  <c r="C58" i="67"/>
  <c r="C67" i="67" s="1"/>
  <c r="C80" i="67"/>
  <c r="C79" i="67" s="1"/>
  <c r="J16" i="67"/>
  <c r="J25" i="67" s="1"/>
  <c r="Q69" i="67"/>
  <c r="Q68" i="67" s="1"/>
  <c r="F69" i="67"/>
  <c r="C68" i="67" s="1"/>
  <c r="J29" i="67"/>
  <c r="C30" i="15"/>
  <c r="C39" i="15" s="1"/>
  <c r="C80" i="15" s="1"/>
  <c r="C79" i="15" s="1"/>
  <c r="J16" i="15"/>
  <c r="J25" i="15" s="1"/>
  <c r="Q70" i="80"/>
  <c r="C64" i="78"/>
  <c r="Q70" i="78"/>
  <c r="J17" i="78"/>
  <c r="C37" i="78"/>
  <c r="C30" i="78" s="1"/>
  <c r="C39" i="78" s="1"/>
  <c r="C59" i="15"/>
  <c r="C58" i="15" s="1"/>
  <c r="C67" i="15" s="1"/>
  <c r="C56" i="80"/>
  <c r="C65" i="80" s="1"/>
  <c r="C58" i="80" s="1"/>
  <c r="C67" i="80" s="1"/>
  <c r="C37" i="80"/>
  <c r="C30" i="80" s="1"/>
  <c r="C39" i="80" s="1"/>
  <c r="Q69" i="80" s="1"/>
  <c r="J16" i="80"/>
  <c r="J25" i="80" s="1"/>
  <c r="J16" i="78"/>
  <c r="J25" i="78" s="1"/>
  <c r="C59" i="78"/>
  <c r="C80" i="80"/>
  <c r="C79" i="80" s="1"/>
  <c r="AA11" i="39"/>
  <c r="S11" i="39"/>
  <c r="Q70" i="79"/>
  <c r="C56" i="79"/>
  <c r="C65" i="79" s="1"/>
  <c r="C75" i="79"/>
  <c r="C37" i="79"/>
  <c r="C30" i="79" s="1"/>
  <c r="C39" i="79" s="1"/>
  <c r="C61" i="79"/>
  <c r="C59" i="79" s="1"/>
  <c r="C64" i="79"/>
  <c r="J13" i="79"/>
  <c r="J23" i="79" s="1"/>
  <c r="J22" i="79"/>
  <c r="W11" i="39"/>
  <c r="AC11" i="39"/>
  <c r="AB11" i="39"/>
  <c r="U11" i="39"/>
  <c r="K70" i="39"/>
  <c r="L68" i="39"/>
  <c r="W7" i="40"/>
  <c r="AC7" i="40"/>
  <c r="V42" i="40" s="1"/>
  <c r="I42" i="40" s="1"/>
  <c r="S7" i="40"/>
  <c r="AA7" i="40"/>
  <c r="R42" i="40" s="1"/>
  <c r="U7" i="40"/>
  <c r="AB7" i="40"/>
  <c r="T42" i="40" s="1"/>
  <c r="G42" i="40" s="1"/>
  <c r="C28" i="69"/>
  <c r="C27" i="69" s="1"/>
  <c r="C31" i="69" s="1"/>
  <c r="C41" i="69"/>
  <c r="C46" i="69"/>
  <c r="C45" i="69" s="1"/>
  <c r="E40" i="36"/>
  <c r="F40" i="36" s="1"/>
  <c r="E41" i="36"/>
  <c r="F41" i="36" s="1"/>
  <c r="C37" i="36"/>
  <c r="B2" i="36" s="1"/>
  <c r="B3" i="36" s="1"/>
  <c r="C36" i="36"/>
  <c r="L52" i="37"/>
  <c r="M52" i="37" s="1"/>
  <c r="N52" i="37" s="1"/>
  <c r="O52" i="37" s="1"/>
  <c r="H7" i="37"/>
  <c r="L48" i="35"/>
  <c r="I41" i="36"/>
  <c r="J41" i="36" s="1"/>
  <c r="L51" i="67"/>
  <c r="F41" i="80"/>
  <c r="L51" i="78"/>
  <c r="L51" i="79"/>
  <c r="L51" i="15"/>
  <c r="L51" i="80"/>
  <c r="Q52" i="79" l="1"/>
  <c r="F1" i="79"/>
  <c r="F1" i="67"/>
  <c r="Q52" i="67"/>
  <c r="J60" i="67"/>
  <c r="Q52" i="80"/>
  <c r="F1" i="80"/>
  <c r="Q61" i="78"/>
  <c r="Q74" i="78"/>
  <c r="Q61" i="15"/>
  <c r="Q74" i="15"/>
  <c r="Q74" i="80"/>
  <c r="Q61" i="80"/>
  <c r="Q52" i="78"/>
  <c r="F1" i="78"/>
  <c r="C36" i="11"/>
  <c r="C34" i="11"/>
  <c r="C37" i="11"/>
  <c r="Q74" i="79"/>
  <c r="Q61" i="79"/>
  <c r="Q52" i="15"/>
  <c r="L56" i="15"/>
  <c r="F1" i="15"/>
  <c r="C36" i="68"/>
  <c r="C37" i="68"/>
  <c r="C34" i="68"/>
  <c r="C31" i="11"/>
  <c r="Q67" i="67"/>
  <c r="L57" i="67"/>
  <c r="L60" i="67" s="1"/>
  <c r="C43" i="67"/>
  <c r="Q56" i="67"/>
  <c r="C83" i="67"/>
  <c r="C82" i="67" s="1"/>
  <c r="Q47" i="67"/>
  <c r="Q65" i="67"/>
  <c r="C45" i="67"/>
  <c r="C46" i="67" s="1"/>
  <c r="C71" i="67"/>
  <c r="Q69" i="15"/>
  <c r="Q68" i="15" s="1"/>
  <c r="Q68" i="80"/>
  <c r="Q67" i="15"/>
  <c r="L57" i="15"/>
  <c r="L60" i="15" s="1"/>
  <c r="Q66" i="15" s="1"/>
  <c r="C58" i="78"/>
  <c r="C67" i="78" s="1"/>
  <c r="F69" i="80"/>
  <c r="C68" i="80" s="1"/>
  <c r="C71" i="80" s="1"/>
  <c r="J29" i="80"/>
  <c r="Q69" i="78"/>
  <c r="Q68" i="78" s="1"/>
  <c r="C80" i="78"/>
  <c r="C79" i="78" s="1"/>
  <c r="C40" i="80"/>
  <c r="Q67" i="80"/>
  <c r="C58" i="79"/>
  <c r="C67" i="79" s="1"/>
  <c r="J16" i="79"/>
  <c r="J25" i="79" s="1"/>
  <c r="Q67" i="79"/>
  <c r="Q69" i="79"/>
  <c r="Q68" i="79" s="1"/>
  <c r="C80" i="79"/>
  <c r="C79" i="79" s="1"/>
  <c r="G46" i="40"/>
  <c r="H46" i="40" s="1"/>
  <c r="G47" i="40"/>
  <c r="H47" i="40" s="1"/>
  <c r="E42" i="40"/>
  <c r="I47" i="40" s="1"/>
  <c r="J47" i="40" s="1"/>
  <c r="R43" i="40"/>
  <c r="I46" i="40"/>
  <c r="J46" i="40" s="1"/>
  <c r="L70" i="39"/>
  <c r="M68" i="39"/>
  <c r="C49" i="69"/>
  <c r="C51" i="69" s="1"/>
  <c r="C52" i="69" s="1"/>
  <c r="B2" i="69" s="1"/>
  <c r="B3" i="69" s="1"/>
  <c r="Q67" i="78"/>
  <c r="L57" i="78"/>
  <c r="M48" i="35"/>
  <c r="N48" i="35" s="1"/>
  <c r="O48" i="35" s="1"/>
  <c r="H7" i="35"/>
  <c r="J7" i="37"/>
  <c r="F7" i="37"/>
  <c r="U7" i="37"/>
  <c r="AB7" i="37"/>
  <c r="T42" i="37" s="1"/>
  <c r="G42" i="37" s="1"/>
  <c r="AE7" i="1"/>
  <c r="AE8" i="1"/>
  <c r="AE6" i="1"/>
  <c r="C38" i="68" l="1"/>
  <c r="C35" i="68"/>
  <c r="C38" i="11"/>
  <c r="C35" i="11"/>
  <c r="L46" i="67"/>
  <c r="D2" i="67" s="1"/>
  <c r="B3" i="67" s="1"/>
  <c r="Q48" i="67"/>
  <c r="Q53" i="67" s="1"/>
  <c r="B2" i="67"/>
  <c r="Q57" i="67"/>
  <c r="Q66" i="67"/>
  <c r="Q75" i="67" s="1"/>
  <c r="Q62" i="67"/>
  <c r="Q57" i="15"/>
  <c r="Q56" i="80"/>
  <c r="Q62" i="80" s="1"/>
  <c r="B2" i="80"/>
  <c r="Q47" i="80"/>
  <c r="Q53" i="80" s="1"/>
  <c r="C43" i="80"/>
  <c r="Q65" i="80"/>
  <c r="Q75" i="80" s="1"/>
  <c r="C46" i="80"/>
  <c r="C83" i="80"/>
  <c r="C82" i="80" s="1"/>
  <c r="M70" i="39"/>
  <c r="N68" i="39"/>
  <c r="C42" i="40"/>
  <c r="C43" i="40"/>
  <c r="E47" i="40"/>
  <c r="F47" i="40" s="1"/>
  <c r="E46" i="40"/>
  <c r="F46" i="40" s="1"/>
  <c r="C57" i="69"/>
  <c r="C56" i="69" s="1"/>
  <c r="S7" i="37"/>
  <c r="AA7" i="37"/>
  <c r="R42" i="37" s="1"/>
  <c r="AB7" i="35"/>
  <c r="T38" i="35" s="1"/>
  <c r="G38" i="35" s="1"/>
  <c r="U7" i="35"/>
  <c r="G46" i="37"/>
  <c r="H46" i="37" s="1"/>
  <c r="W7" i="37"/>
  <c r="AC7" i="37"/>
  <c r="V42" i="37" s="1"/>
  <c r="I42" i="37" s="1"/>
  <c r="F7" i="35"/>
  <c r="J7" i="35"/>
  <c r="F41" i="79"/>
  <c r="F41" i="15"/>
  <c r="F41" i="78"/>
  <c r="AO9" i="1"/>
  <c r="J29" i="78" l="1"/>
  <c r="F69" i="78"/>
  <c r="C68" i="78" s="1"/>
  <c r="C71" i="78" s="1"/>
  <c r="C40" i="78"/>
  <c r="C43" i="78" s="1"/>
  <c r="J29" i="15"/>
  <c r="F69" i="15"/>
  <c r="C68" i="15" s="1"/>
  <c r="C71" i="15" s="1"/>
  <c r="C40" i="15"/>
  <c r="C43" i="15" s="1"/>
  <c r="J29" i="79"/>
  <c r="C40" i="79"/>
  <c r="F69" i="79"/>
  <c r="C68" i="79" s="1"/>
  <c r="C71" i="79" s="1"/>
  <c r="Q56" i="15"/>
  <c r="Q62" i="15" s="1"/>
  <c r="C83" i="78"/>
  <c r="C82" i="78" s="1"/>
  <c r="C33" i="68"/>
  <c r="C39" i="68" s="1"/>
  <c r="C43" i="68" s="1"/>
  <c r="C33" i="11"/>
  <c r="B9" i="70"/>
  <c r="B3" i="80"/>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O68" i="39"/>
  <c r="O70" i="39" s="1"/>
  <c r="N70" i="39"/>
  <c r="J7" i="39" s="1"/>
  <c r="AC7" i="35"/>
  <c r="V38" i="35" s="1"/>
  <c r="I38" i="35" s="1"/>
  <c r="G43" i="35" s="1"/>
  <c r="H43" i="35" s="1"/>
  <c r="W7" i="35"/>
  <c r="I46" i="37"/>
  <c r="J46" i="37" s="1"/>
  <c r="G47" i="37"/>
  <c r="H47" i="37" s="1"/>
  <c r="R43" i="37"/>
  <c r="E42" i="37"/>
  <c r="AA7" i="35"/>
  <c r="R38" i="35" s="1"/>
  <c r="S7" i="35"/>
  <c r="G42" i="35"/>
  <c r="H42" i="35" s="1"/>
  <c r="Q56" i="78" l="1"/>
  <c r="Q62" i="78" s="1"/>
  <c r="C46" i="78"/>
  <c r="Q65" i="78"/>
  <c r="Q75" i="78" s="1"/>
  <c r="Q47" i="78"/>
  <c r="Q53" i="78" s="1"/>
  <c r="B2" i="78"/>
  <c r="Q47" i="79"/>
  <c r="Q53" i="79" s="1"/>
  <c r="Q65" i="79"/>
  <c r="Q75" i="79" s="1"/>
  <c r="C46" i="15"/>
  <c r="Q65" i="15"/>
  <c r="Q75" i="15" s="1"/>
  <c r="B2" i="79"/>
  <c r="C43" i="79"/>
  <c r="Q56" i="79"/>
  <c r="Q62" i="79" s="1"/>
  <c r="C83" i="79"/>
  <c r="C82" i="79" s="1"/>
  <c r="Q47" i="15"/>
  <c r="Q53" i="15" s="1"/>
  <c r="C83" i="15"/>
  <c r="C82" i="15" s="1"/>
  <c r="B2" i="15"/>
  <c r="C46" i="79"/>
  <c r="B3" i="79"/>
  <c r="E6" i="12" s="1"/>
  <c r="B3" i="78"/>
  <c r="D6" i="12" s="1"/>
  <c r="B3" i="15"/>
  <c r="C6" i="12" s="1"/>
  <c r="C42" i="68"/>
  <c r="C41" i="68" s="1"/>
  <c r="C46" i="68"/>
  <c r="C45" i="68" s="1"/>
  <c r="C39" i="11"/>
  <c r="C42" i="11"/>
  <c r="H7" i="39"/>
  <c r="F7" i="39"/>
  <c r="W7" i="39"/>
  <c r="AC7" i="39"/>
  <c r="V47" i="39" s="1"/>
  <c r="I47" i="39" s="1"/>
  <c r="R39" i="35"/>
  <c r="E38" i="35"/>
  <c r="I43" i="35" s="1"/>
  <c r="J43" i="35" s="1"/>
  <c r="C43" i="37"/>
  <c r="B2" i="37" s="1"/>
  <c r="B3" i="37" s="1"/>
  <c r="C42" i="37"/>
  <c r="E47" i="37"/>
  <c r="F47" i="37" s="1"/>
  <c r="E46" i="37"/>
  <c r="F46" i="37" s="1"/>
  <c r="I47" i="37"/>
  <c r="J47" i="37" s="1"/>
  <c r="I42" i="35"/>
  <c r="J42" i="35" s="1"/>
  <c r="AO7" i="1"/>
  <c r="AO8" i="1"/>
  <c r="AO6" i="1"/>
  <c r="B7" i="70" l="1"/>
  <c r="D8" i="12"/>
  <c r="B8" i="70"/>
  <c r="E8" i="12"/>
  <c r="B6" i="70"/>
  <c r="B2" i="70" s="1"/>
  <c r="B3" i="70" s="1"/>
  <c r="C8" i="12"/>
  <c r="C4" i="12" s="1"/>
  <c r="C49" i="68"/>
  <c r="C51" i="68" s="1"/>
  <c r="C46" i="11"/>
  <c r="C45" i="11" s="1"/>
  <c r="C43" i="11"/>
  <c r="C41" i="11" s="1"/>
  <c r="I51" i="39"/>
  <c r="J51" i="39" s="1"/>
  <c r="S7" i="39"/>
  <c r="AA7" i="39"/>
  <c r="R47" i="39" s="1"/>
  <c r="U7" i="39"/>
  <c r="AB7" i="39"/>
  <c r="T47" i="39" s="1"/>
  <c r="G47" i="39" s="1"/>
  <c r="E43" i="35"/>
  <c r="F43" i="35" s="1"/>
  <c r="E42" i="35"/>
  <c r="F42" i="35" s="1"/>
  <c r="C39" i="35"/>
  <c r="B2" i="35" s="1"/>
  <c r="B3" i="35" s="1"/>
  <c r="C38" i="35"/>
  <c r="C18" i="12"/>
  <c r="C21" i="12" s="1"/>
  <c r="C8" i="68"/>
  <c r="C31" i="12" l="1"/>
  <c r="C23" i="12"/>
  <c r="C49" i="11"/>
  <c r="C51" i="11" s="1"/>
  <c r="C52" i="11" s="1"/>
  <c r="B2" i="11" s="1"/>
  <c r="B3" i="11" s="1"/>
  <c r="G51" i="39"/>
  <c r="H51" i="39" s="1"/>
  <c r="G52" i="39"/>
  <c r="H52" i="39" s="1"/>
  <c r="R48" i="39"/>
  <c r="E47" i="39"/>
  <c r="C22" i="12"/>
  <c r="C30" i="12" s="1"/>
  <c r="C28" i="12" s="1"/>
  <c r="C56" i="11" l="1"/>
  <c r="C57" i="11" s="1"/>
  <c r="C48" i="39"/>
  <c r="C47" i="39"/>
  <c r="E51" i="39"/>
  <c r="F51" i="39" s="1"/>
  <c r="E52" i="39"/>
  <c r="F52" i="39" s="1"/>
  <c r="I52" i="39"/>
  <c r="J52" i="39" s="1"/>
  <c r="C27" i="12"/>
  <c r="C25" i="12" s="1"/>
  <c r="C32" i="12" s="1"/>
  <c r="B2" i="12" s="1"/>
  <c r="D19" i="9"/>
  <c r="B56" i="39" l="1"/>
  <c r="F56" i="39" s="1"/>
  <c r="B57" i="39"/>
  <c r="F57" i="39" s="1"/>
  <c r="B64" i="39"/>
  <c r="F64" i="39" s="1"/>
  <c r="B58" i="39"/>
  <c r="F58" i="39" s="1"/>
  <c r="B65" i="39"/>
  <c r="F65" i="39" s="1"/>
  <c r="B63" i="39"/>
  <c r="F63" i="39" s="1"/>
  <c r="B61" i="39"/>
  <c r="F61" i="39" s="1"/>
  <c r="B59" i="39"/>
  <c r="F59" i="39" s="1"/>
  <c r="B60" i="39"/>
  <c r="F60" i="39" s="1"/>
  <c r="B62" i="39"/>
  <c r="F62" i="39" s="1"/>
  <c r="D102" i="9"/>
  <c r="D21" i="9"/>
  <c r="B3" i="12"/>
  <c r="D20" i="9"/>
  <c r="F66" i="39" l="1"/>
  <c r="B2" i="39" s="1"/>
  <c r="D103" i="9"/>
  <c r="B3" i="39" l="1"/>
  <c r="C6" i="68"/>
  <c r="C7" i="68" l="1"/>
  <c r="C5" i="68" s="1"/>
  <c r="C20" i="68" l="1"/>
  <c r="C25" i="68" s="1"/>
  <c r="C23" i="68"/>
  <c r="C28" i="68" l="1"/>
  <c r="C27" i="68" s="1"/>
  <c r="C22" i="68"/>
  <c r="C31" i="68" l="1"/>
  <c r="C52" i="68" s="1"/>
  <c r="C57" i="68" s="1"/>
  <c r="C56" i="68" s="1"/>
  <c r="B2" i="68" l="1"/>
  <c r="B3" i="68" s="1"/>
  <c r="C19" i="9"/>
  <c r="D35" i="9"/>
  <c r="D34" i="9"/>
  <c r="C20" i="9"/>
  <c r="G19" i="9" l="1"/>
  <c r="C21" i="9"/>
  <c r="D22" i="9"/>
  <c r="C102" i="9"/>
  <c r="C103" i="9"/>
  <c r="G20" i="9"/>
  <c r="G21" i="9" l="1"/>
  <c r="C32" i="9"/>
  <c r="C35" i="9" s="1"/>
  <c r="H118" i="9" l="1"/>
  <c r="H4" i="52" s="1"/>
  <c r="C34" i="9"/>
  <c r="D118" i="9" s="1"/>
  <c r="F118" i="9"/>
  <c r="C104" i="9" l="1"/>
  <c r="H119" i="9"/>
  <c r="H5" i="52" s="1"/>
  <c r="D14" i="74"/>
  <c r="E14" i="74" s="1"/>
  <c r="H101" i="9"/>
  <c r="M48" i="9" s="1"/>
  <c r="I118" i="9"/>
  <c r="C105" i="9" s="1"/>
  <c r="D119" i="9"/>
  <c r="D5" i="52" s="1"/>
  <c r="B49" i="72" s="1"/>
  <c r="D4" i="52"/>
  <c r="B47" i="72" s="1"/>
  <c r="F119" i="9"/>
  <c r="F5" i="52" s="1"/>
  <c r="B53" i="72" s="1"/>
  <c r="G118" i="9"/>
  <c r="G4" i="52" s="1"/>
  <c r="B52" i="72" s="1"/>
  <c r="F4" i="52"/>
  <c r="B51" i="72" s="1"/>
  <c r="F14" i="74"/>
  <c r="D5" i="53"/>
  <c r="D45" i="9" l="1"/>
  <c r="D53" i="9" s="1"/>
  <c r="H107" i="9"/>
  <c r="H108" i="9" s="1"/>
  <c r="D15" i="53" s="1"/>
  <c r="B31" i="72" s="1"/>
  <c r="I4" i="52"/>
  <c r="B5" i="74"/>
  <c r="C5" i="74" s="1"/>
  <c r="H102" i="9"/>
  <c r="D7" i="53" s="1"/>
  <c r="B21" i="72" s="1"/>
  <c r="E118" i="9"/>
  <c r="E4" i="52" s="1"/>
  <c r="B48" i="72" s="1"/>
  <c r="D52" i="9"/>
  <c r="B20" i="72"/>
  <c r="D6" i="53"/>
  <c r="B22" i="72" s="1"/>
  <c r="C72" i="9" l="1"/>
  <c r="C78" i="9"/>
  <c r="C73" i="9" s="1"/>
  <c r="C64" i="9"/>
  <c r="C63" i="9" s="1"/>
  <c r="C67" i="9" s="1"/>
  <c r="C68" i="9" s="1"/>
  <c r="D54" i="9" s="1"/>
  <c r="D55" i="9"/>
  <c r="M53" i="9" s="1"/>
  <c r="C93" i="9"/>
  <c r="C86" i="9" s="1"/>
  <c r="C85" i="9"/>
  <c r="D122" i="9"/>
  <c r="G14" i="74" s="1"/>
  <c r="B6" i="74" s="1"/>
  <c r="M49" i="9"/>
  <c r="L67" i="9" s="1"/>
  <c r="M67" i="9" s="1"/>
  <c r="D5" i="74"/>
  <c r="D13" i="53"/>
  <c r="B30" i="72" s="1"/>
  <c r="D8" i="52"/>
  <c r="C79" i="9" l="1"/>
  <c r="D59" i="9"/>
  <c r="M55" i="9" s="1"/>
  <c r="D14" i="53"/>
  <c r="B32" i="72" s="1"/>
  <c r="D123" i="9"/>
  <c r="D9" i="52" s="1"/>
  <c r="C95" i="9"/>
  <c r="C96" i="9" s="1"/>
  <c r="E96" i="9" s="1"/>
  <c r="E97" i="9" s="1"/>
  <c r="L65" i="9"/>
  <c r="M65" i="9" s="1"/>
  <c r="L64" i="9"/>
  <c r="M64" i="9" s="1"/>
  <c r="L66" i="9"/>
  <c r="M66" i="9" s="1"/>
  <c r="L63" i="9"/>
  <c r="M63" i="9" s="1"/>
  <c r="L68" i="9"/>
  <c r="M68" i="9" s="1"/>
  <c r="C80" i="9"/>
  <c r="E80" i="9" s="1"/>
  <c r="E81" i="9" s="1"/>
  <c r="C6" i="74"/>
  <c r="D6" i="74"/>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<sst xmlns="http://schemas.openxmlformats.org/spreadsheetml/2006/main" count="9523" uniqueCount="3443">
  <si>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</si>
  <si>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</si>
  <si>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</si>
  <si>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</si>
  <si>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</si>
  <si>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</si>
  <si>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</si>
  <si>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</si>
  <si>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</si>
  <si>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</si>
  <si>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</si>
  <si>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</si>
  <si>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</si>
  <si>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</si>
  <si>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</si>
  <si>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</si>
  <si>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</si>
  <si>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</si>
  <si>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</si>
  <si>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</si>
  <si>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</si>
  <si>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</si>
  <si>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</si>
  <si>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</si>
  <si>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</si>
  <si>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</si>
  <si>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</si>
  <si>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</si>
  <si>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</si>
  <si>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</si>
  <si>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</si>
  <si>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</si>
  <si>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</si>
  <si>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</si>
  <si>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</si>
  <si>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</si>
  <si>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</si>
  <si>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</si>
  <si>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</si>
  <si>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</si>
  <si>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</si>
  <si>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</si>
  <si>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</si>
  <si>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</si>
  <si>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</si>
  <si>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</si>
  <si>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</si>
  <si>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</si>
  <si>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</si>
  <si>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</si>
  <si>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</si>
  <si>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</si>
  <si>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</si>
  <si>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</si>
  <si>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</si>
  <si>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</si>
  <si>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</si>
  <si>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</si>
  <si>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</si>
  <si>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</si>
  <si>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</si>
  <si>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</si>
  <si>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</si>
  <si>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</si>
  <si>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</si>
  <si>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</si>
  <si>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</si>
  <si>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</si>
  <si>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</si>
  <si>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</si>
  <si>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</si>
  <si>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</si>
  <si>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</si>
  <si>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</si>
  <si>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</si>
  <si>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</si>
  <si>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</si>
  <si>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</si>
  <si>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</si>
  <si>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</si>
  <si>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</si>
  <si>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</si>
  <si>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</si>
  <si>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</si>
  <si>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</si>
  <si>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</si>
  <si>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</si>
  <si>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</si>
  <si>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</si>
  <si>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</si>
  <si>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</si>
  <si>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</si>
  <si>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</si>
  <si>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</si>
  <si>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</si>
  <si>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</si>
  <si>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</si>
  <si>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</si>
  <si>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</si>
  <si>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</si>
  <si>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</si>
  <si>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</si>
  <si>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</si>
  <si>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</si>
  <si>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</si>
  <si>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</si>
  <si>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</si>
  <si>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</si>
  <si>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</si>
  <si>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</si>
  <si>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</si>
  <si>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</si>
  <si>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</si>
  <si>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</si>
  <si>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</si>
  <si>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</si>
  <si>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</si>
  <si>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</si>
  <si>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</si>
  <si>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</si>
  <si>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</si>
  <si>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</si>
  <si>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</si>
  <si>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</si>
  <si>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</si>
  <si>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</si>
  <si>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</si>
  <si>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</si>
  <si>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</si>
  <si>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</si>
  <si>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</si>
  <si>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</si>
  <si>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</si>
  <si>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</si>
  <si>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</si>
  <si>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</si>
  <si>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</si>
  <si>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</si>
  <si>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</si>
  <si>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</si>
  <si>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</si>
  <si>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</si>
  <si>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</si>
  <si>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</si>
  <si>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</si>
  <si>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</si>
  <si>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</si>
  <si>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</si>
  <si>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</si>
  <si>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</si>
  <si>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</si>
  <si>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</si>
  <si>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</si>
  <si>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</si>
  <si>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</si>
  <si>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</si>
  <si>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</si>
  <si>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</si>
  <si>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</si>
  <si>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</si>
  <si>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</si>
  <si>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</si>
  <si>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</si>
  <si>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</si>
  <si>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</si>
  <si>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</si>
  <si>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</si>
  <si>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</si>
  <si>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</si>
  <si>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</si>
  <si>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</si>
  <si>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</si>
  <si>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</si>
  <si>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</si>
  <si>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</si>
  <si>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</si>
  <si>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</si>
  <si>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</si>
  <si>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</si>
  <si>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</si>
  <si>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</si>
  <si>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</si>
  <si>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</si>
  <si>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</si>
  <si>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</si>
  <si>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</si>
  <si>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</si>
  <si>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</si>
  <si>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</si>
  <si>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</si>
  <si>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</si>
  <si>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</si>
  <si>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</si>
  <si>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</si>
  <si>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</si>
  <si>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</si>
  <si>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</si>
  <si>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</si>
  <si>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</si>
  <si>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</si>
  <si>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</si>
  <si>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</si>
  <si>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</si>
  <si>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</si>
  <si>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</si>
  <si>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</si>
  <si>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</si>
  <si>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</si>
  <si>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</si>
  <si>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</si>
  <si>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</si>
  <si>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</si>
  <si>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</si>
  <si>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</si>
  <si>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</si>
  <si>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</si>
  <si>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</si>
  <si>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</si>
  <si>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</si>
  <si>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</si>
  <si>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</si>
  <si>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</si>
  <si>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</si>
  <si>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</si>
  <si>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</si>
  <si>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</si>
  <si>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</si>
  <si>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</si>
  <si>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</si>
  <si>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</si>
  <si>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</si>
  <si>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</si>
  <si>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</si>
  <si>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</si>
  <si>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</si>
  <si>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</si>
  <si>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</si>
  <si>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</si>
  <si>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</si>
  <si>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</si>
  <si>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</si>
  <si>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</si>
  <si>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</si>
  <si>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</si>
  <si>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</si>
  <si>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</si>
  <si>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</si>
  <si>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</si>
  <si>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</si>
  <si>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</si>
  <si>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</si>
  <si>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</si>
  <si>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</si>
  <si>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</si>
  <si>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</si>
  <si>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</si>
  <si>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</si>
  <si>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</si>
  <si>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</si>
  <si>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</si>
  <si>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</si>
  <si>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</si>
  <si>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</si>
  <si>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</si>
  <si>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</si>
  <si>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</si>
  <si>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</si>
  <si>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</si>
  <si>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</si>
  <si>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</si>
  <si>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</si>
  <si>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</si>
  <si>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</si>
  <si>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</si>
  <si>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</si>
  <si>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</si>
  <si>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</si>
  <si>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</si>
  <si>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</si>
  <si>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</si>
  <si>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</si>
  <si>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</si>
  <si>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</si>
  <si>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</si>
  <si>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</si>
  <si>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</si>
  <si>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</si>
  <si>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</si>
  <si>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</si>
  <si>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</si>
  <si>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</si>
  <si>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</si>
  <si>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</si>
  <si>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</si>
  <si>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</si>
  <si>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</si>
  <si>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</si>
  <si>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</si>
  <si>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</si>
  <si>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</si>
  <si>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</si>
  <si>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</si>
  <si>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</si>
  <si>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</si>
  <si>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</si>
  <si>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</si>
  <si>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</si>
  <si>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</si>
  <si>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</si>
  <si>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</si>
  <si>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</si>
  <si>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</si>
  <si>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</si>
  <si>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</si>
  <si>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</si>
  <si>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</si>
  <si>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</si>
  <si>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</si>
  <si>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</si>
  <si>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</si>
  <si>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</si>
  <si>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</si>
  <si>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</si>
  <si>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</si>
  <si>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</si>
  <si>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</si>
  <si>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</si>
  <si>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</si>
  <si>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</si>
  <si>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</si>
  <si>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</si>
  <si>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</si>
  <si>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</si>
  <si>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</si>
  <si>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</si>
  <si>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</si>
  <si>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</si>
  <si>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</si>
  <si>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</si>
  <si>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</si>
  <si>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</si>
  <si>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</si>
  <si>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</si>
  <si>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</si>
  <si>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</si>
  <si>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</si>
  <si>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</si>
  <si>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</si>
  <si>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</si>
  <si>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</si>
  <si>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</si>
  <si>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</si>
  <si>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</si>
  <si>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</si>
  <si>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</si>
  <si>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</si>
  <si>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</si>
  <si>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</si>
  <si>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</si>
  <si>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</si>
  <si>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</si>
  <si>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</si>
  <si>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</si>
  <si>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</si>
  <si>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</si>
  <si>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</si>
  <si>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</si>
  <si>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</si>
  <si>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</si>
  <si>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</si>
  <si>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</si>
  <si>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</si>
  <si>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</si>
  <si>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</si>
  <si>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</si>
  <si>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</si>
  <si>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</si>
  <si>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</si>
  <si>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</si>
  <si>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</si>
  <si>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</si>
  <si>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</si>
  <si>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</si>
  <si>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</si>
  <si>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</si>
  <si>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</si>
  <si>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</si>
  <si>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</si>
  <si>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</si>
  <si>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</si>
  <si>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</si>
  <si>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</si>
  <si>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</si>
  <si>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</si>
  <si>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</si>
  <si>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</si>
  <si>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</si>
  <si>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</si>
  <si>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</si>
  <si>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</si>
  <si>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</si>
  <si>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</si>
  <si>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</si>
  <si>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</si>
  <si>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</si>
  <si>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</si>
  <si>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</si>
  <si>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</si>
  <si>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</si>
  <si>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</si>
  <si>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</si>
  <si>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</si>
  <si>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</si>
  <si>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</si>
  <si>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</si>
  <si>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</si>
  <si>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</si>
  <si>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</si>
  <si>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</si>
  <si>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</si>
  <si>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</si>
  <si>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</si>
  <si>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</si>
  <si>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</si>
  <si>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</si>
  <si>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</si>
  <si>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</si>
  <si>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</si>
  <si>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</si>
  <si>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</si>
  <si>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</si>
  <si>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</si>
  <si>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</si>
  <si>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</si>
  <si>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</si>
  <si>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</si>
  <si>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</si>
  <si>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</si>
  <si>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</si>
  <si>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</si>
  <si>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</si>
  <si>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</si>
  <si>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</si>
  <si>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</si>
  <si>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</si>
  <si>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</si>
  <si>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</si>
  <si>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</si>
  <si>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</si>
  <si>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</si>
  <si>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</si>
  <si>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</si>
  <si>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</si>
  <si>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</si>
  <si>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</si>
  <si>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</si>
  <si>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</si>
  <si>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</si>
  <si>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</si>
  <si>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</si>
  <si>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</si>
  <si>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</si>
  <si>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</si>
  <si>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</si>
  <si>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</si>
  <si>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</si>
  <si>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</si>
  <si>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</si>
  <si>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</si>
  <si>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</si>
  <si>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</si>
  <si>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</si>
  <si>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</si>
  <si>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</si>
  <si>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</si>
  <si>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</si>
  <si>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</si>
  <si>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</si>
  <si>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</si>
  <si>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</si>
  <si>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</si>
  <si>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</si>
  <si>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</si>
  <si>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</si>
  <si>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</si>
  <si>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</si>
  <si>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</si>
  <si>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</si>
  <si>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</si>
  <si>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</si>
  <si>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</si>
  <si>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</si>
  <si>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</si>
  <si>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</si>
  <si>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</si>
  <si>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</si>
  <si>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</si>
  <si>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</si>
  <si>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</si>
  <si>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</si>
  <si>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</si>
  <si>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</si>
  <si>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</si>
  <si>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</si>
  <si>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</si>
  <si>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</si>
  <si>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</si>
  <si>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</si>
  <si>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</si>
  <si>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</si>
  <si>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</si>
  <si>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</si>
  <si>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</si>
  <si>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</si>
  <si>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</si>
  <si>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</si>
  <si>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</si>
  <si>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</si>
  <si>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</si>
  <si>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</si>
  <si>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</si>
  <si>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</si>
  <si>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</si>
  <si>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</si>
  <si>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</si>
  <si>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</si>
  <si>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</si>
  <si>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</si>
  <si>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</si>
  <si>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</si>
  <si>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</si>
  <si>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</si>
  <si>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</si>
  <si>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</si>
  <si>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</si>
  <si>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</si>
  <si>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</si>
  <si>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</si>
  <si>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</si>
  <si>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</si>
  <si>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</si>
  <si>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</si>
  <si>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</si>
  <si>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</si>
  <si>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</si>
  <si>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</si>
  <si>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</si>
  <si>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</si>
  <si>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</si>
  <si>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</si>
  <si>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</si>
  <si>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</si>
  <si>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</si>
  <si>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</si>
  <si>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</si>
  <si>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</si>
  <si>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</si>
  <si>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</si>
  <si>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</si>
  <si>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</si>
  <si>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</si>
  <si>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</si>
  <si>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</si>
  <si>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</si>
  <si>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</si>
  <si>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</si>
  <si>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</si>
  <si>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</si>
  <si>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</si>
  <si>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</si>
  <si>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</si>
  <si>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</si>
  <si>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</si>
  <si>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</si>
  <si>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</si>
  <si>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</si>
  <si>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</si>
  <si>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</si>
  <si>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</si>
  <si>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</si>
  <si>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</si>
  <si>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</si>
  <si>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</si>
  <si>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</si>
  <si>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</si>
  <si>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</si>
  <si>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</si>
  <si>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</si>
  <si>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</si>
  <si>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</si>
  <si>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</si>
  <si>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</si>
  <si>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</si>
  <si>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</si>
  <si>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</si>
  <si>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</si>
  <si>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</si>
  <si>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</si>
  <si>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</si>
  <si>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</si>
  <si>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</si>
  <si>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</si>
  <si>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</si>
  <si>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</si>
  <si>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</si>
  <si>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</si>
  <si>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</si>
  <si>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</si>
  <si>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</si>
  <si>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</si>
  <si>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</si>
  <si>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</si>
  <si>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</si>
  <si>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</si>
  <si>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</si>
  <si>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</si>
  <si>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</si>
  <si>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</si>
  <si>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</si>
  <si>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</si>
  <si>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</si>
  <si>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</si>
  <si>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</si>
  <si>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</si>
  <si>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</si>
  <si>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</si>
  <si>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</si>
  <si>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</si>
  <si>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</si>
  <si>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</si>
  <si>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</si>
  <si>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</si>
  <si>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</si>
  <si>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</si>
  <si>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</si>
  <si>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</si>
  <si>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</si>
  <si>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</si>
  <si>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</si>
  <si>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</si>
  <si>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</si>
  <si>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</si>
  <si>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</si>
  <si>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</si>
  <si>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</si>
  <si>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</si>
  <si>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</si>
  <si>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</si>
  <si>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</si>
  <si>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</si>
  <si>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</si>
  <si>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</si>
  <si>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</si>
  <si>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</si>
  <si>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</si>
  <si>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</si>
  <si>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</si>
  <si>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</si>
  <si>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</si>
  <si>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</si>
  <si>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</si>
  <si>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</si>
  <si>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</si>
  <si>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</si>
  <si>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</si>
  <si>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</si>
  <si>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</si>
  <si>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</si>
  <si>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</si>
  <si>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</si>
  <si>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</si>
  <si>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</si>
  <si>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</si>
  <si>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</si>
  <si>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</si>
  <si>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</si>
  <si>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</si>
  <si>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</si>
  <si>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</si>
  <si>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</si>
  <si>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</si>
  <si>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</si>
  <si>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</si>
  <si>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</si>
  <si>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</si>
  <si>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</si>
  <si>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</si>
  <si>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</si>
  <si>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</si>
  <si>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</si>
  <si>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</si>
  <si>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</si>
  <si>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</si>
  <si>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</si>
  <si>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</si>
  <si>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</si>
  <si>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</si>
  <si>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</si>
  <si>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</si>
  <si>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</si>
  <si>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</si>
  <si>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</si>
  <si>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</si>
  <si>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</si>
  <si>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</si>
  <si>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</si>
  <si>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</si>
  <si>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</si>
  <si>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</si>
  <si>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</si>
  <si>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</si>
  <si>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</si>
  <si>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</si>
  <si>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</si>
  <si>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</si>
  <si>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</si>
  <si>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</si>
  <si>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</si>
  <si>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</si>
  <si>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</si>
  <si>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</si>
  <si>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</si>
  <si>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</si>
  <si>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</si>
  <si>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</si>
  <si>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</si>
  <si>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</si>
  <si>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</si>
  <si>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</si>
  <si>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</si>
  <si>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</si>
  <si>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</si>
  <si>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</si>
  <si>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</si>
  <si>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</si>
  <si>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</si>
  <si>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</si>
  <si>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</si>
  <si>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</si>
  <si>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</si>
  <si>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</si>
  <si>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</si>
  <si>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</si>
  <si>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</si>
  <si>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</si>
  <si>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</si>
  <si>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</si>
  <si>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</si>
  <si>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</si>
  <si>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</si>
  <si>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</si>
  <si>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</si>
  <si>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</si>
  <si>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</si>
  <si>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</si>
  <si>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</si>
  <si>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</si>
  <si>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</si>
  <si>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</si>
  <si>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</si>
  <si>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</si>
  <si>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</si>
  <si>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</si>
  <si>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</si>
  <si>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</si>
  <si>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</si>
  <si>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</si>
  <si>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</si>
  <si>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</si>
  <si>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</si>
  <si>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</si>
  <si>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</si>
  <si>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</si>
  <si>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</si>
  <si>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</si>
  <si>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</si>
  <si>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</si>
  <si>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</si>
  <si>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</si>
  <si>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</si>
  <si>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</si>
  <si>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</si>
  <si>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</si>
  <si>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</si>
  <si>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</si>
  <si>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</si>
  <si>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</si>
  <si>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</si>
  <si>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</si>
  <si>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</si>
  <si>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</si>
  <si>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</si>
  <si>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</si>
  <si>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</si>
  <si>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</si>
  <si>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</si>
  <si>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</si>
  <si>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</si>
  <si>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</si>
  <si>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</si>
  <si>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</si>
  <si>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</si>
  <si>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</si>
  <si>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</si>
  <si>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</si>
  <si>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</si>
  <si>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</si>
  <si>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</si>
  <si>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</si>
  <si>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</si>
  <si>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</si>
  <si>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</si>
  <si>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</si>
  <si>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</si>
  <si>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</si>
  <si>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</si>
  <si>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</si>
  <si>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</si>
  <si>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</si>
  <si>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</si>
  <si>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</si>
  <si>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</si>
  <si>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</si>
  <si>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</si>
  <si>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</si>
  <si>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</si>
  <si>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</si>
  <si>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</si>
  <si>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</si>
  <si>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</si>
  <si>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</si>
  <si>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</si>
  <si>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</si>
  <si>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</si>
  <si>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</si>
  <si>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</si>
  <si>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</si>
  <si>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</si>
  <si>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</si>
  <si>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</si>
  <si>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</si>
  <si>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</si>
  <si>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</si>
  <si>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</si>
  <si>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</si>
  <si>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</si>
  <si>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</si>
  <si>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</si>
  <si>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</si>
  <si>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</si>
  <si>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</si>
  <si>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</si>
  <si>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</si>
  <si>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</si>
  <si>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</si>
  <si>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</si>
  <si>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</si>
  <si>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</si>
  <si>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</si>
  <si>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</si>
  <si>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</si>
  <si>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</si>
  <si>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</si>
  <si>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</si>
  <si>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</si>
  <si>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</si>
  <si>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</si>
  <si>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</si>
  <si>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</si>
  <si>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</si>
  <si>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</si>
  <si>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</si>
  <si>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</si>
  <si>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</si>
  <si>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</si>
  <si>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</si>
  <si>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</si>
  <si>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</si>
  <si>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</si>
  <si>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</si>
  <si>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</si>
  <si>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</si>
  <si>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</si>
  <si>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</si>
  <si>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</si>
  <si>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</si>
  <si>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</si>
  <si>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</si>
  <si>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</si>
  <si>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</si>
  <si>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</si>
  <si>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</si>
  <si>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</si>
  <si>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</si>
  <si>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</si>
  <si>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</si>
  <si>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</si>
  <si>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</si>
  <si>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</si>
  <si>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</si>
  <si>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</si>
  <si>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</si>
  <si>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</si>
  <si>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</si>
  <si>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</si>
  <si>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</si>
  <si>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</si>
  <si>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</si>
  <si>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</si>
  <si>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</si>
  <si>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</si>
  <si>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</si>
  <si>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</si>
  <si>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</si>
  <si>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</si>
  <si>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</si>
  <si>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</si>
  <si>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</si>
  <si>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</si>
  <si>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</si>
  <si>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</si>
  <si>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</si>
  <si>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</si>
  <si>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</si>
  <si>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</si>
  <si>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</si>
  <si>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</si>
  <si>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</si>
  <si>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</si>
  <si>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</si>
  <si>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</si>
  <si>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</si>
  <si>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</si>
  <si>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</si>
  <si>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</si>
  <si>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</si>
  <si>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</si>
  <si>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</si>
  <si>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</si>
  <si>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</si>
  <si>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</si>
  <si>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</si>
  <si>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</si>
  <si>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</si>
  <si>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</si>
  <si>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</si>
  <si>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</si>
  <si>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</si>
  <si>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</si>
  <si>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</si>
  <si>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</si>
  <si>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</si>
  <si>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</si>
  <si>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</si>
  <si>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</si>
  <si>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</si>
  <si>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</si>
  <si>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</si>
  <si>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</si>
  <si>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</si>
  <si>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</si>
  <si>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</si>
  <si>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</si>
  <si>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</si>
  <si>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</si>
  <si>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</si>
  <si>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</si>
  <si>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</si>
  <si>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</si>
  <si>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</si>
  <si>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</si>
  <si>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</si>
  <si>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</si>
  <si>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</si>
  <si>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</si>
  <si>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</si>
  <si>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</si>
  <si>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</si>
  <si>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</si>
  <si>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</si>
  <si>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</si>
  <si>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</si>
  <si>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</si>
  <si>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</si>
  <si>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</si>
  <si>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</si>
  <si>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</si>
  <si>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</si>
  <si>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</si>
  <si>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</si>
  <si>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</si>
  <si>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</si>
  <si>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</si>
  <si>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</si>
  <si>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</si>
  <si>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</si>
  <si>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</si>
  <si>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</si>
  <si>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</si>
  <si>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</si>
  <si>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</si>
  <si>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</si>
  <si>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</si>
  <si>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</si>
  <si>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</si>
  <si>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</si>
  <si>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</si>
  <si>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</si>
  <si>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</si>
  <si>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</si>
  <si>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</si>
  <si>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</si>
  <si>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</si>
  <si>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</si>
  <si>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</si>
  <si>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</si>
  <si>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</si>
  <si>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</si>
  <si>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</si>
  <si>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</si>
  <si>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</si>
  <si>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</si>
  <si>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</si>
  <si>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</si>
  <si>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</si>
  <si>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</si>
  <si>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</si>
  <si>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</si>
  <si>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</si>
  <si>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</si>
  <si>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</si>
  <si>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</si>
  <si>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</si>
  <si>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</si>
  <si>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</si>
  <si>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</si>
  <si>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</si>
  <si>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</si>
  <si>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</si>
  <si>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</si>
  <si>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</si>
  <si>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</si>
  <si>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</si>
  <si>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</si>
  <si>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</si>
  <si>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</si>
  <si>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</si>
  <si>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</si>
  <si>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</si>
  <si>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</si>
  <si>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</si>
  <si>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</si>
  <si>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</si>
  <si>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</si>
  <si>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</si>
  <si>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</si>
  <si>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</si>
  <si>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</si>
  <si>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</si>
  <si>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</si>
  <si>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</si>
  <si>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</si>
  <si>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</si>
  <si>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</si>
  <si>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</si>
  <si>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</si>
  <si>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</si>
  <si>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</si>
  <si>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</si>
  <si>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</si>
  <si>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</si>
  <si>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</si>
  <si>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</si>
  <si>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</si>
  <si>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</si>
  <si>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</si>
  <si>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</si>
  <si>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</si>
  <si>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</si>
  <si>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</si>
  <si>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</si>
  <si>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</si>
  <si>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</si>
  <si>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</si>
  <si>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</si>
  <si>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</si>
  <si>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</si>
  <si>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</si>
  <si>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</si>
  <si>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</si>
  <si>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</si>
  <si>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</si>
  <si>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</si>
  <si>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</si>
  <si>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</si>
  <si>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</si>
  <si>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</si>
  <si>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</si>
  <si>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</si>
  <si>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</si>
  <si>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</si>
  <si>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</si>
  <si>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</si>
  <si>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</si>
  <si>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</si>
  <si>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</si>
  <si>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</si>
  <si>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</si>
  <si>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</si>
  <si>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</si>
  <si>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</si>
  <si>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</si>
  <si>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</si>
  <si>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</si>
  <si>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</si>
  <si>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</si>
  <si>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</si>
  <si>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</si>
  <si>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</si>
  <si>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</si>
  <si>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</si>
  <si>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</si>
  <si>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</si>
  <si>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</si>
  <si>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</si>
  <si>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</si>
  <si>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</si>
  <si>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</si>
  <si>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</si>
  <si>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</si>
  <si>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</si>
  <si>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</si>
  <si>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</si>
  <si>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</si>
  <si>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</si>
  <si>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</si>
  <si>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</si>
  <si>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</si>
  <si>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</si>
  <si>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</si>
  <si>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</si>
  <si>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</si>
  <si>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</si>
  <si>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</si>
  <si>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</si>
  <si>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</si>
  <si>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</si>
  <si>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</si>
  <si>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</si>
  <si>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</si>
  <si>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</si>
  <si>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</si>
  <si>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</si>
  <si>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</si>
  <si>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</si>
  <si>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</si>
  <si>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</si>
  <si>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</si>
  <si>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</si>
  <si>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</si>
  <si>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</si>
  <si>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</si>
  <si>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</si>
  <si>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</si>
  <si>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</si>
  <si>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</si>
  <si>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</si>
  <si>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</si>
  <si>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</si>
  <si>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</si>
  <si>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</si>
  <si>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</si>
  <si>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</si>
  <si>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</si>
  <si>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</si>
  <si>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</si>
  <si>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</si>
  <si>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</si>
  <si>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</si>
  <si>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</si>
  <si>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</si>
  <si>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</si>
  <si>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</si>
  <si>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</si>
  <si>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</si>
  <si>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</si>
  <si>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</si>
  <si>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</si>
  <si>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</si>
  <si>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</si>
  <si>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</si>
  <si>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</si>
  <si>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</si>
  <si>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</si>
  <si>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</si>
  <si>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</si>
  <si>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</si>
  <si>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</si>
  <si>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</si>
  <si>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</si>
  <si>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</si>
  <si>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</si>
  <si>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</si>
  <si>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</si>
  <si>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</si>
  <si>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</si>
  <si>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</si>
  <si>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</si>
  <si>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</si>
  <si>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</si>
  <si>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</si>
  <si>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</si>
  <si>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</si>
  <si>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</si>
  <si>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</si>
  <si>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</si>
  <si>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</si>
  <si>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</si>
  <si>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</si>
  <si>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</si>
  <si>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</si>
  <si>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</si>
  <si>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</si>
  <si>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</si>
  <si>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</si>
  <si>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</si>
  <si>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</si>
  <si>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</si>
  <si>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</si>
  <si>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</si>
  <si>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</si>
  <si>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</si>
  <si>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</si>
  <si>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</si>
  <si>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</si>
  <si>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</si>
  <si>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</si>
  <si>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</si>
  <si>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</si>
  <si>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</si>
  <si>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</si>
  <si>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</si>
  <si>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</si>
  <si>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</si>
  <si>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</si>
  <si>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</si>
  <si>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</si>
  <si>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</si>
  <si>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</si>
  <si>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</si>
  <si>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</si>
  <si>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</si>
  <si>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</si>
  <si>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</si>
  <si>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</si>
  <si>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</si>
  <si>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</si>
  <si>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</si>
  <si>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</si>
  <si>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</si>
  <si>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</si>
  <si>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</si>
  <si>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</si>
  <si>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</si>
  <si>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</si>
  <si>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</si>
  <si>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</si>
  <si>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</si>
  <si>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</si>
  <si>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</si>
  <si>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</si>
  <si>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</si>
  <si>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</si>
  <si>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</si>
  <si>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</si>
  <si>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</si>
  <si>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</si>
  <si>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</si>
  <si>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</si>
  <si>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</si>
  <si>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</si>
  <si>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</si>
  <si>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</si>
  <si>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</si>
  <si>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</si>
  <si>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</si>
  <si>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</si>
  <si>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</si>
  <si>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</si>
  <si>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</si>
  <si>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</si>
  <si>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</si>
  <si>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</si>
  <si>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</si>
  <si>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</si>
  <si>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</si>
  <si>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</si>
  <si>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</si>
  <si>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</si>
  <si>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</si>
  <si>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</si>
  <si>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</si>
  <si>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</si>
  <si>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</si>
  <si>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</si>
  <si>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</si>
  <si>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</si>
  <si>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</si>
  <si>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</si>
  <si>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</si>
  <si>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</si>
  <si>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</si>
  <si>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</si>
  <si>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</si>
  <si>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</si>
  <si>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</si>
  <si>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</si>
  <si>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</si>
  <si>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</si>
  <si>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</si>
  <si>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</si>
  <si>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</si>
  <si>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</si>
  <si>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</si>
  <si>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</si>
  <si>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</si>
  <si>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</si>
  <si>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</si>
  <si>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</si>
  <si>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</si>
  <si>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</si>
  <si>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</si>
  <si>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</si>
  <si>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</si>
  <si>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</si>
  <si>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</si>
  <si>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</si>
  <si>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</si>
  <si>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</si>
  <si>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</si>
  <si>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</si>
  <si>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</si>
  <si>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</si>
  <si>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</si>
  <si>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</si>
  <si>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</si>
  <si>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</si>
  <si>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</si>
  <si>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</si>
  <si>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</si>
  <si>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</si>
  <si>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</si>
  <si>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</si>
  <si>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</si>
  <si>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</si>
  <si>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</si>
  <si>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</si>
  <si>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</si>
  <si>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</si>
  <si>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</si>
  <si>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</si>
  <si>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</si>
  <si>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</si>
  <si>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</si>
  <si>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</si>
  <si>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</si>
  <si>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</si>
  <si>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</si>
  <si>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</si>
  <si>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</si>
  <si>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</si>
  <si>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</si>
  <si>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</si>
  <si>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</si>
  <si>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</si>
  <si>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</si>
  <si>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</si>
  <si>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</si>
  <si>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</si>
  <si>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</si>
  <si>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</si>
  <si>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</si>
  <si>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</si>
  <si>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</si>
  <si>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</si>
  <si>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</si>
  <si>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</si>
  <si>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</si>
  <si>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</si>
  <si>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</si>
  <si>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</si>
  <si>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</si>
  <si>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</si>
  <si>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</si>
  <si>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</si>
  <si>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</si>
  <si>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</si>
  <si>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</si>
  <si>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</si>
  <si>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</si>
  <si>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</si>
  <si>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</si>
  <si>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</si>
  <si>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</si>
  <si>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</si>
  <si>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</si>
  <si>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</si>
  <si>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</si>
  <si>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</si>
  <si>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</si>
  <si>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</si>
  <si>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</si>
  <si>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</si>
  <si>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</si>
  <si>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</si>
  <si>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</si>
  <si>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</si>
  <si>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</si>
  <si>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</si>
  <si>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</si>
  <si>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</si>
  <si>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</si>
  <si>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</si>
  <si>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</si>
  <si>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</si>
  <si>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</si>
  <si>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</si>
  <si>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</si>
  <si>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</si>
  <si>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</si>
  <si>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</si>
  <si>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</si>
  <si>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</si>
  <si>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</si>
  <si>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</si>
  <si>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</si>
  <si>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</si>
  <si>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</si>
  <si>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</si>
  <si>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</si>
  <si>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</si>
  <si>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</si>
  <si>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</si>
  <si>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</si>
  <si>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</si>
  <si>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</si>
  <si>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</si>
  <si>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</si>
  <si>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</si>
  <si>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</si>
  <si>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</si>
  <si>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</si>
  <si>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</si>
  <si>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</si>
  <si>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</si>
  <si>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</si>
  <si>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</si>
  <si>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</si>
  <si>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</si>
  <si>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</si>
  <si>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</si>
  <si>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</si>
  <si>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</si>
  <si>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</si>
  <si>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</si>
  <si>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</si>
  <si>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</si>
  <si>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</si>
  <si>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</si>
  <si>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</si>
  <si>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</si>
  <si>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</si>
  <si>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</si>
  <si>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</si>
  <si>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</si>
  <si>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</si>
  <si>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</si>
  <si>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</si>
  <si>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</si>
  <si>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</si>
  <si>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</si>
  <si>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</si>
  <si>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</si>
  <si>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</si>
  <si>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</si>
  <si>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</si>
  <si>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</si>
  <si>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</si>
  <si>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</si>
  <si>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</si>
  <si>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</si>
  <si>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</si>
  <si>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</si>
  <si>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</si>
  <si>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</si>
  <si>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</si>
  <si>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</si>
  <si>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</si>
  <si>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</si>
  <si>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</si>
  <si>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</si>
  <si>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</si>
  <si>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</si>
  <si>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</si>
  <si>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</si>
  <si>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</si>
  <si>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</si>
  <si>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</si>
  <si>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</si>
  <si>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</si>
  <si>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</si>
  <si>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</si>
  <si>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</si>
  <si>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</si>
  <si>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</si>
  <si>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</si>
  <si>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</si>
  <si>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</si>
  <si>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</si>
  <si>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</si>
  <si>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</si>
  <si>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</si>
  <si>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</si>
  <si>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</si>
  <si>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</si>
  <si>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</si>
  <si>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</si>
  <si>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</si>
  <si>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</si>
  <si>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</si>
  <si>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</si>
  <si>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</si>
  <si>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</si>
  <si>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</si>
  <si>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</si>
  <si>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</si>
  <si>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</si>
  <si>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</si>
  <si>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</si>
  <si>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</si>
  <si>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</si>
  <si>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</si>
  <si>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</si>
  <si>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</si>
  <si>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</si>
  <si>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</si>
  <si>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</si>
  <si>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</si>
  <si>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</si>
  <si>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</si>
  <si>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</si>
  <si>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</si>
  <si>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</si>
  <si>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</si>
  <si>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</si>
  <si>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</si>
  <si>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</si>
  <si>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</si>
  <si>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</si>
  <si>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</si>
  <si>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</si>
  <si>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</si>
  <si>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</si>
  <si>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</si>
  <si>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</si>
  <si>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</si>
  <si>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</si>
  <si>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</si>
  <si>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</si>
  <si>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</si>
  <si>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</si>
  <si>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</si>
  <si>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</si>
  <si>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</si>
  <si>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</si>
  <si>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</si>
  <si>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</si>
  <si>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</si>
  <si>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</si>
  <si>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</si>
  <si>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</si>
  <si>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</si>
  <si>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</si>
  <si>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</si>
  <si>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</si>
  <si>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</si>
  <si>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</si>
  <si>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</si>
  <si>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</si>
  <si>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</si>
  <si>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</si>
  <si>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</si>
  <si>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</si>
  <si>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</si>
  <si>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</si>
  <si>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</si>
  <si>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</si>
  <si>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</si>
  <si>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</si>
  <si>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</si>
  <si>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</si>
  <si>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</si>
  <si>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</si>
  <si>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</si>
  <si>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</si>
  <si>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</si>
  <si>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</si>
  <si>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</si>
  <si>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</si>
  <si>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</si>
  <si>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</si>
  <si>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</si>
  <si>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</si>
  <si>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</si>
  <si>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</si>
  <si>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</si>
  <si>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</si>
  <si>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</si>
  <si>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</si>
  <si>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</si>
  <si>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</si>
  <si>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</si>
  <si>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</si>
  <si>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</si>
  <si>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</si>
  <si>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</si>
  <si>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</si>
  <si>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</si>
  <si>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</si>
  <si>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</si>
  <si>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</si>
  <si>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</si>
  <si>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</si>
  <si>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</si>
  <si>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</si>
  <si>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</si>
  <si>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</si>
  <si>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</si>
  <si>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</si>
  <si>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</si>
  <si>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</si>
  <si>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</si>
  <si>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</si>
  <si>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</si>
  <si>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</si>
  <si>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</si>
  <si>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</si>
  <si>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</si>
  <si>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</si>
  <si>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</si>
  <si>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</si>
  <si>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</si>
  <si>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</si>
  <si>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</si>
  <si>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</si>
  <si>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</si>
  <si>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</si>
  <si>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</si>
  <si>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</si>
  <si>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</si>
  <si>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</si>
  <si>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</si>
  <si>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</si>
  <si>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</si>
  <si>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</si>
  <si>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</si>
  <si>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</si>
  <si>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</si>
  <si>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</si>
  <si>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</si>
  <si>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</si>
  <si>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</si>
  <si>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</si>
  <si>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</si>
  <si>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</si>
  <si>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</si>
  <si>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</si>
  <si>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</si>
  <si>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</si>
  <si>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</si>
  <si>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</si>
  <si>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</si>
  <si>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</si>
  <si>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</si>
  <si>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</si>
  <si>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</si>
  <si>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</si>
  <si>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</si>
  <si>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</si>
  <si>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</si>
  <si>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</si>
  <si>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</si>
  <si>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</si>
  <si>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</si>
  <si>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</si>
  <si>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</si>
  <si>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</si>
  <si>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</si>
  <si>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</si>
  <si>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</si>
  <si>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</si>
  <si>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</si>
  <si>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</si>
  <si>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</si>
  <si>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</si>
  <si>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</si>
  <si>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</si>
  <si>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</si>
  <si>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</si>
  <si>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</si>
  <si>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</si>
  <si>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</si>
  <si>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</si>
  <si>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</si>
  <si>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</si>
  <si>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</si>
  <si>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</si>
  <si>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</si>
  <si>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</si>
  <si>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</si>
  <si>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</si>
  <si>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</si>
  <si>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</si>
  <si>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</si>
  <si>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</si>
  <si>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</si>
  <si>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</si>
  <si>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</si>
  <si>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</si>
  <si>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</si>
  <si>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</si>
  <si>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</si>
  <si>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</si>
  <si>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</si>
  <si>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</si>
  <si>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</si>
  <si>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</si>
  <si>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</si>
  <si>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</si>
  <si>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</si>
  <si>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</si>
  <si>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</si>
  <si>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</si>
  <si>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</si>
  <si>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</si>
  <si>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</si>
  <si>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</si>
  <si>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</si>
  <si>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</si>
  <si>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</si>
  <si>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</si>
  <si>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</si>
  <si>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</si>
  <si>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</si>
  <si>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</si>
  <si>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</si>
  <si>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</si>
  <si>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</si>
  <si>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</si>
  <si>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</si>
  <si>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</si>
  <si>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</si>
  <si>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</si>
  <si>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</si>
  <si>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</si>
  <si>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</si>
  <si>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</si>
  <si>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</si>
  <si>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</si>
  <si>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</si>
  <si>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</si>
  <si>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</si>
  <si>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</si>
  <si>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</si>
  <si>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</si>
  <si>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</si>
  <si>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</si>
  <si>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</si>
  <si>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</si>
  <si>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</si>
  <si>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</si>
  <si>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</si>
  <si>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</si>
  <si>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</si>
  <si>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</si>
  <si>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</si>
  <si>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</si>
  <si>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</si>
  <si>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</si>
  <si>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</si>
  <si>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</si>
  <si>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</si>
  <si>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</si>
  <si>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</si>
  <si>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</si>
  <si>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</si>
  <si>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</si>
  <si>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</si>
  <si>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</si>
  <si>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</si>
  <si>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</si>
  <si>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</si>
  <si>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</si>
  <si>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</si>
  <si>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</si>
  <si>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</si>
  <si>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</si>
  <si>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</si>
  <si>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</si>
  <si>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</si>
  <si>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</si>
  <si>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</si>
  <si>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</si>
  <si>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</si>
  <si>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</si>
  <si>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</si>
  <si>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</si>
  <si>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</si>
  <si>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</si>
  <si>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</si>
  <si>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</si>
  <si>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</si>
  <si>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</si>
  <si>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</si>
  <si>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</si>
  <si>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</si>
  <si>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</si>
  <si>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</si>
  <si>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</si>
  <si>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</si>
  <si>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</si>
  <si>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</si>
  <si>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</si>
  <si>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</si>
  <si>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</si>
  <si>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</si>
  <si>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</si>
  <si>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</si>
  <si>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</si>
  <si>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</si>
  <si>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</si>
  <si>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</si>
  <si>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</si>
  <si>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</si>
  <si>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</si>
  <si>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</si>
  <si>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</si>
  <si>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</si>
  <si>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</si>
  <si>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</si>
  <si>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</si>
  <si>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</si>
  <si>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</si>
  <si>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</si>
  <si>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</si>
  <si>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</si>
  <si>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</si>
  <si>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</si>
  <si>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</si>
  <si>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</si>
  <si>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</si>
  <si>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</si>
  <si>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</si>
  <si>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</si>
  <si>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</si>
  <si>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</si>
  <si>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</si>
  <si>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</si>
  <si>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</si>
  <si>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</si>
  <si>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</si>
  <si>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</si>
  <si>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</si>
  <si>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</si>
  <si>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</si>
  <si>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</si>
  <si>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</si>
  <si>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</si>
  <si>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</si>
  <si>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</si>
  <si>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</si>
  <si>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</si>
  <si>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</si>
  <si>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</si>
  <si>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</si>
  <si>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</si>
  <si>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</si>
  <si>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</si>
  <si>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</si>
  <si>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</si>
  <si>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</si>
  <si>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</si>
  <si>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</si>
  <si>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</si>
  <si>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</si>
  <si>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</si>
  <si>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</si>
  <si>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</si>
  <si>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</si>
  <si>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</si>
  <si>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</si>
  <si>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</si>
  <si>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</si>
  <si>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</si>
  <si>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</si>
  <si>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</si>
  <si>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</si>
  <si>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</si>
  <si>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</si>
  <si>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</si>
  <si>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</si>
  <si>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</si>
  <si>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</si>
  <si>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</si>
  <si>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</si>
  <si>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</si>
  <si>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</si>
  <si>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</si>
  <si>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</si>
  <si>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</si>
  <si>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</si>
  <si>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</si>
  <si>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</si>
  <si>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</si>
  <si>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</si>
  <si>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</si>
  <si>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</si>
  <si>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</si>
  <si>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</si>
  <si>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</si>
  <si>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</si>
  <si>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</si>
  <si>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</si>
  <si>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</si>
  <si>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</si>
  <si>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</si>
  <si>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</si>
  <si>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</si>
  <si>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</si>
  <si>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</si>
  <si>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</si>
  <si>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</si>
  <si>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</si>
  <si>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</si>
  <si>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</si>
  <si>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</si>
  <si>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</si>
  <si>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</si>
  <si>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</si>
  <si>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</si>
  <si>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</si>
  <si>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</si>
  <si>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</si>
  <si>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</si>
  <si>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</si>
  <si>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</si>
  <si>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</si>
  <si>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</si>
  <si>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</si>
  <si>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</si>
  <si>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</si>
  <si>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</si>
  <si>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</si>
  <si>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</si>
  <si>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</si>
  <si>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</si>
  <si>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</si>
  <si>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</si>
  <si>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</si>
  <si>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</si>
  <si>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</si>
  <si>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</si>
  <si>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</si>
  <si>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</si>
  <si>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</si>
  <si>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</si>
  <si>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</si>
  <si>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</si>
  <si>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</si>
  <si>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</si>
  <si>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</si>
  <si>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</si>
  <si>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</si>
  <si>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</si>
  <si>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</si>
  <si>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</si>
  <si>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</si>
  <si>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</si>
  <si>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</si>
  <si>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</si>
  <si>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</si>
  <si>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</si>
  <si>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</si>
  <si>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</si>
  <si>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</si>
  <si>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</si>
  <si>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</si>
  <si>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</si>
  <si>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</si>
  <si>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</si>
  <si>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</si>
  <si>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</si>
  <si>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</si>
  <si>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</si>
  <si>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</si>
  <si>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</si>
  <si>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</si>
  <si>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</si>
  <si>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</si>
  <si>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</si>
  <si>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</si>
  <si>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</si>
  <si>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</si>
  <si>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</si>
  <si>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</si>
  <si>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</si>
  <si>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</si>
  <si>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</si>
  <si>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</si>
  <si>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</si>
  <si>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</si>
  <si>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</si>
  <si>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</si>
  <si>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</si>
  <si>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</si>
  <si>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</si>
  <si>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</si>
  <si>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</si>
  <si>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</si>
  <si>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</si>
  <si>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</si>
  <si>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</si>
  <si>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</si>
  <si>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</si>
  <si>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</si>
  <si>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</si>
  <si>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</si>
  <si>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</si>
  <si>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</si>
  <si>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</si>
  <si>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</si>
  <si>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</si>
  <si>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</si>
  <si>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</si>
  <si>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</si>
  <si>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</si>
  <si>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</si>
  <si>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</si>
  <si>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</si>
  <si>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</si>
  <si>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</si>
  <si>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</si>
  <si>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</si>
  <si>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</si>
  <si>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</si>
  <si>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</si>
  <si>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</si>
  <si>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</si>
  <si>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</si>
  <si>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</si>
  <si>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</si>
  <si>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</si>
  <si>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</si>
  <si>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</si>
  <si>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</si>
  <si>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</si>
  <si>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</si>
  <si>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</si>
  <si>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</si>
  <si>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</si>
  <si>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</si>
  <si>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</si>
  <si>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</si>
  <si>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</si>
  <si>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</si>
  <si>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</si>
  <si>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</si>
  <si>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</si>
  <si>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</si>
  <si>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</si>
  <si>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</si>
  <si>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</si>
  <si>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</si>
  <si>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</si>
  <si>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</si>
  <si>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</si>
  <si>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</si>
  <si>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</si>
  <si>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</si>
  <si>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</si>
  <si>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</si>
  <si>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</si>
  <si>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</si>
  <si>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</si>
  <si>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</si>
  <si>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</si>
  <si>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</si>
  <si>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</si>
  <si>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</si>
  <si>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</si>
  <si>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</si>
  <si>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</si>
  <si>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</si>
  <si>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</si>
  <si>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</si>
  <si>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</si>
  <si>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</si>
  <si>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</si>
  <si>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</si>
  <si>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</si>
  <si>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</si>
  <si>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</si>
  <si>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</si>
  <si>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</si>
  <si>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</si>
  <si>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</si>
  <si>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</si>
  <si>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</si>
  <si>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</si>
  <si>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</si>
  <si>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</si>
  <si>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</si>
  <si>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</si>
  <si>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</si>
  <si>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</si>
  <si>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</si>
  <si>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</si>
  <si>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</si>
  <si>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</si>
  <si>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</si>
  <si>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</si>
  <si>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</si>
  <si>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</si>
  <si>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</si>
  <si>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</si>
  <si>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</si>
  <si>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</si>
  <si>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</si>
  <si>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</si>
  <si>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</si>
  <si>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</si>
  <si>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</si>
  <si>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</si>
  <si>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</si>
  <si>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</si>
  <si>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</si>
  <si>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</si>
  <si>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</si>
  <si>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</si>
  <si>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</si>
  <si>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</si>
  <si>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</si>
  <si>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</si>
  <si>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</si>
  <si>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</si>
  <si>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</si>
  <si>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</si>
  <si>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</si>
  <si>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</si>
  <si>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</si>
  <si>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</si>
  <si>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</si>
  <si>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</si>
  <si>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</si>
  <si>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</si>
  <si>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</si>
  <si>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</si>
  <si>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</si>
  <si>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</si>
  <si>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</si>
  <si>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</si>
  <si>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</si>
  <si>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</si>
  <si>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</si>
  <si>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</si>
  <si>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</si>
  <si>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</si>
  <si>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</si>
  <si>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</si>
  <si>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</si>
  <si>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</si>
  <si>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</si>
  <si>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</si>
  <si>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</si>
  <si>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</si>
  <si>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</si>
  <si>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</si>
  <si>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</si>
  <si>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</si>
  <si>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</si>
  <si>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</si>
  <si>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</si>
  <si>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</si>
  <si>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</si>
  <si>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</si>
  <si>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</si>
  <si>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</si>
  <si>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</si>
  <si>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</si>
  <si>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</si>
  <si>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</si>
  <si>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</si>
  <si>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</si>
  <si>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</si>
  <si>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</si>
  <si>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</si>
  <si>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</si>
  <si>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</si>
  <si>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</si>
  <si>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</si>
  <si>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</si>
  <si>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</si>
  <si>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</si>
  <si>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</si>
  <si>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</si>
  <si>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</si>
  <si>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</si>
  <si>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</si>
  <si>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</si>
  <si>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</si>
  <si>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</si>
  <si>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</si>
  <si>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</si>
  <si>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</si>
  <si>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</si>
  <si>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</si>
  <si>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</si>
  <si>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</si>
  <si>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</si>
  <si>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</si>
  <si>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</si>
  <si>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</si>
  <si>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</si>
  <si>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</si>
  <si>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</si>
  <si>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</si>
  <si>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</si>
  <si>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</si>
  <si>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</si>
  <si>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</si>
  <si>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</si>
  <si>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</si>
  <si>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</si>
  <si>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</si>
  <si>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</si>
  <si>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</si>
  <si>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</si>
  <si>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</si>
  <si>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</si>
  <si>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</si>
  <si>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</si>
  <si>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</si>
  <si>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</si>
  <si>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</si>
  <si>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</si>
  <si>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</si>
  <si>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</si>
  <si>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</si>
  <si>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</si>
  <si>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</si>
  <si>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</si>
  <si>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</si>
  <si>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</si>
  <si>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</si>
  <si>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</si>
  <si>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</si>
  <si>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</si>
  <si>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</si>
  <si>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</si>
  <si>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</si>
  <si>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</si>
  <si>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</si>
  <si>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</si>
  <si>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</si>
  <si>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</si>
  <si>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</si>
  <si>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</si>
  <si>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</si>
  <si>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</si>
  <si>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</si>
  <si>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</si>
  <si>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</si>
  <si>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</si>
  <si>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</si>
  <si>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</si>
  <si>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</si>
  <si>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</si>
  <si>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</si>
  <si>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</si>
  <si>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</si>
  <si>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</si>
  <si>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</si>
  <si>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</si>
  <si>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</si>
  <si>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</si>
  <si>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</si>
  <si>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</si>
  <si>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</si>
  <si>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</si>
  <si>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</si>
  <si>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</si>
  <si>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</si>
  <si>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</si>
  <si>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</si>
  <si>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</si>
  <si>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</si>
  <si>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</si>
  <si>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</si>
  <si>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</si>
  <si>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</si>
  <si>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</si>
  <si>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</si>
  <si>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</si>
  <si>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</si>
  <si>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</si>
  <si>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</si>
  <si>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</si>
  <si>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</si>
  <si>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</si>
  <si>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</si>
  <si>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</si>
  <si>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</si>
  <si>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</si>
  <si>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</si>
  <si>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</si>
  <si>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</si>
  <si>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</si>
  <si>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</si>
  <si>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</si>
  <si>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</si>
  <si>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</si>
  <si>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</si>
  <si>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</si>
  <si>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</si>
  <si>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</si>
  <si>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</si>
  <si>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</si>
  <si>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</si>
  <si>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</si>
  <si>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</si>
  <si>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</si>
  <si>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</si>
  <si>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</si>
  <si>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</si>
  <si>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</si>
  <si>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</si>
  <si>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</si>
  <si>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</si>
  <si>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</si>
  <si>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</si>
  <si>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</si>
  <si>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</si>
  <si>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</si>
  <si>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</si>
  <si>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</si>
  <si>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</si>
  <si>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</si>
  <si>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</si>
  <si>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</si>
  <si>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</si>
  <si>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</si>
  <si>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</si>
  <si>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</si>
  <si>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</si>
  <si>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</si>
  <si>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</si>
  <si>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</si>
  <si>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</si>
  <si>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</si>
  <si>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</si>
  <si>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</si>
  <si>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</si>
  <si>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</si>
  <si>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</si>
  <si>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</si>
  <si>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</si>
  <si>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</si>
  <si>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</si>
  <si>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</si>
  <si>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</si>
  <si>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</si>
  <si>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</si>
  <si>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</si>
  <si>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</si>
  <si>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</si>
  <si>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</si>
  <si>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</si>
  <si>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</si>
  <si>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</si>
  <si>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</si>
  <si>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</si>
  <si>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</si>
  <si>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</si>
  <si>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</si>
  <si>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</si>
  <si>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</si>
  <si>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</si>
  <si>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</si>
  <si>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</si>
  <si>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</si>
  <si>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</si>
  <si>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</si>
  <si>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</si>
  <si>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</si>
  <si>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</si>
  <si>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</si>
  <si>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</si>
  <si>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</si>
  <si>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</si>
  <si>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</si>
  <si>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</si>
  <si>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</si>
  <si>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</si>
  <si>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</si>
  <si>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</si>
  <si>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</si>
  <si>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</si>
  <si>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</si>
  <si>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</si>
  <si>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</si>
  <si>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</si>
  <si>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</si>
  <si>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</si>
  <si>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</si>
  <si>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</si>
  <si>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</si>
  <si>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</si>
  <si>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</si>
  <si>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</si>
  <si>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</si>
  <si>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</si>
  <si>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</si>
  <si>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</si>
  <si>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</si>
  <si>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</si>
  <si>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</si>
  <si>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</si>
  <si>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</si>
  <si>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</si>
  <si>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</si>
  <si>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</si>
  <si>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</si>
  <si>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</si>
  <si>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</si>
  <si>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</si>
  <si>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</si>
  <si>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</si>
  <si>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</si>
  <si>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</si>
  <si>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</si>
  <si>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</si>
  <si>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</si>
  <si>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</si>
  <si>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</si>
  <si>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</si>
  <si>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</si>
  <si>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</si>
  <si>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</si>
  <si>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</si>
  <si>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</si>
  <si>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</si>
  <si>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</si>
  <si>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</si>
  <si>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</si>
  <si>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</si>
  <si>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</si>
  <si>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</si>
  <si>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</si>
  <si>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</si>
  <si>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</si>
  <si>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</si>
  <si>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</si>
  <si>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</si>
  <si>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</si>
  <si>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</si>
  <si>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</si>
  <si>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</si>
  <si>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</si>
  <si>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</si>
  <si>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</si>
  <si>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</si>
  <si>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</si>
  <si>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</si>
  <si>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</si>
  <si>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</si>
  <si>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</si>
  <si>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</si>
  <si>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</si>
  <si>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</si>
  <si>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</si>
  <si>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</si>
  <si>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</si>
  <si>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</si>
  <si>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</si>
  <si>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</si>
  <si>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</si>
  <si>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</si>
  <si>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</si>
  <si>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</si>
  <si>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</si>
  <si>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</si>
  <si>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</si>
  <si>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</si>
  <si>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</si>
  <si>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</si>
  <si>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</si>
  <si>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</si>
  <si>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</si>
  <si>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</si>
  <si>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</si>
  <si>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</si>
  <si>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</si>
  <si>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</si>
  <si>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</si>
  <si>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</si>
  <si>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</si>
  <si>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</si>
  <si>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</si>
  <si>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</si>
  <si>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</si>
  <si>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</si>
  <si>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</si>
  <si>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</si>
  <si>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</si>
  <si>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</si>
  <si>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</si>
  <si>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</si>
  <si>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</si>
  <si>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</si>
  <si>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</si>
  <si>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</si>
  <si>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</si>
  <si>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</si>
  <si>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</si>
  <si>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</si>
  <si>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</si>
  <si>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</si>
  <si>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</si>
  <si>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</si>
  <si>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</si>
  <si>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</si>
  <si>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</si>
  <si>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</si>
  <si>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</si>
  <si>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</si>
  <si>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</si>
  <si>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</si>
  <si>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</si>
  <si>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</si>
  <si>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</si>
  <si>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</si>
  <si>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</si>
  <si>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</si>
  <si>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</si>
  <si>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</si>
  <si>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</si>
  <si>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</si>
  <si>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</si>
  <si>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</si>
  <si>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</si>
  <si>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</si>
  <si>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</si>
  <si>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</si>
  <si>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</si>
  <si>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</si>
  <si>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</si>
  <si>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</si>
  <si>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</si>
  <si>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</si>
  <si>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</si>
  <si>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</si>
  <si>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</si>
  <si>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</si>
  <si>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</si>
  <si>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</si>
  <si>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</si>
  <si>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</si>
  <si>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</si>
  <si>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</si>
  <si>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</si>
  <si>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</si>
  <si>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</si>
  <si>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</si>
  <si>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</si>
  <si>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</si>
  <si>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</si>
  <si>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</si>
  <si>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</si>
  <si>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</si>
  <si>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</si>
  <si>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</si>
  <si>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</si>
  <si>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</si>
  <si>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</si>
  <si>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</si>
  <si>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</si>
  <si>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</si>
  <si>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</si>
  <si>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</si>
  <si>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</si>
  <si>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</si>
  <si>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</si>
  <si>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</si>
  <si>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</si>
  <si>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</si>
  <si>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</si>
  <si>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</si>
  <si>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</si>
  <si>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</si>
  <si>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</si>
  <si>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</si>
  <si>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</si>
  <si>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</si>
  <si>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</si>
  <si>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</si>
  <si>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</si>
  <si>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</si>
  <si>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</si>
  <si>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</si>
  <si>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</si>
  <si>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</si>
  <si>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</si>
  <si>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</si>
  <si>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</si>
  <si>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</si>
  <si>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</si>
  <si>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</si>
  <si>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</si>
  <si>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</si>
  <si>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</si>
  <si>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</si>
  <si>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</si>
  <si>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</si>
  <si>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</si>
  <si>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</si>
  <si>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</si>
  <si>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</si>
  <si>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</si>
  <si>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</si>
  <si>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</si>
  <si>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</si>
  <si>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</si>
  <si>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</si>
  <si>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</si>
  <si>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</si>
  <si>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</si>
  <si>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</si>
  <si>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</si>
  <si>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</si>
  <si>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</si>
  <si>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</si>
  <si>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</si>
  <si>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</si>
  <si>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</si>
  <si>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</si>
  <si>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</si>
  <si>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</si>
  <si>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</si>
  <si>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</si>
  <si>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</si>
  <si>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</si>
  <si>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</si>
  <si>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</si>
  <si>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</si>
  <si>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</si>
  <si>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</si>
  <si>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</si>
  <si>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</si>
  <si>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</si>
  <si>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</si>
  <si>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</si>
  <si>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</si>
  <si>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</si>
  <si>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</si>
  <si>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</si>
  <si>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</si>
  <si>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</si>
  <si>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</si>
  <si>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</si>
  <si>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</si>
  <si>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</si>
  <si>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</si>
  <si>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</si>
  <si>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</si>
  <si>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</si>
  <si>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</si>
  <si>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</si>
  <si>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</si>
  <si>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</si>
  <si>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</si>
  <si>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</si>
  <si>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</si>
  <si>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</si>
  <si>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</si>
  <si>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</si>
  <si>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</si>
  <si>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</si>
  <si>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</si>
  <si>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</si>
  <si>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</si>
  <si>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</si>
  <si>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</si>
  <si>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</si>
  <si>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</si>
  <si>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</si>
  <si>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</si>
  <si>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</si>
  <si>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</si>
  <si>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</si>
  <si>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</si>
  <si>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</si>
  <si>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</si>
  <si>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</si>
  <si>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</si>
  <si>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</si>
  <si>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</si>
  <si>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</si>
  <si>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</si>
  <si>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</si>
  <si>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</si>
  <si>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</si>
  <si>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</si>
  <si>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</si>
  <si>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</si>
  <si>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</si>
  <si>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</si>
  <si>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</si>
  <si>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</si>
  <si>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</si>
  <si>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</si>
  <si>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</si>
  <si>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</si>
  <si>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</si>
  <si>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</si>
  <si>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</si>
  <si>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</si>
  <si>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</si>
  <si>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</si>
  <si>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</si>
  <si>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</si>
  <si>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</si>
  <si>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</si>
  <si>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</si>
  <si>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</si>
  <si>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</si>
  <si>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</si>
  <si>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</si>
  <si>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</si>
  <si>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</si>
  <si>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</si>
  <si>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</si>
  <si>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</si>
  <si>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</si>
  <si>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</si>
  <si>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</si>
  <si>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</si>
  <si>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</si>
  <si>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</si>
  <si>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</si>
  <si>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</si>
  <si>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</si>
  <si>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</si>
  <si>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</si>
  <si>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</si>
  <si>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</si>
  <si>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</si>
  <si>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</si>
  <si>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</si>
  <si>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</si>
  <si>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</si>
  <si>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</si>
  <si>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</si>
  <si>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</si>
  <si>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</si>
  <si>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</si>
  <si>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</si>
  <si>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</si>
  <si>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</si>
  <si>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</si>
  <si>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</si>
  <si>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</si>
  <si>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</si>
  <si>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</si>
  <si>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</si>
  <si>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</si>
  <si>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</si>
  <si>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</si>
  <si>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</si>
  <si>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</si>
  <si>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</si>
  <si>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</si>
  <si>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</si>
  <si>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</si>
  <si>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</si>
  <si>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</si>
  <si>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</si>
  <si>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</si>
  <si>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</si>
  <si>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</si>
  <si>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</si>
  <si>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</si>
  <si>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</si>
  <si>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</si>
  <si>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</si>
  <si>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</si>
  <si>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</si>
  <si>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</si>
  <si>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</si>
  <si>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</si>
  <si>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</si>
  <si>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</si>
  <si>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</si>
  <si>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</si>
  <si>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</si>
  <si>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</si>
  <si>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</si>
  <si>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</si>
  <si>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</si>
  <si>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</si>
  <si>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</si>
  <si>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</si>
  <si>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</si>
  <si>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</si>
  <si>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</si>
  <si>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</si>
  <si>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</si>
  <si>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</si>
  <si>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</si>
  <si>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</si>
  <si>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</si>
  <si>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</si>
  <si>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</si>
  <si>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</si>
  <si>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</si>
  <si>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</si>
  <si>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</si>
  <si>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</si>
  <si>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</si>
  <si>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</si>
  <si>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</si>
  <si>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</si>
  <si>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</si>
  <si>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</si>
  <si>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</si>
  <si>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</si>
  <si>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</si>
  <si>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</si>
  <si>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</si>
  <si>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</si>
  <si>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</si>
  <si>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</si>
  <si>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</si>
  <si>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</si>
  <si>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</si>
  <si>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</si>
  <si>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</si>
  <si>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</si>
  <si>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</si>
  <si>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</si>
  <si>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</si>
  <si>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</si>
  <si>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</si>
  <si>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</si>
  <si>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</si>
  <si>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</si>
  <si>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</si>
  <si>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</si>
  <si>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</si>
  <si>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</si>
  <si>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</si>
  <si>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</si>
  <si>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</si>
  <si>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</si>
  <si>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</si>
  <si>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</si>
  <si>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</si>
  <si>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</si>
  <si>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</si>
  <si>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</si>
  <si>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</si>
  <si>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</si>
  <si>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</si>
  <si>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</si>
  <si>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</si>
  <si>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</si>
  <si>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</si>
  <si>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</si>
  <si>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</si>
  <si>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</si>
  <si>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</si>
  <si>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</si>
  <si>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</si>
  <si>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</si>
  <si>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</si>
  <si>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</si>
  <si>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</si>
  <si>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</si>
  <si>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</si>
  <si>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</si>
  <si>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</si>
  <si>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</si>
  <si>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</si>
  <si>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</si>
  <si>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</si>
  <si>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</si>
  <si>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</si>
  <si>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</si>
  <si>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</si>
  <si>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</si>
  <si>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</si>
  <si>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</si>
  <si>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</si>
  <si>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</si>
  <si>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</si>
  <si>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</si>
  <si>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</si>
  <si>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</si>
  <si>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</si>
  <si>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</si>
  <si>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</si>
  <si>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</si>
  <si>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</si>
  <si>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</si>
  <si>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</si>
  <si>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</si>
  <si>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</si>
  <si>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</si>
  <si>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</si>
  <si>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</si>
  <si>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</si>
  <si>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</si>
  <si>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</si>
  <si>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</si>
  <si>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</si>
  <si>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</si>
  <si>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</si>
  <si>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</si>
  <si>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</si>
  <si>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</si>
  <si>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</si>
  <si>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</si>
  <si>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</si>
  <si>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</si>
  <si>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</si>
  <si>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</si>
  <si>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</si>
  <si>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</si>
  <si>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</si>
  <si>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</si>
  <si>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</si>
  <si>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</si>
  <si>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</si>
  <si>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</si>
  <si>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</si>
  <si>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</si>
  <si>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</si>
  <si>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</si>
  <si>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</si>
  <si>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</si>
  <si>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</si>
  <si>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</si>
  <si>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</si>
  <si>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</si>
  <si>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</si>
  <si>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</si>
  <si>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</si>
  <si>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</si>
  <si>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</si>
  <si>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</si>
  <si>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</si>
  <si>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</si>
  <si>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</si>
  <si>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</si>
  <si>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</si>
  <si>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</si>
  <si>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</si>
  <si>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</si>
  <si>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</si>
  <si>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</si>
  <si>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</si>
  <si>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</si>
  <si>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</si>
  <si>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</si>
  <si>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</si>
  <si>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</si>
  <si>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</si>
  <si>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</si>
  <si>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</si>
  <si>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</si>
  <si>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</si>
  <si>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</si>
  <si>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</si>
  <si>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</si>
  <si>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</si>
  <si>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</si>
  <si>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</si>
  <si>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</si>
  <si>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</si>
  <si>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</si>
  <si>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</si>
  <si>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</si>
  <si>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</si>
  <si>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</si>
  <si>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</si>
  <si>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</si>
  <si>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</si>
  <si>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</si>
  <si>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</si>
  <si>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</si>
  <si>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</si>
  <si>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</si>
  <si>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</si>
  <si>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</si>
  <si>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</si>
  <si>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</si>
  <si>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</si>
  <si>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</si>
  <si>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</si>
  <si>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</si>
  <si>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</si>
  <si>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</si>
  <si>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</si>
  <si>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</si>
  <si>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</si>
  <si>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</si>
  <si>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</si>
  <si>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</si>
  <si>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</si>
  <si>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</si>
  <si>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</si>
  <si>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</si>
  <si>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</si>
  <si>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</si>
  <si>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</si>
  <si>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</si>
  <si>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</si>
  <si>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</si>
  <si>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</si>
  <si>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</si>
  <si>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</si>
  <si>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</si>
  <si>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</si>
  <si>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</si>
  <si>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</si>
  <si>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</si>
  <si>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</si>
  <si>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</si>
  <si>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</si>
  <si>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</si>
  <si>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</si>
  <si>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</si>
  <si>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</si>
  <si>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</si>
  <si>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</si>
  <si>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</si>
  <si>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</si>
  <si>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</si>
  <si>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</si>
  <si>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</si>
  <si>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北京万永房地产开发有限公司</t>
    <phoneticPr fontId="3" type="noConversion"/>
  </si>
  <si>
    <t>工商银行北京海淀支行</t>
    <phoneticPr fontId="3" type="noConversion"/>
  </si>
  <si>
    <t>抵押</t>
  </si>
  <si>
    <t>房地产抵押价值</t>
  </si>
  <si>
    <t>北京市</t>
  </si>
  <si>
    <t>企业</t>
  </si>
  <si>
    <t>出让</t>
  </si>
  <si>
    <t>是</t>
  </si>
  <si>
    <t>居住项目</t>
  </si>
  <si>
    <t>低密度住宅</t>
  </si>
  <si>
    <t>否</t>
  </si>
  <si>
    <t>在建</t>
  </si>
  <si>
    <t>通路</t>
  </si>
  <si>
    <t>通电</t>
  </si>
  <si>
    <t>通讯</t>
  </si>
  <si>
    <t>通上水</t>
  </si>
  <si>
    <t>通下水</t>
  </si>
  <si>
    <t>通热</t>
  </si>
  <si>
    <t>燃气</t>
  </si>
  <si>
    <t>Ⅶ-01</t>
  </si>
  <si>
    <t>估价对象</t>
  </si>
  <si>
    <t>不动产权证号</t>
    <phoneticPr fontId="140" type="noConversion"/>
  </si>
  <si>
    <t>工程规证</t>
    <phoneticPr fontId="140" type="noConversion"/>
  </si>
  <si>
    <t>施工证</t>
    <phoneticPr fontId="140" type="noConversion"/>
  </si>
  <si>
    <t>土地面积</t>
  </si>
  <si>
    <t>楼号</t>
    <phoneticPr fontId="140" type="noConversion"/>
  </si>
  <si>
    <t>总计</t>
  </si>
  <si>
    <t>经营性用途</t>
    <phoneticPr fontId="140" type="noConversion"/>
  </si>
  <si>
    <t>非经营性用途</t>
    <phoneticPr fontId="140" type="noConversion"/>
  </si>
  <si>
    <t>地上</t>
    <phoneticPr fontId="140" type="noConversion"/>
  </si>
  <si>
    <t>地下</t>
    <phoneticPr fontId="140" type="noConversion"/>
  </si>
  <si>
    <t>住宅</t>
  </si>
  <si>
    <t>地下戊类库房</t>
    <phoneticPr fontId="140" type="noConversion"/>
  </si>
  <si>
    <t>车位</t>
    <phoneticPr fontId="140" type="noConversion"/>
  </si>
  <si>
    <t>热力站</t>
    <phoneticPr fontId="140" type="noConversion"/>
  </si>
  <si>
    <t>配电室</t>
    <phoneticPr fontId="140" type="noConversion"/>
  </si>
  <si>
    <t>设备用房</t>
    <phoneticPr fontId="140" type="noConversion"/>
  </si>
  <si>
    <t>自行车库</t>
    <phoneticPr fontId="140" type="noConversion"/>
  </si>
  <si>
    <t>人防</t>
    <phoneticPr fontId="140" type="noConversion"/>
  </si>
  <si>
    <t>层数</t>
    <phoneticPr fontId="140" type="noConversion"/>
  </si>
  <si>
    <t>车位个数</t>
    <phoneticPr fontId="140" type="noConversion"/>
  </si>
  <si>
    <t>机械车位个数</t>
    <phoneticPr fontId="140" type="noConversion"/>
  </si>
  <si>
    <r>
      <t>B2-7</t>
    </r>
    <r>
      <rPr>
        <sz val="10"/>
        <color theme="1"/>
        <rFont val="宋体"/>
        <family val="3"/>
        <charset val="134"/>
      </rPr>
      <t>层</t>
    </r>
    <phoneticPr fontId="140" type="noConversion"/>
  </si>
  <si>
    <r>
      <t>B2-5</t>
    </r>
    <r>
      <rPr>
        <sz val="10"/>
        <color theme="1"/>
        <rFont val="宋体"/>
        <family val="3"/>
        <charset val="134"/>
      </rPr>
      <t>层</t>
    </r>
    <phoneticPr fontId="140" type="noConversion"/>
  </si>
  <si>
    <r>
      <t>0158</t>
    </r>
    <r>
      <rPr>
        <sz val="10"/>
        <color theme="1"/>
        <rFont val="华文细黑"/>
        <family val="3"/>
        <charset val="134"/>
      </rPr>
      <t>地块</t>
    </r>
  </si>
  <si>
    <r>
      <rPr>
        <sz val="10"/>
        <color theme="1"/>
        <rFont val="宋体"/>
        <family val="3"/>
        <charset val="134"/>
      </rPr>
      <t>京（</t>
    </r>
    <r>
      <rPr>
        <sz val="10"/>
        <color theme="1"/>
        <rFont val="Arial"/>
        <family val="2"/>
      </rPr>
      <t>2018</t>
    </r>
    <r>
      <rPr>
        <sz val="10"/>
        <color theme="1"/>
        <rFont val="宋体"/>
        <family val="3"/>
        <charset val="134"/>
      </rPr>
      <t>）海不动产权第</t>
    </r>
    <r>
      <rPr>
        <sz val="10"/>
        <color theme="1"/>
        <rFont val="Arial"/>
        <family val="2"/>
      </rPr>
      <t>0000051</t>
    </r>
    <r>
      <rPr>
        <sz val="10"/>
        <color theme="1"/>
        <rFont val="宋体"/>
        <family val="3"/>
        <charset val="134"/>
      </rPr>
      <t>号</t>
    </r>
    <phoneticPr fontId="140" type="noConversion"/>
  </si>
  <si>
    <r>
      <t>2018</t>
    </r>
    <r>
      <rPr>
        <sz val="10"/>
        <color theme="1"/>
        <rFont val="宋体"/>
        <family val="3"/>
        <charset val="134"/>
      </rPr>
      <t>规土（海）建字</t>
    </r>
    <r>
      <rPr>
        <sz val="10"/>
        <color theme="1"/>
        <rFont val="Arial"/>
        <family val="2"/>
      </rPr>
      <t>0001</t>
    </r>
    <r>
      <rPr>
        <sz val="10"/>
        <color theme="1"/>
        <rFont val="宋体"/>
        <family val="3"/>
        <charset val="134"/>
      </rPr>
      <t>号</t>
    </r>
    <phoneticPr fontId="140" type="noConversion"/>
  </si>
  <si>
    <r>
      <t>[2018]</t>
    </r>
    <r>
      <rPr>
        <sz val="10"/>
        <color theme="1"/>
        <rFont val="宋体"/>
        <family val="3"/>
        <charset val="134"/>
      </rPr>
      <t>施</t>
    </r>
    <r>
      <rPr>
        <sz val="10"/>
        <color theme="1"/>
        <rFont val="Arial"/>
        <family val="2"/>
      </rPr>
      <t>[</t>
    </r>
    <r>
      <rPr>
        <sz val="10"/>
        <color theme="1"/>
        <rFont val="宋体"/>
        <family val="3"/>
        <charset val="134"/>
      </rPr>
      <t>海</t>
    </r>
    <r>
      <rPr>
        <sz val="10"/>
        <color theme="1"/>
        <rFont val="Arial"/>
        <family val="2"/>
      </rPr>
      <t>]</t>
    </r>
    <r>
      <rPr>
        <sz val="10"/>
        <color theme="1"/>
        <rFont val="宋体"/>
        <family val="3"/>
        <charset val="134"/>
      </rPr>
      <t>建字</t>
    </r>
    <r>
      <rPr>
        <sz val="10"/>
        <color theme="1"/>
        <rFont val="Arial"/>
        <family val="2"/>
      </rPr>
      <t>0106</t>
    </r>
    <r>
      <rPr>
        <sz val="10"/>
        <color theme="1"/>
        <rFont val="宋体"/>
        <family val="3"/>
        <charset val="134"/>
      </rPr>
      <t>号</t>
    </r>
  </si>
  <si>
    <t>C-1#住宅楼</t>
    <phoneticPr fontId="140" type="noConversion"/>
  </si>
  <si>
    <t>C-2#住宅楼</t>
  </si>
  <si>
    <t>C-3#住宅楼</t>
  </si>
  <si>
    <t>C-4#住宅楼</t>
  </si>
  <si>
    <t>C-5#住宅楼</t>
  </si>
  <si>
    <t>C-6#住宅楼</t>
  </si>
  <si>
    <t>C-7#住宅楼</t>
  </si>
  <si>
    <t>C-8#住宅楼</t>
  </si>
  <si>
    <r>
      <t>B3-8</t>
    </r>
    <r>
      <rPr>
        <sz val="10"/>
        <color theme="1"/>
        <rFont val="宋体"/>
        <family val="3"/>
        <charset val="134"/>
      </rPr>
      <t>层</t>
    </r>
    <phoneticPr fontId="140" type="noConversion"/>
  </si>
  <si>
    <t>C-9#住宅楼</t>
  </si>
  <si>
    <r>
      <t>B2-5</t>
    </r>
    <r>
      <rPr>
        <sz val="10"/>
        <color theme="1"/>
        <rFont val="宋体"/>
        <family val="3"/>
        <charset val="134"/>
      </rPr>
      <t>层</t>
    </r>
    <phoneticPr fontId="140" type="noConversion"/>
  </si>
  <si>
    <t>C-10#住宅楼</t>
  </si>
  <si>
    <r>
      <t>B3-5</t>
    </r>
    <r>
      <rPr>
        <sz val="10"/>
        <color theme="1"/>
        <rFont val="宋体"/>
        <family val="3"/>
        <charset val="134"/>
      </rPr>
      <t>层</t>
    </r>
    <phoneticPr fontId="140" type="noConversion"/>
  </si>
  <si>
    <t>C-11#住宅楼</t>
  </si>
  <si>
    <t>C-12#住宅楼</t>
  </si>
  <si>
    <r>
      <t>B2-7</t>
    </r>
    <r>
      <rPr>
        <sz val="10"/>
        <color theme="1"/>
        <rFont val="宋体"/>
        <family val="3"/>
        <charset val="134"/>
      </rPr>
      <t>层</t>
    </r>
    <phoneticPr fontId="140" type="noConversion"/>
  </si>
  <si>
    <t>C-13#住宅楼</t>
  </si>
  <si>
    <t>C-14#住宅楼</t>
  </si>
  <si>
    <t>地下车库4</t>
    <phoneticPr fontId="140" type="noConversion"/>
  </si>
  <si>
    <r>
      <t>B2-1</t>
    </r>
    <r>
      <rPr>
        <sz val="10"/>
        <color theme="1"/>
        <rFont val="宋体"/>
        <family val="3"/>
        <charset val="134"/>
      </rPr>
      <t>层</t>
    </r>
    <phoneticPr fontId="140" type="noConversion"/>
  </si>
  <si>
    <t>——</t>
    <phoneticPr fontId="140" type="noConversion"/>
  </si>
  <si>
    <t>地上</t>
  </si>
  <si>
    <t>洋房</t>
  </si>
  <si>
    <t>地下</t>
  </si>
  <si>
    <t>仓储</t>
  </si>
  <si>
    <t>戊类库房</t>
  </si>
  <si>
    <t>机械车位</t>
  </si>
  <si>
    <t>机械车位</t>
    <phoneticPr fontId="16" type="noConversion"/>
  </si>
  <si>
    <t>车库</t>
  </si>
  <si>
    <t>住宅</t>
    <phoneticPr fontId="7" type="noConversion"/>
  </si>
  <si>
    <t>车库</t>
    <phoneticPr fontId="7" type="noConversion"/>
  </si>
  <si>
    <t>仓储</t>
    <phoneticPr fontId="7" type="noConversion"/>
  </si>
  <si>
    <t>未包含在土地购买价格中</t>
  </si>
  <si>
    <t>全部缴纳</t>
  </si>
  <si>
    <t>在建（套用方法）</t>
  </si>
  <si>
    <t>收益法-住宅</t>
  </si>
  <si>
    <t>收益法-住宅</t>
    <phoneticPr fontId="16" type="noConversion"/>
  </si>
  <si>
    <t>收益法-仓储</t>
  </si>
  <si>
    <t>收益法-仓储</t>
    <phoneticPr fontId="16" type="noConversion"/>
  </si>
  <si>
    <t>收益法-车库</t>
  </si>
  <si>
    <t>收益法-车库</t>
    <phoneticPr fontId="16" type="noConversion"/>
  </si>
  <si>
    <t>收益法-机械车位</t>
    <phoneticPr fontId="16" type="noConversion"/>
  </si>
  <si>
    <t>押一</t>
  </si>
  <si>
    <t>按租金收入计税</t>
  </si>
  <si>
    <t>钢混</t>
  </si>
  <si>
    <t>非生产用房</t>
  </si>
  <si>
    <t>自定义</t>
  </si>
  <si>
    <t>项目全部</t>
  </si>
  <si>
    <t>成本法</t>
  </si>
  <si>
    <t>假设开发法</t>
  </si>
  <si>
    <r>
      <t>R2</t>
    </r>
    <r>
      <rPr>
        <sz val="11"/>
        <rFont val="宋体"/>
        <family val="3"/>
        <charset val="134"/>
      </rPr>
      <t>二类居住用地</t>
    </r>
    <phoneticPr fontId="3" type="noConversion"/>
  </si>
  <si>
    <r>
      <t>F1</t>
    </r>
    <r>
      <rPr>
        <sz val="11"/>
        <rFont val="宋体"/>
        <family val="3"/>
        <charset val="134"/>
      </rPr>
      <t>混合公建用地</t>
    </r>
    <phoneticPr fontId="3"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</si>
  <si>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</si>
  <si>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</si>
  <si>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</si>
  <si>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</si>
  <si>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</si>
  <si>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</si>
  <si>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</si>
  <si>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</si>
  <si>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</si>
  <si>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</si>
  <si>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</si>
  <si>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</si>
  <si>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</si>
  <si>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</si>
  <si>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</si>
  <si>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</si>
  <si>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</si>
  <si>
    <t>六通</t>
  </si>
  <si>
    <t>五通</t>
  </si>
  <si>
    <t>四通</t>
  </si>
  <si>
    <t>三通</t>
  </si>
  <si>
    <t>好</t>
  </si>
  <si>
    <t>较好</t>
  </si>
  <si>
    <t>一般</t>
  </si>
  <si>
    <t>较差</t>
  </si>
  <si>
    <t>差</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</si>
  <si>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</si>
  <si>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</si>
  <si>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</si>
  <si>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</si>
  <si>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</si>
  <si>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</si>
  <si>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</si>
  <si>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</si>
  <si>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</si>
  <si>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</si>
  <si>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</si>
  <si>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</si>
  <si>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</si>
  <si>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</si>
  <si>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</si>
  <si>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</si>
  <si>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</si>
  <si>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</si>
  <si>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</si>
  <si>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</si>
  <si>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</si>
  <si>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</si>
  <si>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</si>
  <si>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</si>
  <si>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</si>
  <si>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</si>
  <si>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</si>
  <si>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</si>
  <si>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</si>
  <si>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</si>
  <si>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</si>
  <si>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</si>
  <si>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</si>
  <si>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</si>
  <si>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</si>
  <si>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</si>
  <si>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</si>
  <si>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</si>
  <si>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</si>
  <si>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</si>
  <si>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</si>
  <si>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</si>
  <si>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</si>
  <si>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</si>
  <si>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北京市海淀区“海淀北部地区整体开发”西北旺镇HD00-0403-0061、0050、0031、0040、0046地块二类居住、其他类多功能、医院及机构养老设施用地</t>
  </si>
  <si>
    <t>综合用地(含住宅)</t>
  </si>
  <si>
    <t>海淀区</t>
  </si>
  <si>
    <t>温泉</t>
  </si>
  <si>
    <t>海淀区西北旺镇</t>
  </si>
  <si>
    <t>挂牌</t>
  </si>
  <si>
    <t>京土整储挂(海)[2020]001号</t>
  </si>
  <si>
    <t>R2二类居住用地、F3其他类多功能用地、A51医院用地、A61机构养老设施用地</t>
  </si>
  <si>
    <t>r2≤2.5,f3≤3,a51≤1.6,a61≤0.8</t>
  </si>
  <si>
    <t>R2、A51≤35%,F3≤40%,A61≤030%</t>
  </si>
  <si>
    <t>R2、F3≤45米,A51≤18米,A61≤12米</t>
  </si>
  <si>
    <t>限地价,竞自持,报高标准商品住宅建设方案</t>
  </si>
  <si>
    <t>限地价</t>
  </si>
  <si>
    <t>本次出让宗地中的HD00-0403-0046地块机构养老设施用地土地竞得人在完成养老设施开发建设后,将养老设施的房屋产权无偿移交至海淀区民政局,由其按养老机构用途统一调配使用。</t>
  </si>
  <si>
    <t>未开工</t>
  </si>
  <si>
    <t>2020-01-22</t>
  </si>
  <si>
    <t>2020-02-11</t>
  </si>
  <si>
    <t>2020-02-25</t>
  </si>
  <si>
    <t>已成交</t>
  </si>
  <si>
    <t>北京润置商业运营管理有限公司、北京科技园建设(集团)股份有限公司和华通置业有限公司联合体</t>
  </si>
  <si>
    <t>中交地产股份有限公司,华润置地有限公司,北京科技园建设(集团)股份有限公司</t>
  </si>
  <si>
    <t>居住70年、商业40年、办公50年</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</si>
  <si>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</si>
  <si>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</si>
  <si>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</si>
  <si>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</si>
  <si>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</si>
  <si>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</si>
  <si>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</si>
  <si>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</si>
  <si>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</si>
  <si>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</si>
  <si>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华润置地有限公司,中交地产股份有限公司,北京住总集团有限责任公司,北京首都开发股份有限公司</t>
  </si>
  <si>
    <t>北京市海淀区安宁庄东路1号1820-618B、1820-619B、1820-624A、1820-622地块R2二类居住用地、A33基础教育用地</t>
  </si>
  <si>
    <t>西三旗</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</si>
  <si>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</si>
  <si>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</si>
  <si>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</si>
  <si>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</si>
  <si>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</si>
  <si>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</si>
  <si>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</si>
  <si>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</si>
  <si>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</si>
  <si>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2019-12-31</t>
  </si>
  <si>
    <t>2020-01-23</t>
  </si>
  <si>
    <t>北京金隅程远房地产开发有限公司</t>
  </si>
  <si>
    <t>北京金隅集团股份有限公司</t>
  </si>
  <si>
    <t>北京市海淀区四季青镇中坞重点村资金平衡用地南地块R2二类居住用地</t>
  </si>
  <si>
    <t>住宅用地</t>
  </si>
  <si>
    <t>杏石口路</t>
  </si>
  <si>
    <t>海淀区四季青镇</t>
  </si>
  <si>
    <t>京土整储挂(海)[2019]046号</t>
  </si>
  <si>
    <t>R2二类居住用地</t>
  </si>
  <si>
    <t>≤1.5</t>
  </si>
  <si>
    <t>≤18米</t>
  </si>
  <si>
    <t>2019-12-16</t>
  </si>
  <si>
    <t>2020-01-06</t>
  </si>
  <si>
    <t>2020-01-20</t>
  </si>
  <si>
    <t>北京海益嘉和置业有限公司</t>
  </si>
  <si>
    <t>山西交通控股集团有限公司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</si>
  <si>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</si>
  <si>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</si>
  <si>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</si>
  <si>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</si>
  <si>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</si>
  <si>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中关村发展集团股份有限公司,北京建工地产</t>
  </si>
  <si>
    <t>北京市海淀区四季青镇中坞重点村资金平衡用地北地块R2二类居住用地</t>
  </si>
  <si>
    <t>京土整储挂(海)[2019]045号</t>
  </si>
  <si>
    <t>天津北方中茂置地有限公司</t>
  </si>
  <si>
    <t>中国金茂控股集团有限公司,绿城中国控股有限公司</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</si>
  <si>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</si>
  <si>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</si>
  <si>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</si>
  <si>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</si>
  <si>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</si>
  <si>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</si>
  <si>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</si>
  <si>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</si>
  <si>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</si>
  <si>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</si>
  <si>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</si>
  <si>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</si>
  <si>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北京市海淀区西三旗建材城中路东侧1814-630等地块R2二类居住用地、A4体育用地、A334托幼用地</t>
  </si>
  <si>
    <t>东小口</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</si>
  <si>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</si>
  <si>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</si>
  <si>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</si>
  <si>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</si>
  <si>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</si>
  <si>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</si>
  <si>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</si>
  <si>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2019-01-24</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</si>
  <si>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</si>
  <si>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</si>
  <si>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</si>
  <si>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</si>
  <si>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</si>
  <si>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2018-12-28</t>
  </si>
  <si>
    <t>2019-01-23</t>
  </si>
  <si>
    <t>北京市基础设施投资有限公司、北京京投置地房地产有限公司</t>
  </si>
  <si>
    <t>京投发展股份有限公司</t>
  </si>
  <si>
    <t>居住70年商业40年办公50年</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</si>
  <si>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</si>
  <si>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</si>
  <si>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</si>
  <si>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</si>
  <si>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</si>
  <si>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</si>
  <si>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</si>
  <si>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</si>
  <si>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</si>
  <si>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</si>
  <si>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</si>
  <si>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</si>
  <si>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</si>
  <si>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</si>
  <si>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</si>
  <si>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中国葛洲坝集团股份有限公司</t>
  </si>
  <si>
    <t>北京市海淀区苏州街站一体化棚户区改造项目前期工作及拟改造土地使用权</t>
  </si>
  <si>
    <t>中关村</t>
  </si>
  <si>
    <t>北京市海淀区海淀南路12号院,海淀区中关村西区苏州街和海淀南路交界处东南角</t>
  </si>
  <si>
    <t>京土棚改招(海)[2017]001号</t>
  </si>
  <si>
    <t>定向安置房,</t>
  </si>
  <si>
    <t>含保障房用地</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</si>
  <si>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</si>
  <si>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</si>
  <si>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</si>
  <si>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</si>
  <si>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</si>
  <si>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</si>
  <si>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</si>
  <si>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</si>
  <si>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</si>
  <si>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</si>
  <si>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</si>
  <si>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</si>
  <si>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厦门紫光学大股份有限公司</t>
  </si>
  <si>
    <t>北京市海淀区&amp;quot海淀北部地区整体开发”西北旺镇亮甲店村HD00-0404-6005、6006地块R2二类居住用地</t>
  </si>
  <si>
    <t>京土整储挂(海)[2017]078号</t>
  </si>
  <si>
    <t>≤36</t>
  </si>
  <si>
    <t>居住建筑规模全部建设“共有产权住房”</t>
  </si>
  <si>
    <t>2017-09-30</t>
  </si>
  <si>
    <t>2017-10-20</t>
  </si>
  <si>
    <t>2017-11-03</t>
  </si>
  <si>
    <t>中铁置业集团北京有限公司和北京建工地产有限责任公司联合体</t>
  </si>
  <si>
    <t>中铁置业集团有限公司,北京建工地产</t>
  </si>
  <si>
    <t>北京市海淀区四道口地区I地块F1住宅混合公建用地</t>
  </si>
  <si>
    <t>北太平庄</t>
  </si>
  <si>
    <t>海淀区四道口</t>
  </si>
  <si>
    <t>京土整储挂(海)[2017]067号</t>
  </si>
  <si>
    <t>F1住宅混合公建用地</t>
  </si>
  <si>
    <t>≤60</t>
  </si>
  <si>
    <t>限地价,限房价,竞自持,90/70</t>
  </si>
  <si>
    <t>2017-09-01</t>
  </si>
  <si>
    <t>2017-09-21</t>
  </si>
  <si>
    <t>2017-10-11</t>
  </si>
  <si>
    <t>北京天恒正同资产管理有限公司</t>
  </si>
  <si>
    <t>北京天恒房地产股份有限公司</t>
  </si>
  <si>
    <t>万科翡翠书院</t>
    <phoneticPr fontId="3" type="noConversion"/>
  </si>
  <si>
    <t>海淀区永丰产业基地</t>
    <phoneticPr fontId="3" type="noConversion"/>
  </si>
  <si>
    <t>海淀区西北旺镇</t>
    <phoneticPr fontId="3" type="noConversion"/>
  </si>
  <si>
    <t>海淀区温泉镇</t>
    <phoneticPr fontId="3" type="noConversion"/>
  </si>
  <si>
    <t>自持比例</t>
    <phoneticPr fontId="31" type="noConversion"/>
  </si>
  <si>
    <t>是</t>
    <phoneticPr fontId="31" type="noConversion"/>
  </si>
  <si>
    <t>否</t>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</si>
  <si>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</si>
  <si>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</si>
  <si>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t>
    <phoneticPr fontId="31" type="noConversion"/>
  </si>
  <si>
    <t>有</t>
    <phoneticPr fontId="31" type="noConversion"/>
  </si>
  <si>
    <t>周边居住用地比例较少、有颐丰庄园、大牛坊社区等居住项目，综合评价居住社区成熟度一般。</t>
    <phoneticPr fontId="41" type="noConversion"/>
  </si>
  <si>
    <t>周边有438路、365路、449路、570路等多条公交线路及地铁16号线永丰站，交通便捷度较好。</t>
    <phoneticPr fontId="41" type="noConversion"/>
  </si>
  <si>
    <t>有部分有其他用地，对本宗地略有影响。</t>
    <phoneticPr fontId="25" type="noConversion"/>
  </si>
  <si>
    <t>周边1公里无大型公园，人文环境有北京北大资源研修学院，自然及人文环境一般。</t>
    <phoneticPr fontId="41" type="noConversion"/>
  </si>
  <si>
    <t>周边1公里范围内有购物场所（华联超市）、医院（无）、银行（工商银行、北京农商银行）、学校（海淀科技园小学）、餐饮等公共服务配套设施，公共配套设施状况一般。</t>
    <phoneticPr fontId="41" type="noConversion"/>
  </si>
  <si>
    <t>七通</t>
    <phoneticPr fontId="2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</si>
  <si>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宏丰渠东路</t>
    </r>
    <phoneticPr fontId="25" type="noConversion"/>
  </si>
  <si>
    <t>双面临街</t>
  </si>
  <si>
    <t>支路</t>
  </si>
  <si>
    <r>
      <rPr>
        <sz val="11"/>
        <rFont val="宋体"/>
        <family val="3"/>
        <charset val="134"/>
      </rPr>
      <t>城市支路</t>
    </r>
    <r>
      <rPr>
        <sz val="11"/>
        <rFont val="Arial"/>
        <family val="2"/>
      </rPr>
      <t>—</t>
    </r>
    <r>
      <rPr>
        <sz val="11"/>
        <rFont val="宋体"/>
        <family val="3"/>
        <charset val="134"/>
      </rPr>
      <t>宏丰渠东路</t>
    </r>
    <phoneticPr fontId="31" type="noConversion"/>
  </si>
  <si>
    <t>临街宽度及深度比例较适宜，对土地利用无不利影响</t>
  </si>
  <si>
    <t>周边居住用地比例较多、有永丰嘉园、友谊家园、航天城社区等居住项目，综合评价居住社区成熟度较好。</t>
    <phoneticPr fontId="31" type="noConversion"/>
  </si>
  <si>
    <t>周边居住用地比例较少、有水岸家园、保利西山林语等居住项目，综合评价居住社区成熟度一般。</t>
    <phoneticPr fontId="31" type="noConversion"/>
  </si>
  <si>
    <r>
      <rPr>
        <sz val="11"/>
        <rFont val="宋体"/>
        <family val="3"/>
        <charset val="134"/>
      </rPr>
      <t>周边有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路等多路公交车经过，交通便捷度一般。</t>
    </r>
    <phoneticPr fontId="31"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</si>
  <si>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</si>
  <si>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t>有部分有其他用地，对本宗地略有影响。</t>
    <phoneticPr fontId="31" type="noConversion"/>
  </si>
  <si>
    <t>零星有其他用地，对本宗地无影响。</t>
    <phoneticPr fontId="31" type="noConversion"/>
  </si>
  <si>
    <r>
      <rPr>
        <sz val="11"/>
        <rFont val="宋体"/>
        <family val="3"/>
        <charset val="134"/>
      </rPr>
      <t>周边</t>
    </r>
    <r>
      <rPr>
        <sz val="11"/>
        <rFont val="Arial"/>
        <family val="2"/>
      </rPr>
      <t>1</t>
    </r>
    <r>
      <rPr>
        <sz val="11"/>
        <rFont val="宋体"/>
        <family val="3"/>
        <charset val="134"/>
      </rPr>
      <t>公里东埠头沟公园，人文环境有北京行政学院二分院，自然及人文环境较好。</t>
    </r>
    <phoneticPr fontId="31" type="noConversion"/>
  </si>
  <si>
    <r>
      <rPr>
        <sz val="11"/>
        <rFont val="宋体"/>
        <family val="3"/>
        <charset val="134"/>
      </rPr>
      <t>周边</t>
    </r>
    <r>
      <rPr>
        <sz val="11"/>
        <rFont val="Arial"/>
        <family val="2"/>
      </rPr>
      <t>1</t>
    </r>
    <r>
      <rPr>
        <sz val="11"/>
        <rFont val="宋体"/>
        <family val="3"/>
        <charset val="134"/>
      </rPr>
      <t>公里航天湖公园，人文环境有北京城市学院，自然及人文环境较好。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</si>
  <si>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公里范围内有购物场所（超市发超市）、医院（北京航空材料研究院职工医院）、银行（中信银行、北京农商银行）、学校（温泉第二中学、温泉中心小学）、餐饮等公共服务配套设施，公共配套设施状况较好。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</si>
  <si>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公里范围内有购物场所（超市发超市）、医院（西北旺镇社区卫生服务中心）、银行（农业银行）、学校（清华大学附属中学）、餐饮等公共服务配套设施，公共配套设施状况较好。</t>
    </r>
    <phoneticPr fontId="31" type="noConversion"/>
  </si>
  <si>
    <t>多面临街</t>
  </si>
  <si>
    <r>
      <rPr>
        <sz val="11"/>
        <rFont val="宋体"/>
        <family val="3"/>
        <charset val="134"/>
      </rPr>
      <t>城市次干道</t>
    </r>
    <r>
      <rPr>
        <sz val="11"/>
        <rFont val="Arial"/>
        <family val="2"/>
      </rPr>
      <t>—</t>
    </r>
    <r>
      <rPr>
        <sz val="11"/>
        <rFont val="宋体"/>
        <family val="3"/>
        <charset val="134"/>
      </rPr>
      <t>北清路</t>
    </r>
    <phoneticPr fontId="31" type="noConversion"/>
  </si>
  <si>
    <t>次干道</t>
  </si>
  <si>
    <r>
      <rPr>
        <sz val="11"/>
        <rFont val="宋体"/>
        <family val="3"/>
        <charset val="134"/>
      </rPr>
      <t>城市支路</t>
    </r>
    <r>
      <rPr>
        <sz val="11"/>
        <rFont val="Arial"/>
        <family val="2"/>
      </rPr>
      <t>—</t>
    </r>
    <r>
      <rPr>
        <sz val="11"/>
        <rFont val="宋体"/>
        <family val="3"/>
        <charset val="134"/>
      </rPr>
      <t>辛店北街</t>
    </r>
    <phoneticPr fontId="31" type="noConversion"/>
  </si>
  <si>
    <r>
      <rPr>
        <sz val="11"/>
        <rFont val="宋体"/>
        <family val="3"/>
        <charset val="134"/>
      </rPr>
      <t>城市支路</t>
    </r>
    <r>
      <rPr>
        <sz val="11"/>
        <rFont val="Arial"/>
        <family val="2"/>
      </rPr>
      <t>—</t>
    </r>
    <r>
      <rPr>
        <sz val="11"/>
        <rFont val="宋体"/>
        <family val="3"/>
        <charset val="134"/>
      </rPr>
      <t>翠湖东路</t>
    </r>
    <phoneticPr fontId="31" type="noConversion"/>
  </si>
  <si>
    <t>已包含在土地取得成本中</t>
  </si>
  <si>
    <t>总价</t>
  </si>
  <si>
    <t>成本比率</t>
  </si>
  <si>
    <r>
      <rPr>
        <sz val="10"/>
        <color theme="9" tint="-0.249977111117893"/>
        <rFont val="宋体"/>
        <family val="3"/>
        <charset val="134"/>
      </rPr>
      <t>海淀区</t>
    </r>
    <r>
      <rPr>
        <sz val="10"/>
        <color theme="9" tint="-0.249977111117893"/>
        <rFont val="Arial"/>
        <family val="2"/>
      </rPr>
      <t>“</t>
    </r>
    <r>
      <rPr>
        <sz val="10"/>
        <color theme="9" tint="-0.249977111117893"/>
        <rFont val="宋体"/>
        <family val="3"/>
        <charset val="134"/>
      </rPr>
      <t>海淀北部地区整体开发</t>
    </r>
    <r>
      <rPr>
        <sz val="10"/>
        <color theme="9" tint="-0.249977111117893"/>
        <rFont val="Arial"/>
        <family val="2"/>
      </rPr>
      <t>”</t>
    </r>
    <r>
      <rPr>
        <sz val="10"/>
        <color theme="9" tint="-0.249977111117893"/>
        <rFont val="宋体"/>
        <family val="3"/>
        <charset val="134"/>
      </rPr>
      <t>永丰产业基地（新）</t>
    </r>
    <r>
      <rPr>
        <sz val="10"/>
        <color theme="9" tint="-0.249977111117893"/>
        <rFont val="Arial"/>
        <family val="2"/>
      </rPr>
      <t>HD00-0401-0158</t>
    </r>
    <r>
      <rPr>
        <sz val="10"/>
        <color theme="9" tint="-0.249977111117893"/>
        <rFont val="宋体"/>
        <family val="3"/>
        <charset val="134"/>
      </rPr>
      <t>地块</t>
    </r>
    <phoneticPr fontId="6" type="noConversion"/>
  </si>
  <si>
    <t>1#人防室外出入口</t>
    <phoneticPr fontId="140" type="noConversion"/>
  </si>
  <si>
    <t>2#人防室外出入口</t>
    <phoneticPr fontId="140" type="noConversion"/>
  </si>
  <si>
    <t>3#人防室外出入口及S2自行车库出入口</t>
    <phoneticPr fontId="140" type="noConversion"/>
  </si>
  <si>
    <t>C-1#住宅楼</t>
    <phoneticPr fontId="3" type="noConversion"/>
  </si>
  <si>
    <t>人防室外出口</t>
    <phoneticPr fontId="3" type="noConversion"/>
  </si>
  <si>
    <t>人防室外出口及自行车库入口</t>
    <phoneticPr fontId="3" type="noConversion"/>
  </si>
  <si>
    <t>地下车库4</t>
    <phoneticPr fontId="3" type="noConversion"/>
  </si>
  <si>
    <t>自行车库出入口</t>
    <phoneticPr fontId="140" type="noConversion"/>
  </si>
  <si>
    <t>工程进度</t>
    <phoneticPr fontId="140" type="noConversion"/>
  </si>
  <si>
    <r>
      <rPr>
        <sz val="10"/>
        <color theme="1"/>
        <rFont val="宋体"/>
        <family val="3"/>
        <charset val="134"/>
      </rPr>
      <t>主体结构已完工、正在进行二次结构施工</t>
    </r>
    <phoneticPr fontId="140" type="noConversion"/>
  </si>
  <si>
    <r>
      <t>1</t>
    </r>
    <r>
      <rPr>
        <sz val="10"/>
        <color theme="1"/>
        <rFont val="宋体"/>
        <family val="3"/>
        <charset val="134"/>
      </rPr>
      <t>层</t>
    </r>
    <phoneticPr fontId="140" type="noConversion"/>
  </si>
  <si>
    <t>分摊土地面积</t>
    <phoneticPr fontId="140" type="noConversion"/>
  </si>
  <si>
    <t>建筑工程施工证</t>
    <phoneticPr fontId="140" type="noConversion"/>
  </si>
  <si>
    <t>建设工程工程规证</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</si>
</sst>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indexed="8"/>
      <name val="仿宋_GB2312"/>
      <family val="3"/>
      <charset val="134"/>
    </font>
    <font>
      <sz val="12"/>
      <name val="仿宋_GB2312"/>
      <family val="3"/>
      <charset val="134"/>
    </font>
    <font>
      <sz val="10"/>
      <color theme="1"/>
      <name val="华文细黑"/>
      <family val="3"/>
      <charset val="134"/>
    </font>
    <font>
      <sz val="10"/>
      <color theme="1"/>
      <name val="宋体"/>
      <family val="2"/>
      <scheme val="minor"/>
    </font>
    <font>
      <sz val="10"/>
      <color rgb="FFFF0000"/>
      <name val="华文细黑"/>
      <family val="3"/>
      <charset val="134"/>
    </font>
    <font>
      <b/>
      <sz val="10"/>
      <color theme="1"/>
      <name val="华文细黑"/>
      <family val="3"/>
      <charset val="134"/>
    </font>
    <font>
      <sz val="10.5"/>
      <color theme="1"/>
      <name val="仿宋_GB2312"/>
      <family val="3"/>
      <charset val="134"/>
    </font>
    <font>
      <sz val="1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90"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7" borderId="5" xfId="0" applyFont="1" applyFill="1" applyBorder="1" applyAlignment="1" applyProtection="1">
      <alignment vertical="center"/>
      <protection locked="0"/>
    </xf>
    <xf numFmtId="184" fontId="253" fillId="0" borderId="1" xfId="0" applyNumberFormat="1" applyFont="1" applyFill="1" applyBorder="1" applyAlignment="1" applyProtection="1">
      <alignment horizontal="center" vertical="center" shrinkToFit="1"/>
      <protection locked="0"/>
    </xf>
    <xf numFmtId="0" fontId="254" fillId="5" borderId="1" xfId="0" applyFont="1" applyFill="1" applyBorder="1" applyAlignment="1" applyProtection="1">
      <alignment horizontal="center" vertical="center" wrapText="1"/>
      <protection locked="0"/>
    </xf>
    <xf numFmtId="49" fontId="253" fillId="5" borderId="1" xfId="0" applyNumberFormat="1" applyFont="1" applyFill="1" applyBorder="1" applyAlignment="1" applyProtection="1">
      <alignment horizontal="center" vertical="center" wrapText="1"/>
      <protection locked="0"/>
    </xf>
    <xf numFmtId="0" fontId="255" fillId="0" borderId="1" xfId="0" applyFont="1" applyFill="1" applyBorder="1" applyAlignment="1">
      <alignment vertical="center" wrapText="1"/>
    </xf>
    <xf numFmtId="0" fontId="256" fillId="0" borderId="1" xfId="0" applyFont="1" applyFill="1" applyBorder="1" applyAlignment="1"/>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57" fillId="0" borderId="1" xfId="0" applyFont="1" applyFill="1" applyBorder="1" applyAlignment="1">
      <alignment horizontal="left" vertical="center" wrapText="1"/>
    </xf>
    <xf numFmtId="0" fontId="257"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258" fillId="0" borderId="1" xfId="0" applyFont="1" applyFill="1" applyBorder="1" applyAlignment="1">
      <alignment horizontal="justify" vertical="center" wrapText="1"/>
    </xf>
    <xf numFmtId="0" fontId="106" fillId="0" borderId="1" xfId="0" applyFont="1" applyFill="1" applyBorder="1" applyAlignment="1">
      <alignment horizontal="justify" vertical="center" wrapText="1"/>
    </xf>
    <xf numFmtId="179" fontId="103" fillId="0" borderId="1" xfId="0" applyNumberFormat="1" applyFont="1" applyFill="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259" fillId="0" borderId="157" xfId="0" applyFont="1" applyBorder="1" applyAlignment="1" applyProtection="1">
      <alignment vertical="center" wrapText="1"/>
      <protection locked="0"/>
    </xf>
    <xf numFmtId="0" fontId="259" fillId="0" borderId="158"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lignment vertical="center"/>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9" fontId="53" fillId="0" borderId="38"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9" fontId="46" fillId="0" borderId="2"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9" fontId="49" fillId="13" borderId="0" xfId="0" applyNumberFormat="1" applyFont="1" applyFill="1" applyAlignment="1" applyProtection="1">
      <alignment horizontal="center" vertical="center"/>
      <protection locked="0"/>
    </xf>
    <xf numFmtId="0" fontId="104" fillId="2" borderId="37"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0" fontId="103"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11" fillId="0" borderId="1" xfId="0" applyFont="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3" fillId="0" borderId="1" xfId="0" applyFont="1" applyFill="1" applyBorder="1" applyAlignment="1">
      <alignment horizontal="justify" vertical="center" wrapText="1"/>
    </xf>
    <xf numFmtId="0" fontId="103" fillId="0" borderId="13"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103" fillId="0" borderId="2" xfId="0" applyFont="1" applyFill="1" applyBorder="1" applyAlignment="1">
      <alignment horizontal="center" vertical="center" wrapText="1"/>
    </xf>
    <xf numFmtId="0" fontId="255" fillId="0" borderId="1" xfId="0" applyFont="1" applyFill="1" applyBorder="1" applyAlignment="1">
      <alignment horizontal="justify" vertical="center" wrapText="1"/>
    </xf>
    <xf numFmtId="0" fontId="255" fillId="0" borderId="5" xfId="0" applyFont="1" applyFill="1" applyBorder="1" applyAlignment="1">
      <alignment horizontal="left" vertical="center" wrapText="1"/>
    </xf>
    <xf numFmtId="0" fontId="255" fillId="0" borderId="54" xfId="0" applyFont="1" applyFill="1" applyBorder="1" applyAlignment="1">
      <alignment horizontal="left" vertical="center" wrapText="1"/>
    </xf>
    <xf numFmtId="0" fontId="255" fillId="0" borderId="3" xfId="0" applyFont="1" applyFill="1" applyBorder="1" applyAlignment="1">
      <alignment horizontal="left" vertical="center" wrapText="1"/>
    </xf>
    <xf numFmtId="0" fontId="255" fillId="0" borderId="1" xfId="0" applyFont="1" applyFill="1" applyBorder="1" applyAlignment="1">
      <alignment horizontal="center" vertical="center" wrapText="1"/>
    </xf>
    <xf numFmtId="0" fontId="255" fillId="0" borderId="13" xfId="0" applyFont="1" applyFill="1" applyBorder="1" applyAlignment="1">
      <alignment horizontal="left" vertical="center" wrapText="1"/>
    </xf>
    <xf numFmtId="0" fontId="255" fillId="0" borderId="2" xfId="0" applyFont="1" applyFill="1" applyBorder="1" applyAlignment="1">
      <alignment horizontal="left" vertical="center" wrapText="1"/>
    </xf>
    <xf numFmtId="0" fontId="256" fillId="0" borderId="1" xfId="0" applyFont="1" applyFill="1" applyBorder="1" applyAlignment="1">
      <alignment horizontal="left"/>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 xfId="0" applyFont="1" applyBorder="1" applyAlignment="1">
      <alignment horizontal="center" vertical="center"/>
    </xf>
    <xf numFmtId="0" fontId="103" fillId="0" borderId="1" xfId="0" applyFont="1" applyFill="1" applyBorder="1" applyAlignment="1">
      <alignment horizontal="center" vertical="center" wrapText="1"/>
    </xf>
    <xf numFmtId="0" fontId="98" fillId="0" borderId="1" xfId="0" applyFont="1" applyBorder="1">
      <alignment vertical="center"/>
    </xf>
    <xf numFmtId="0" fontId="260" fillId="0" borderId="1" xfId="0" applyFont="1" applyFill="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56</xdr:col>
      <xdr:colOff>87500</xdr:colOff>
      <xdr:row>6</xdr:row>
      <xdr:rowOff>159857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6764000" y="0"/>
          <a:ext cx="7571429" cy="5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北京市海淀区“海淀北部地区整体开发”永丰产业基地（新）HD00-0401-0158地块出让国有建设用地使用权及在建建筑物房地产抵押价值预评估</v>
      </c>
    </row>
    <row r="3" spans="1:2" s="1357" customFormat="1">
      <c r="A3" s="1355" t="s">
        <v>1188</v>
      </c>
      <c r="B3" s="1356" t="str">
        <f>'预评函-封皮'!B40</f>
        <v>北京万永房地产开发有限公司</v>
      </c>
    </row>
    <row r="4" spans="1:2" s="1357" customFormat="1">
      <c r="A4" s="1355" t="s">
        <v>1189</v>
      </c>
      <c r="B4" s="1356" t="str">
        <f ca="1">'预评函-封皮'!B46</f>
        <v>郑燚（注册号：1120070131)、崔锴（注册号：1120100036)</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受贵公司委托，我公司对北京市海淀区“海淀北部地区整体开发”永丰产业基地（新）HD00-0401-0158地块出让国有建设用地使用权及在建建筑物房地产抵押价值进行了预评估。</v>
      </c>
    </row>
    <row r="7" spans="1:2" s="1357" customFormat="1">
      <c r="A7" s="1355" t="s">
        <v>1231</v>
      </c>
      <c r="B7" s="1356" t="str">
        <f>'预评函-1'!A7</f>
        <v>估价对象为北京市海淀区“海淀北部地区整体开发”永丰产业基地（新）HD00-0401-0158地块出让国有建设用地使用权及在建建筑物房地产，为所有。根据《国有土地使用证》[]，估价对象（分摊）出让国有建设用地使用权面积为31970平方米，建筑面积为101912.04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31970平方米，规划建筑面积为101912.04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为估价委托人在向工商银行北京海淀支行办理贷款手续过程中，确定房地产抵押贷款额度提供参考依据而评估房地产抵押价值。</v>
      </c>
    </row>
    <row r="12" spans="1:2" s="1357" customFormat="1">
      <c r="A12" s="1355" t="s">
        <v>1193</v>
      </c>
      <c r="B12" s="1356" t="str">
        <f>'预评函-1'!A15</f>
        <v>2020年12月22日（评估专业人员实地查勘之日）</v>
      </c>
    </row>
    <row r="13" spans="1:2" s="1357" customFormat="1">
      <c r="A13" s="1355" t="s">
        <v>1194</v>
      </c>
      <c r="B13" s="1356"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261758</v>
      </c>
    </row>
    <row r="21" spans="1:2" s="1357" customFormat="1">
      <c r="A21" s="1355" t="s">
        <v>1202</v>
      </c>
      <c r="B21" s="1356">
        <f ca="1">'预评函-2'!D7</f>
        <v>25685</v>
      </c>
    </row>
    <row r="22" spans="1:2" s="1357" customFormat="1">
      <c r="A22" s="1355" t="s">
        <v>1203</v>
      </c>
      <c r="B22" s="1356" t="str">
        <f ca="1">'预评函-2'!D6</f>
        <v>贰拾陆亿壹仟柒佰伍拾捌万元整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261758</v>
      </c>
    </row>
    <row r="31" spans="1:2" s="1357" customFormat="1">
      <c r="A31" s="1355" t="s">
        <v>1241</v>
      </c>
      <c r="B31" s="1356">
        <f ca="1">'预评函-2'!D15</f>
        <v>25685</v>
      </c>
    </row>
    <row r="32" spans="1:2" s="1357" customFormat="1">
      <c r="A32" s="1355" t="s">
        <v>1208</v>
      </c>
      <c r="B32" s="1356" t="str">
        <f ca="1">'预评函-2'!D14</f>
        <v>贰拾陆亿壹仟柒佰伍拾捌万元整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北京市海淀区“海淀北部地区整体开发”永丰产业基地（新）HD00-0401-0158地块出让国有建设用地使用权及在建建筑物房地产</v>
      </c>
    </row>
    <row r="42" spans="1:2" s="1357" customFormat="1">
      <c r="A42" s="1355" t="s">
        <v>1255</v>
      </c>
      <c r="B42" s="1356" t="str">
        <f>'预评函-3'!B2</f>
        <v>建筑面积</v>
      </c>
    </row>
    <row r="43" spans="1:2" s="1357" customFormat="1">
      <c r="A43" s="1355" t="s">
        <v>1256</v>
      </c>
      <c r="B43" s="1356">
        <f>'预评函-3'!B4</f>
        <v>101912.04000000001</v>
      </c>
    </row>
    <row r="44" spans="1:2" s="1357" customFormat="1">
      <c r="A44" s="1355" t="s">
        <v>1240</v>
      </c>
      <c r="B44" s="1356" t="str">
        <f>'预评函-3'!C2</f>
        <v>(分摊)土地面积</v>
      </c>
    </row>
    <row r="45" spans="1:2" s="1357" customFormat="1">
      <c r="A45" s="1355" t="s">
        <v>1212</v>
      </c>
      <c r="B45" s="1356">
        <f>'预评函-3'!C4</f>
        <v>31970</v>
      </c>
    </row>
    <row r="46" spans="1:2" s="1357" customFormat="1">
      <c r="A46" s="1355" t="s">
        <v>1238</v>
      </c>
      <c r="B46" s="1356" t="str">
        <f>'预评函-3'!D2</f>
        <v>出让国有建设用地使用权价值</v>
      </c>
    </row>
    <row r="47" spans="1:2" s="1357" customFormat="1">
      <c r="A47" s="1355" t="s">
        <v>1213</v>
      </c>
      <c r="B47" s="1356">
        <f ca="1">'预评函-3'!D4</f>
        <v>236629</v>
      </c>
    </row>
    <row r="48" spans="1:2" s="1357" customFormat="1">
      <c r="A48" s="1355" t="s">
        <v>1214</v>
      </c>
      <c r="B48" s="1356">
        <f ca="1">'预评函-3'!E4</f>
        <v>23219</v>
      </c>
    </row>
    <row r="49" spans="1:2" s="1357" customFormat="1">
      <c r="A49" s="1355" t="s">
        <v>1215</v>
      </c>
      <c r="B49" s="1356" t="str">
        <f ca="1">'预评函-3'!D5</f>
        <v>贰拾叁亿陆仟陆佰贰拾玖万元整</v>
      </c>
    </row>
    <row r="50" spans="1:2" s="1357" customFormat="1">
      <c r="A50" s="1355" t="s">
        <v>1239</v>
      </c>
      <c r="B50" s="1356" t="str">
        <f>'预评函-3'!F2</f>
        <v>在建建筑物价值</v>
      </c>
    </row>
    <row r="51" spans="1:2" s="1357" customFormat="1">
      <c r="A51" s="1355" t="s">
        <v>1216</v>
      </c>
      <c r="B51" s="1356">
        <f ca="1">'预评函-3'!F4</f>
        <v>25129</v>
      </c>
    </row>
    <row r="52" spans="1:2" s="1357" customFormat="1">
      <c r="A52" s="1355" t="s">
        <v>1217</v>
      </c>
      <c r="B52" s="1356">
        <f ca="1">'预评函-3'!G4</f>
        <v>2466</v>
      </c>
    </row>
    <row r="53" spans="1:2" s="1357" customFormat="1">
      <c r="A53" s="1355" t="s">
        <v>1245</v>
      </c>
      <c r="B53" s="1356" t="str">
        <f ca="1">'预评函-3'!F5</f>
        <v>贰亿伍仟壹佰贰拾玖万元整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郑燚</v>
      </c>
    </row>
    <row r="71" spans="1:2">
      <c r="A71" s="1355" t="s">
        <v>1228</v>
      </c>
      <c r="B71" s="1356">
        <f ca="1">'预评函-4'!B4</f>
        <v>1120070131</v>
      </c>
    </row>
    <row r="72" spans="1:2">
      <c r="A72" s="1355" t="s">
        <v>1229</v>
      </c>
      <c r="B72" s="1364" t="str">
        <f>'预评函-4'!A5</f>
        <v>崔锴</v>
      </c>
    </row>
    <row r="73" spans="1:2" s="1351" customFormat="1" ht="15" thickBot="1">
      <c r="A73" s="1358" t="s">
        <v>1230</v>
      </c>
      <c r="B73" s="1359">
        <f ca="1">'预评函-4'!B5</f>
        <v>1120100036</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8" t="s">
        <v>3143</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3035</v>
      </c>
      <c r="C17" s="1726"/>
    </row>
    <row r="18" spans="1:3">
      <c r="A18" s="1725" t="s">
        <v>1731</v>
      </c>
      <c r="B18" s="1728" t="s">
        <v>3145</v>
      </c>
      <c r="C18" s="1726"/>
    </row>
    <row r="19" spans="1:3">
      <c r="A19" s="1725" t="s">
        <v>1732</v>
      </c>
      <c r="B19" s="1728" t="s">
        <v>3147</v>
      </c>
      <c r="C19" s="1726"/>
    </row>
    <row r="20" spans="1:3">
      <c r="A20" s="1725" t="s">
        <v>1733</v>
      </c>
      <c r="B20" s="1728" t="s">
        <v>3148</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3134</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为估价委托人在向工商银行北京海淀支行办理贷款手续过程中，确定房地产抵押贷款额度提供参考依据而评估房地产抵押价值。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永房地产开发有限公司拟使用北京市海淀区“海淀北部地区整体开发”永丰产业基地（新）HD00-0401-0158地块出让国有建设用地使用权及在建建筑物房地产作为抵押担保物，向工商银行北京海淀支行办理贷款手续。工商银行北京海淀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36"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3" t="s">
        <v>832</v>
      </c>
      <c r="C54" s="1730" t="s">
        <v>1248</v>
      </c>
    </row>
    <row r="55" spans="1:4">
      <c r="A55" s="3136"/>
      <c r="B55" s="1733" t="s">
        <v>833</v>
      </c>
      <c r="C55" s="1730" t="s">
        <v>1249</v>
      </c>
    </row>
    <row r="56" spans="1:4">
      <c r="A56" s="3136"/>
      <c r="B56" s="1733" t="s">
        <v>834</v>
      </c>
      <c r="C56" s="1730" t="s">
        <v>1253</v>
      </c>
    </row>
    <row r="57" spans="1:4">
      <c r="A57" s="3136"/>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H22" sqref="H22"/>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37" t="str">
        <f>IF(B10="北京市","北京市",C10)&amp;F10&amp;IF(结果表!G1="在建","出让国有建设用地使用权及在建建筑物",IF(结果表!G1="土地","出让国有建设用地使用权",))&amp;B9&amp;"预评估"</f>
        <v>北京市海淀区“海淀北部地区整体开发”永丰产业基地（新）HD00-0401-0158地块出让国有建设用地使用权及在建建筑物房地产抵押价值预评估</v>
      </c>
      <c r="C1" s="3138"/>
      <c r="D1" s="3138"/>
      <c r="E1" s="3138"/>
      <c r="F1" s="3138"/>
      <c r="G1" s="3138"/>
      <c r="H1" s="3138"/>
      <c r="I1" s="3139"/>
      <c r="J1" s="2687"/>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北京市海淀区“海淀北部地区整体开发”永丰产业基地（新）HD00-0401-0158地块出让国有建设用地使用权及在建建筑物房地产抵押价值</v>
      </c>
      <c r="T1" s="1924"/>
      <c r="U1" s="1924"/>
      <c r="V1" s="1924"/>
      <c r="W1" s="1924"/>
      <c r="X1" s="1924"/>
      <c r="Y1" s="1924"/>
      <c r="Z1" s="1924"/>
      <c r="AA1" s="1924"/>
      <c r="AB1" s="1924"/>
    </row>
    <row r="2" spans="1:28">
      <c r="A2" s="2584" t="s">
        <v>2913</v>
      </c>
      <c r="B2" s="2588"/>
      <c r="C2" s="2589"/>
      <c r="D2" s="2889"/>
      <c r="E2" s="2879"/>
      <c r="F2" s="2879"/>
      <c r="G2" s="2880"/>
      <c r="H2" s="2880"/>
      <c r="I2" s="2880"/>
      <c r="J2" s="2687"/>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北京市海淀区“海淀北部地区整体开发”永丰产业基地（新）HD00-0401-0158地块出让国有建设用地使用权及在建建筑物房地产</v>
      </c>
      <c r="T2" s="1924"/>
      <c r="U2" s="1924"/>
      <c r="V2" s="1924"/>
      <c r="W2" s="1924"/>
      <c r="X2" s="1924"/>
      <c r="Y2" s="1924"/>
      <c r="Z2" s="1924"/>
      <c r="AA2" s="1924"/>
      <c r="AB2" s="1924"/>
    </row>
    <row r="3" spans="1:28">
      <c r="A3" s="307" t="s">
        <v>2914</v>
      </c>
      <c r="B3" s="2590">
        <v>44187</v>
      </c>
      <c r="C3" s="2591" t="s">
        <v>2915</v>
      </c>
      <c r="D3" s="2590">
        <f>B3</f>
        <v>44187</v>
      </c>
      <c r="E3" s="2880"/>
      <c r="F3" s="2880"/>
      <c r="G3" s="2880"/>
      <c r="H3" s="2880"/>
      <c r="I3" s="2880"/>
      <c r="J3" s="2687"/>
      <c r="K3" s="2585"/>
      <c r="L3" s="2586"/>
      <c r="M3" s="2586"/>
      <c r="N3" s="2587"/>
      <c r="O3" s="1755"/>
      <c r="P3" s="2587"/>
      <c r="Q3" s="2587"/>
      <c r="R3" s="2587"/>
      <c r="S3" s="1861"/>
      <c r="T3" s="1924"/>
      <c r="U3" s="1924"/>
      <c r="V3" s="1924"/>
      <c r="W3" s="1924"/>
      <c r="X3" s="1924"/>
      <c r="Y3" s="1924"/>
      <c r="Z3" s="1924"/>
      <c r="AA3" s="1924"/>
      <c r="AB3" s="1924"/>
    </row>
    <row r="4" spans="1:28" ht="13.5" thickBot="1">
      <c r="A4" s="1243" t="s">
        <v>2916</v>
      </c>
      <c r="B4" s="2592" t="s">
        <v>3057</v>
      </c>
      <c r="C4" s="2593">
        <f ca="1">SUMIF(注册房地产估价师,B4,估价师及机构信息!B3:B24)</f>
        <v>1120070131</v>
      </c>
      <c r="D4" s="2592" t="s">
        <v>3058</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6"/>
      <c r="K4" s="2595" t="str">
        <f ca="1">CONCATENATE(B4,"（注册号：",C4,")、",D4,"（注册号：",E4,")")</f>
        <v>郑燚（注册号：1120070131)、崔锴（注册号：1120100036)</v>
      </c>
      <c r="L4" s="2586"/>
      <c r="M4" s="2586"/>
      <c r="N4" s="2587"/>
      <c r="O4" s="1755"/>
      <c r="P4" s="2587"/>
      <c r="Q4" s="2587"/>
      <c r="R4" s="2587"/>
      <c r="S4" s="1861"/>
      <c r="T4" s="1924"/>
      <c r="U4" s="1924"/>
      <c r="V4" s="1924"/>
      <c r="W4" s="1924"/>
      <c r="X4" s="1924"/>
      <c r="Y4" s="1924"/>
      <c r="Z4" s="1924"/>
      <c r="AA4" s="1924"/>
      <c r="AB4" s="1924"/>
    </row>
    <row r="5" spans="1:28" ht="15" thickTop="1">
      <c r="A5" s="2596" t="s">
        <v>2917</v>
      </c>
      <c r="B5" s="3044" t="s">
        <v>3059</v>
      </c>
      <c r="C5" s="2597"/>
      <c r="D5" s="2598"/>
      <c r="E5" s="2881"/>
      <c r="F5" s="2881"/>
      <c r="G5" s="2881"/>
      <c r="H5" s="2881"/>
      <c r="I5" s="2881"/>
      <c r="J5" s="2656"/>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ht="14.25">
      <c r="A6" s="2599" t="s">
        <v>2918</v>
      </c>
      <c r="B6" s="3044" t="s">
        <v>3060</v>
      </c>
      <c r="C6" s="2600"/>
      <c r="D6" s="2601"/>
      <c r="E6" s="2879"/>
      <c r="F6" s="2881"/>
      <c r="G6" s="2881"/>
      <c r="H6" s="2881"/>
      <c r="I6" s="2881"/>
      <c r="J6" s="2656"/>
      <c r="K6" s="2831" t="str">
        <f>IF(COUNTIF(B6,"*上海银行*"),"上海银行","")</f>
        <v/>
      </c>
      <c r="L6" s="2829"/>
      <c r="M6" s="2829"/>
      <c r="N6" s="2656"/>
      <c r="O6" s="2667"/>
      <c r="P6" s="2656"/>
      <c r="Q6" s="2656"/>
      <c r="R6" s="2656"/>
    </row>
    <row r="7" spans="1:28" ht="38.25">
      <c r="A7" s="2599" t="s">
        <v>2919</v>
      </c>
      <c r="B7" s="2602" t="str">
        <f>B5</f>
        <v>北京万永房地产开发有限公司</v>
      </c>
      <c r="C7" s="2600"/>
      <c r="D7" s="2601"/>
      <c r="E7" s="2879"/>
      <c r="F7" s="2881"/>
      <c r="G7" s="2881"/>
      <c r="H7" s="2881"/>
      <c r="I7" s="2881"/>
      <c r="J7" s="2656"/>
      <c r="K7" s="2832"/>
      <c r="L7" s="2829"/>
      <c r="M7" s="2829"/>
      <c r="N7" s="2656"/>
      <c r="O7" s="2667"/>
      <c r="P7" s="2656"/>
      <c r="Q7" s="2656"/>
      <c r="R7" s="2656"/>
    </row>
    <row r="8" spans="1:28">
      <c r="A8" s="2603" t="s">
        <v>2920</v>
      </c>
      <c r="B8" s="2604" t="s">
        <v>3061</v>
      </c>
      <c r="C8" s="2605"/>
      <c r="D8" s="3140" t="s">
        <v>2921</v>
      </c>
      <c r="E8" s="2606" t="s">
        <v>3062</v>
      </c>
      <c r="F8" s="2607"/>
      <c r="G8" s="2880"/>
      <c r="H8" s="2880"/>
      <c r="I8" s="2880"/>
      <c r="J8" s="2656"/>
      <c r="K8" s="2830"/>
      <c r="L8" s="2829"/>
      <c r="M8" s="2829"/>
      <c r="N8" s="2656"/>
      <c r="O8" s="2667"/>
      <c r="P8" s="2656"/>
      <c r="Q8" s="2656"/>
      <c r="R8" s="2656"/>
    </row>
    <row r="9" spans="1:28" ht="13.5" thickBot="1">
      <c r="A9" s="2608" t="s">
        <v>2922</v>
      </c>
      <c r="B9" s="2609" t="s">
        <v>3062</v>
      </c>
      <c r="C9" s="2610"/>
      <c r="D9" s="3141"/>
      <c r="E9" s="2609" t="s">
        <v>70</v>
      </c>
      <c r="F9" s="2611"/>
      <c r="G9" s="2882"/>
      <c r="H9" s="2882"/>
      <c r="I9" s="2882"/>
      <c r="J9" s="2656"/>
      <c r="K9" s="2832"/>
      <c r="L9" s="2829"/>
      <c r="M9" s="2829"/>
      <c r="N9" s="2656"/>
      <c r="O9" s="2667"/>
      <c r="P9" s="2656"/>
      <c r="Q9" s="2656"/>
      <c r="R9" s="2656"/>
    </row>
    <row r="10" spans="1:28" ht="13.5" thickTop="1">
      <c r="A10" s="2612" t="s">
        <v>2923</v>
      </c>
      <c r="B10" s="2613" t="s">
        <v>3063</v>
      </c>
      <c r="C10" s="2614"/>
      <c r="D10" s="2598"/>
      <c r="E10" s="2615" t="s">
        <v>2924</v>
      </c>
      <c r="F10" s="2883" t="s">
        <v>3428</v>
      </c>
      <c r="G10" s="2884"/>
      <c r="H10" s="2885"/>
      <c r="I10" s="2886"/>
      <c r="J10" s="2656"/>
      <c r="K10" s="2832"/>
      <c r="L10" s="2829"/>
      <c r="M10" s="2829"/>
      <c r="N10" s="2656"/>
      <c r="O10" s="2667"/>
      <c r="P10" s="2656"/>
      <c r="Q10" s="2656"/>
      <c r="R10" s="2656"/>
    </row>
    <row r="11" spans="1:28">
      <c r="A11" s="2616" t="s">
        <v>2925</v>
      </c>
      <c r="B11" s="2617" t="s">
        <v>3064</v>
      </c>
      <c r="C11" s="2618"/>
      <c r="D11" s="2619"/>
      <c r="E11" s="2587"/>
      <c r="F11" s="2587"/>
      <c r="G11" s="2587"/>
      <c r="H11" s="2587"/>
      <c r="I11" s="2587"/>
      <c r="J11" s="2656"/>
      <c r="K11" s="2832"/>
      <c r="L11" s="2829"/>
      <c r="M11" s="2829"/>
      <c r="N11" s="2656"/>
      <c r="O11" s="2667"/>
      <c r="P11" s="2656"/>
      <c r="Q11" s="2656"/>
      <c r="R11" s="2656"/>
    </row>
    <row r="12" spans="1:28">
      <c r="A12" s="2620" t="s">
        <v>2926</v>
      </c>
      <c r="B12" s="2617" t="s">
        <v>3065</v>
      </c>
      <c r="C12" s="328" t="s">
        <v>2927</v>
      </c>
      <c r="D12" s="2621" t="s">
        <v>2928</v>
      </c>
      <c r="E12" s="2621" t="s">
        <v>2929</v>
      </c>
      <c r="F12" s="2621" t="s">
        <v>2930</v>
      </c>
      <c r="G12" s="2621" t="s">
        <v>2931</v>
      </c>
      <c r="H12" s="2621" t="s">
        <v>2932</v>
      </c>
      <c r="I12" s="2621" t="s">
        <v>2933</v>
      </c>
      <c r="J12" s="2656"/>
      <c r="K12" s="2832"/>
      <c r="L12" s="2829"/>
      <c r="M12" s="2829"/>
      <c r="N12" s="2656"/>
      <c r="O12" s="2667"/>
      <c r="P12" s="2656"/>
      <c r="Q12" s="2656"/>
      <c r="R12" s="2656"/>
    </row>
    <row r="13" spans="1:28" ht="14.25">
      <c r="A13" s="1234"/>
      <c r="B13" s="2622"/>
      <c r="C13" s="2623" t="s">
        <v>2934</v>
      </c>
      <c r="D13" s="3045">
        <v>68296</v>
      </c>
      <c r="E13" s="3045">
        <v>57339</v>
      </c>
      <c r="F13" s="3045"/>
      <c r="G13" s="3045">
        <v>60991</v>
      </c>
      <c r="H13" s="3045">
        <v>60991</v>
      </c>
      <c r="I13" s="958"/>
      <c r="J13" s="2656"/>
      <c r="K13" s="2832"/>
      <c r="L13" s="2829"/>
      <c r="M13" s="2829"/>
      <c r="N13" s="2656"/>
      <c r="O13" s="2667"/>
      <c r="P13" s="2656"/>
      <c r="Q13" s="2656"/>
      <c r="R13" s="2656"/>
    </row>
    <row r="14" spans="1:28">
      <c r="A14" s="1234"/>
      <c r="B14" s="2622"/>
      <c r="C14" s="2623" t="s">
        <v>2935</v>
      </c>
      <c r="D14" s="2624">
        <v>70</v>
      </c>
      <c r="E14" s="2624">
        <v>40</v>
      </c>
      <c r="F14" s="2624"/>
      <c r="G14" s="2624">
        <v>50</v>
      </c>
      <c r="H14" s="2624">
        <v>50</v>
      </c>
      <c r="I14" s="2624"/>
      <c r="J14" s="2656"/>
      <c r="K14" s="2833"/>
      <c r="L14" s="2829"/>
      <c r="M14" s="2829"/>
      <c r="N14" s="2656"/>
      <c r="O14" s="2667"/>
      <c r="P14" s="2656"/>
      <c r="Q14" s="2656"/>
      <c r="R14" s="2656"/>
    </row>
    <row r="15" spans="1:28">
      <c r="A15" s="325"/>
      <c r="B15" s="2625"/>
      <c r="C15" s="2626" t="s">
        <v>2936</v>
      </c>
      <c r="D15" s="2627">
        <f>IF(B12="出让",IF(D13="","",ROUNDDOWN(MIN((D13-$D$3)/365,D14),2)),D14)</f>
        <v>66.05</v>
      </c>
      <c r="E15" s="2627">
        <f>IF(B12="出让",IF(E13="","",ROUNDDOWN(MIN((E13-$D$3)/365,E14),2)),E14)</f>
        <v>36.03</v>
      </c>
      <c r="F15" s="2627" t="str">
        <f>IF(B12="出让",IF(F13="","",ROUNDDOWN(MIN((F13-$D$3)/365,F14),2)),F14)</f>
        <v/>
      </c>
      <c r="G15" s="2627">
        <f>IF(B12="出让",IF(G13="","",ROUNDDOWN(MIN((G13-$D$3)/365,G14),2)),G14)</f>
        <v>46.03</v>
      </c>
      <c r="H15" s="2627">
        <f>IF(B12="出让",IF(H13="","",ROUNDDOWN(MIN((H13-$D$3)/365,H14),2)),H14)</f>
        <v>46.03</v>
      </c>
      <c r="I15" s="2627" t="str">
        <f>IF(B12="出让",IF(I13="","",ROUNDDOWN(MIN((I13-$D$3)/365,I14),2)),I14)</f>
        <v/>
      </c>
      <c r="J15" s="2656"/>
      <c r="K15" s="2834"/>
      <c r="L15" s="2668"/>
      <c r="M15" s="2668"/>
      <c r="N15" s="2725"/>
      <c r="O15" s="2668"/>
      <c r="P15" s="2725"/>
      <c r="Q15" s="2656"/>
      <c r="R15" s="2656"/>
    </row>
    <row r="16" spans="1:28">
      <c r="A16" s="2615" t="s">
        <v>2937</v>
      </c>
      <c r="B16" s="3147"/>
      <c r="C16" s="3148"/>
      <c r="D16" s="3149"/>
      <c r="E16" s="2630" t="s">
        <v>2938</v>
      </c>
      <c r="F16" s="3150"/>
      <c r="G16" s="3151"/>
      <c r="H16" s="3151"/>
      <c r="I16" s="3152"/>
      <c r="J16" s="2656"/>
      <c r="K16" s="2834"/>
      <c r="L16" s="2668"/>
      <c r="M16" s="2668"/>
      <c r="N16" s="2725"/>
      <c r="O16" s="2668"/>
      <c r="P16" s="2725"/>
      <c r="Q16" s="2656"/>
      <c r="R16" s="2656"/>
    </row>
    <row r="17" spans="1:28">
      <c r="A17" s="318" t="s">
        <v>2939</v>
      </c>
      <c r="B17" s="307" t="s">
        <v>2940</v>
      </c>
      <c r="C17" s="11">
        <f>'数据-汇总表'!E3</f>
        <v>101912.04000000001</v>
      </c>
      <c r="D17" s="2538" t="s">
        <v>2941</v>
      </c>
      <c r="E17" s="3153" t="s">
        <v>2942</v>
      </c>
      <c r="F17" s="3154"/>
      <c r="G17" s="3154"/>
      <c r="H17" s="3154"/>
      <c r="I17" s="3155"/>
      <c r="J17" s="2656"/>
      <c r="K17" s="2835"/>
      <c r="L17" s="2668"/>
      <c r="M17" s="2668"/>
      <c r="N17" s="2725"/>
      <c r="O17" s="2668"/>
      <c r="P17" s="2725"/>
      <c r="Q17" s="2656"/>
      <c r="R17" s="2656"/>
      <c r="S17" s="2656"/>
      <c r="T17" s="2656"/>
      <c r="U17" s="2656"/>
      <c r="V17" s="2656"/>
    </row>
    <row r="18" spans="1:28" ht="24.75" thickBot="1">
      <c r="A18" s="2631" t="s">
        <v>2943</v>
      </c>
      <c r="B18" s="1243" t="s">
        <v>2944</v>
      </c>
      <c r="C18" s="2632">
        <f>'数据-汇总表'!D3</f>
        <v>31970</v>
      </c>
      <c r="D18" s="1245" t="s">
        <v>2945</v>
      </c>
      <c r="E18" s="3156" t="s">
        <v>2946</v>
      </c>
      <c r="F18" s="3157"/>
      <c r="G18" s="3157"/>
      <c r="H18" s="3157"/>
      <c r="I18" s="3158"/>
      <c r="J18" s="2656"/>
      <c r="K18" s="2835"/>
      <c r="L18" s="2668"/>
      <c r="M18" s="2668"/>
      <c r="N18" s="2725"/>
      <c r="O18" s="2668"/>
      <c r="P18" s="2725"/>
      <c r="Q18" s="2656"/>
      <c r="R18" s="2656"/>
      <c r="S18" s="2656"/>
      <c r="T18" s="2656"/>
      <c r="U18" s="2656"/>
      <c r="V18" s="2656"/>
    </row>
    <row r="19" spans="1:28" ht="37.5" thickTop="1" thickBot="1">
      <c r="A19" s="332" t="s">
        <v>1740</v>
      </c>
      <c r="B19" s="312" t="s">
        <v>2947</v>
      </c>
      <c r="C19" s="1742" t="s">
        <v>3066</v>
      </c>
      <c r="D19" s="1743" t="s">
        <v>2948</v>
      </c>
      <c r="E19" s="1744"/>
      <c r="F19" s="1745" t="str">
        <f>IF(AND(C19="是",E19="否"),"是否提供他项权证或相关说明","")</f>
        <v/>
      </c>
      <c r="G19" s="1746"/>
      <c r="H19" s="2881"/>
      <c r="I19" s="2881"/>
      <c r="J19" s="2656"/>
      <c r="K19" s="2832"/>
      <c r="L19" s="2829"/>
      <c r="M19" s="2829"/>
      <c r="N19" s="2725"/>
      <c r="O19" s="2668"/>
      <c r="P19" s="2725"/>
      <c r="Q19" s="2656"/>
      <c r="R19" s="2656"/>
      <c r="S19" s="2656"/>
      <c r="T19" s="2656"/>
      <c r="U19" s="2656"/>
      <c r="V19" s="2656"/>
    </row>
    <row r="20" spans="1:28">
      <c r="A20" s="2849" t="s">
        <v>2949</v>
      </c>
      <c r="B20" s="3143" t="s">
        <v>2950</v>
      </c>
      <c r="C20" s="3144"/>
      <c r="D20" s="3145" t="s">
        <v>2951</v>
      </c>
      <c r="E20" s="3146"/>
      <c r="F20" s="2864" t="s">
        <v>1741</v>
      </c>
      <c r="G20" s="2881"/>
      <c r="H20" s="2881"/>
      <c r="I20" s="2881"/>
      <c r="J20" s="2656"/>
      <c r="K20" s="3142"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9"/>
      <c r="O20" s="2628"/>
      <c r="P20" s="2629"/>
      <c r="Q20" s="2587"/>
      <c r="R20" s="2587"/>
      <c r="S20" s="2587"/>
      <c r="T20" s="2587"/>
      <c r="U20" s="2587"/>
      <c r="V20" s="2587"/>
      <c r="W20" s="1924"/>
      <c r="X20" s="1924"/>
      <c r="Y20" s="1924"/>
      <c r="Z20" s="1924"/>
      <c r="AA20" s="1924"/>
      <c r="AB20" s="1924"/>
    </row>
    <row r="21" spans="1:28" ht="24.75" thickBot="1">
      <c r="A21" s="2849"/>
      <c r="B21" s="2850" t="s">
        <v>2953</v>
      </c>
      <c r="C21" s="2851" t="s">
        <v>1742</v>
      </c>
      <c r="D21" s="1747" t="s">
        <v>2954</v>
      </c>
      <c r="E21" s="2852" t="s">
        <v>1742</v>
      </c>
      <c r="F21" s="2865"/>
      <c r="G21" s="2881"/>
      <c r="H21" s="2881"/>
      <c r="I21" s="2881"/>
      <c r="J21" s="2656"/>
      <c r="K21" s="314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9"/>
      <c r="O21" s="2628"/>
      <c r="P21" s="2629"/>
      <c r="Q21" s="2587"/>
      <c r="R21" s="2587"/>
      <c r="S21" s="2587"/>
      <c r="T21" s="2587"/>
      <c r="U21" s="2587"/>
      <c r="V21" s="2587"/>
      <c r="W21" s="1924"/>
      <c r="X21" s="1924"/>
      <c r="Y21" s="1924"/>
      <c r="Z21" s="1924"/>
      <c r="AA21" s="1924"/>
      <c r="AB21" s="1924"/>
    </row>
    <row r="22" spans="1:28" ht="24.75" thickBot="1">
      <c r="A22" s="2849"/>
      <c r="B22" s="2853" t="s">
        <v>2955</v>
      </c>
      <c r="C22" s="2851" t="s">
        <v>1743</v>
      </c>
      <c r="D22" s="2880"/>
      <c r="E22" s="2880"/>
      <c r="F22" s="2880"/>
      <c r="G22" s="2881"/>
      <c r="H22" s="2881"/>
      <c r="I22" s="2881"/>
      <c r="J22" s="2656"/>
      <c r="K22" s="314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9"/>
      <c r="O22" s="2628"/>
      <c r="P22" s="2629"/>
      <c r="Q22" s="2587"/>
      <c r="R22" s="2587"/>
      <c r="S22" s="2587"/>
      <c r="T22" s="2587"/>
      <c r="U22" s="2587"/>
      <c r="V22" s="2587"/>
      <c r="W22" s="1924"/>
      <c r="X22" s="1924"/>
      <c r="Y22" s="1924"/>
      <c r="Z22" s="1924"/>
      <c r="AA22" s="1924"/>
      <c r="AB22" s="1924"/>
    </row>
    <row r="23" spans="1:28">
      <c r="A23" s="2854" t="s">
        <v>2956</v>
      </c>
      <c r="B23" s="2718" t="s">
        <v>2957</v>
      </c>
      <c r="C23" s="2855"/>
      <c r="D23" s="2856" t="s">
        <v>2957</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60" t="s">
        <v>2958</v>
      </c>
      <c r="B27" s="325" t="s">
        <v>2959</v>
      </c>
      <c r="C27" s="2633" t="s">
        <v>3067</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60"/>
      <c r="B28" s="307" t="s">
        <v>2960</v>
      </c>
      <c r="C28" s="2635" t="s">
        <v>3068</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60"/>
      <c r="B29" s="307" t="s">
        <v>2961</v>
      </c>
      <c r="C29" s="2637" t="s">
        <v>3069</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61"/>
      <c r="B30" s="307" t="s">
        <v>2962</v>
      </c>
      <c r="C30" s="3162"/>
      <c r="D30" s="3163"/>
      <c r="E30" s="2881"/>
      <c r="F30" s="2881"/>
      <c r="G30" s="2881"/>
      <c r="H30" s="2881"/>
      <c r="I30" s="2881"/>
      <c r="J30" s="2656"/>
      <c r="K30" s="2832"/>
      <c r="L30" s="2829"/>
      <c r="M30" s="2829"/>
      <c r="N30" s="2656"/>
      <c r="O30" s="2667"/>
      <c r="P30" s="2656"/>
      <c r="Q30" s="2656"/>
      <c r="R30" s="2656"/>
      <c r="S30" s="2656"/>
      <c r="T30" s="2656"/>
      <c r="U30" s="2656"/>
      <c r="V30" s="2656"/>
    </row>
    <row r="31" spans="1:28">
      <c r="A31" s="3164" t="s">
        <v>2963</v>
      </c>
      <c r="B31" s="2639" t="s">
        <v>3070</v>
      </c>
      <c r="C31" s="2539" t="str">
        <f>IF(B31="现房","成新及维护状况正常否",IF(B31="在建","工程状态是否正常",IF(B31="土地","是否闲置","-")))</f>
        <v>工程状态是否正常</v>
      </c>
      <c r="D31" s="1551"/>
      <c r="E31" s="2640"/>
      <c r="F31" s="2881"/>
      <c r="G31" s="2881"/>
      <c r="H31" s="2881"/>
      <c r="I31" s="2881"/>
      <c r="J31" s="2656"/>
      <c r="K31" s="2831"/>
      <c r="L31" s="2829"/>
      <c r="M31" s="2829"/>
      <c r="N31" s="2656"/>
      <c r="O31" s="2667"/>
      <c r="P31" s="2656"/>
      <c r="Q31" s="2656"/>
      <c r="R31" s="2656"/>
      <c r="S31" s="2656"/>
      <c r="T31" s="2656"/>
      <c r="U31" s="2656"/>
      <c r="V31" s="2656"/>
    </row>
    <row r="32" spans="1:28">
      <c r="A32" s="3165"/>
      <c r="B32" s="2639"/>
      <c r="C32" s="2539" t="str">
        <f>IF(B32="现房","成新及维护状况是否正常",IF(B32="在建","工程状态是否正常",IF(B32="土地","是否闲置","-")))</f>
        <v>-</v>
      </c>
      <c r="D32" s="1551"/>
      <c r="E32" s="2640"/>
      <c r="F32" s="2881"/>
      <c r="G32" s="2881"/>
      <c r="H32" s="2881"/>
      <c r="I32" s="2881"/>
      <c r="J32" s="2656"/>
      <c r="K32" s="2832"/>
      <c r="L32" s="2829"/>
      <c r="M32" s="2829"/>
      <c r="N32" s="2656"/>
      <c r="O32" s="2667"/>
      <c r="P32" s="2656"/>
      <c r="Q32" s="2656"/>
      <c r="R32" s="2656"/>
      <c r="S32" s="2656"/>
      <c r="T32" s="2656"/>
      <c r="U32" s="2656"/>
      <c r="V32" s="2656"/>
    </row>
    <row r="33" spans="1:30">
      <c r="A33" s="3165"/>
      <c r="B33" s="2642"/>
      <c r="C33" s="1769" t="str">
        <f>IF(B33="现房","成新及维护状况是否正常",IF(B33="在建","工程状态是否正常",IF(B33="土地","是否闲置","-")))</f>
        <v>-</v>
      </c>
      <c r="D33" s="1543"/>
      <c r="E33" s="2643"/>
      <c r="F33" s="2881"/>
      <c r="G33" s="2881"/>
      <c r="H33" s="2881"/>
      <c r="I33" s="2881"/>
      <c r="J33" s="2656"/>
      <c r="K33" s="2832"/>
      <c r="L33" s="2829"/>
      <c r="M33" s="2829"/>
      <c r="N33" s="2656"/>
      <c r="O33" s="2667"/>
      <c r="P33" s="2656"/>
      <c r="Q33" s="2656"/>
      <c r="R33" s="2656"/>
      <c r="S33" s="2656"/>
      <c r="T33" s="2656"/>
      <c r="U33" s="2656"/>
      <c r="V33" s="2656"/>
    </row>
    <row r="34" spans="1:30" ht="14.25">
      <c r="A34" s="307" t="s">
        <v>2964</v>
      </c>
      <c r="B34" s="3046" t="s">
        <v>3071</v>
      </c>
      <c r="C34" s="3046" t="s">
        <v>3072</v>
      </c>
      <c r="D34" s="3046" t="s">
        <v>3073</v>
      </c>
      <c r="E34" s="3046" t="s">
        <v>3074</v>
      </c>
      <c r="F34" s="3046" t="s">
        <v>3075</v>
      </c>
      <c r="G34" s="3046" t="s">
        <v>3076</v>
      </c>
      <c r="H34" s="3046" t="s">
        <v>3077</v>
      </c>
      <c r="I34" s="2881"/>
      <c r="J34" s="2656"/>
      <c r="K34" s="2644">
        <f>COUNTIF(B34:H34,"——")</f>
        <v>0</v>
      </c>
      <c r="L34" s="328" t="s">
        <v>2965</v>
      </c>
      <c r="M34" s="328" t="s">
        <v>2966</v>
      </c>
      <c r="N34" s="328" t="s">
        <v>2967</v>
      </c>
      <c r="O34" s="328" t="s">
        <v>2968</v>
      </c>
      <c r="P34" s="328" t="s">
        <v>2969</v>
      </c>
      <c r="Q34" s="328" t="s">
        <v>2970</v>
      </c>
      <c r="R34" s="328" t="s">
        <v>2971</v>
      </c>
      <c r="S34" s="3159" t="s">
        <v>2972</v>
      </c>
      <c r="T34" s="2645" t="str">
        <f>NUMBERSTRING(7-K34,1)&amp;"通"</f>
        <v>七通</v>
      </c>
      <c r="U34" s="2656"/>
      <c r="V34" s="2656"/>
    </row>
    <row r="35" spans="1:30">
      <c r="A35" s="2646"/>
      <c r="B35" s="3166" t="s">
        <v>2973</v>
      </c>
      <c r="C35" s="3166"/>
      <c r="D35" s="3166"/>
      <c r="E35" s="3166"/>
      <c r="F35" s="672">
        <f>C10</f>
        <v>0</v>
      </c>
      <c r="G35" s="2881"/>
      <c r="H35" s="2881"/>
      <c r="I35" s="2881"/>
      <c r="J35" s="2656"/>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159"/>
      <c r="T35" s="334" t="str">
        <f>IF(T34="一通",L35,IF(T34="二通",M35,IF(T34="三通",N35,IF(T34="四通",O35,IF(T34="五通",P35,IF(T34="六通",Q35,R35))))))</f>
        <v>通路、通电、通讯、通上水、通下水、通热、燃气</v>
      </c>
      <c r="U35" s="2656"/>
      <c r="V35" s="2656"/>
    </row>
    <row r="36" spans="1:30">
      <c r="A36" s="2647"/>
      <c r="B36" s="672" t="s">
        <v>2929</v>
      </c>
      <c r="C36" s="672" t="s">
        <v>2930</v>
      </c>
      <c r="D36" s="672" t="s">
        <v>2928</v>
      </c>
      <c r="E36" s="672" t="s">
        <v>2933</v>
      </c>
      <c r="F36" s="2887"/>
      <c r="G36" s="2881"/>
      <c r="H36" s="2881"/>
      <c r="I36" s="2881"/>
      <c r="J36" s="2656"/>
      <c r="K36" s="2832"/>
      <c r="L36" s="2829"/>
      <c r="M36" s="2829"/>
      <c r="N36" s="2656"/>
      <c r="O36" s="2667"/>
      <c r="P36" s="2656"/>
      <c r="Q36" s="2656"/>
      <c r="R36" s="2656"/>
      <c r="S36" s="2656"/>
      <c r="T36" s="2656"/>
      <c r="U36" s="2656"/>
      <c r="V36" s="2656"/>
    </row>
    <row r="37" spans="1:30" ht="14.25">
      <c r="A37" s="2847" t="s">
        <v>2974</v>
      </c>
      <c r="B37" s="3047" t="s">
        <v>526</v>
      </c>
      <c r="C37" s="3047" t="s">
        <v>526</v>
      </c>
      <c r="D37" s="3047" t="s">
        <v>526</v>
      </c>
      <c r="E37" s="2648"/>
      <c r="F37" s="2887"/>
      <c r="G37" s="2881"/>
      <c r="H37" s="2881"/>
      <c r="I37" s="2881"/>
      <c r="J37" s="2656"/>
      <c r="K37" s="2832"/>
      <c r="L37" s="2829"/>
      <c r="M37" s="2829"/>
      <c r="N37" s="2656"/>
      <c r="O37" s="2667"/>
      <c r="P37" s="2656"/>
      <c r="Q37" s="2656"/>
      <c r="R37" s="2656"/>
      <c r="S37" s="2656"/>
      <c r="T37" s="2656"/>
      <c r="U37" s="2656"/>
      <c r="V37" s="2656"/>
    </row>
    <row r="38" spans="1:30" ht="15" thickBot="1">
      <c r="A38" s="2848" t="s">
        <v>2975</v>
      </c>
      <c r="B38" s="3047" t="s">
        <v>3078</v>
      </c>
      <c r="C38" s="3047" t="s">
        <v>3078</v>
      </c>
      <c r="D38" s="3047" t="s">
        <v>3078</v>
      </c>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2976</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8"/>
      <c r="M40" s="2668"/>
      <c r="N40" s="2725"/>
      <c r="O40" s="2668"/>
      <c r="P40" s="2656"/>
      <c r="Q40" s="2656"/>
      <c r="R40" s="2656"/>
      <c r="S40" s="2656"/>
      <c r="T40" s="2656"/>
      <c r="U40" s="2656"/>
      <c r="V40" s="2656"/>
    </row>
    <row r="41" spans="1:30">
      <c r="A41" s="2653" t="s">
        <v>2977</v>
      </c>
      <c r="B41" s="1936"/>
      <c r="C41" s="1551"/>
      <c r="D41" s="2587"/>
      <c r="E41" s="2587"/>
      <c r="F41" s="2587"/>
      <c r="G41" s="2587"/>
      <c r="H41" s="2587"/>
      <c r="I41" s="1755"/>
      <c r="J41" s="2656"/>
      <c r="K41" s="2832"/>
      <c r="L41" s="2829"/>
      <c r="M41" s="2829"/>
      <c r="N41" s="2656"/>
      <c r="O41" s="2667"/>
      <c r="P41" s="2656"/>
      <c r="Q41" s="2656"/>
      <c r="R41" s="2656"/>
      <c r="S41" s="2656"/>
      <c r="T41" s="2656"/>
      <c r="U41" s="2656"/>
      <c r="V41" s="2656"/>
    </row>
    <row r="42" spans="1:30" ht="25.5">
      <c r="A42" s="328" t="s">
        <v>2978</v>
      </c>
      <c r="B42" s="11" t="s">
        <v>2979</v>
      </c>
      <c r="C42" s="11" t="s">
        <v>2980</v>
      </c>
      <c r="D42" s="11" t="s">
        <v>2981</v>
      </c>
      <c r="E42" s="11" t="s">
        <v>2982</v>
      </c>
      <c r="F42" s="11" t="s">
        <v>2983</v>
      </c>
      <c r="G42" s="11" t="s">
        <v>2984</v>
      </c>
      <c r="H42" s="11" t="s">
        <v>2985</v>
      </c>
      <c r="I42" s="11" t="s">
        <v>2986</v>
      </c>
      <c r="J42" s="2843" t="s">
        <v>2987</v>
      </c>
      <c r="K42" s="2844" t="s">
        <v>2988</v>
      </c>
      <c r="L42" s="2844" t="s">
        <v>2989</v>
      </c>
      <c r="M42" s="2844" t="s">
        <v>2990</v>
      </c>
      <c r="N42" s="2837" t="s">
        <v>2991</v>
      </c>
      <c r="O42" s="2837" t="s">
        <v>2992</v>
      </c>
      <c r="P42" s="2837" t="s">
        <v>2993</v>
      </c>
      <c r="Q42" s="2838" t="s">
        <v>2994</v>
      </c>
      <c r="R42" s="2838" t="s">
        <v>2995</v>
      </c>
      <c r="S42" s="2656"/>
      <c r="T42" s="2656"/>
      <c r="U42" s="2656"/>
      <c r="V42" s="2656"/>
    </row>
    <row r="43" spans="1:30" s="1922" customFormat="1">
      <c r="A43" s="1749"/>
      <c r="B43" s="1175"/>
      <c r="C43" s="1175"/>
      <c r="D43" s="1175"/>
      <c r="E43" s="1175"/>
      <c r="F43" s="1175"/>
      <c r="G43" s="1175"/>
      <c r="H43" s="1175"/>
      <c r="I43" s="1175"/>
      <c r="J43" s="2654"/>
      <c r="K43" s="2655"/>
      <c r="L43" s="2655"/>
      <c r="M43" s="1175"/>
      <c r="N43" s="1175"/>
      <c r="O43" s="1175"/>
      <c r="P43" s="1175"/>
      <c r="Q43" s="1175"/>
      <c r="R43" s="1175"/>
      <c r="S43" s="2656"/>
      <c r="T43" s="2656"/>
      <c r="U43" s="2656"/>
      <c r="V43" s="2656"/>
    </row>
    <row r="44" spans="1:30" s="1922" customFormat="1">
      <c r="A44" s="1749"/>
      <c r="B44" s="1749"/>
      <c r="C44" s="1175"/>
      <c r="D44" s="1175"/>
      <c r="E44" s="1175"/>
      <c r="F44" s="1175"/>
      <c r="G44" s="1175"/>
      <c r="H44" s="1175"/>
      <c r="I44" s="1175"/>
      <c r="J44" s="2654"/>
      <c r="K44" s="2655"/>
      <c r="L44" s="2655"/>
      <c r="M44" s="1175"/>
      <c r="N44" s="1175"/>
      <c r="O44" s="1175"/>
      <c r="P44" s="1175"/>
      <c r="Q44" s="1175"/>
      <c r="R44" s="1175"/>
      <c r="S44" s="2656"/>
      <c r="T44" s="2656"/>
      <c r="U44" s="2656"/>
      <c r="V44" s="2656"/>
    </row>
    <row r="45" spans="1:30" s="1922" customFormat="1">
      <c r="A45" s="1749"/>
      <c r="B45" s="1749"/>
      <c r="C45" s="1175"/>
      <c r="D45" s="1175"/>
      <c r="E45" s="1175"/>
      <c r="F45" s="1175"/>
      <c r="G45" s="1175"/>
      <c r="H45" s="1175"/>
      <c r="I45" s="1175"/>
      <c r="J45" s="2654"/>
      <c r="K45" s="2655"/>
      <c r="L45" s="2655"/>
      <c r="M45" s="1175"/>
      <c r="N45" s="1175"/>
      <c r="O45" s="1175"/>
      <c r="P45" s="1175"/>
      <c r="Q45" s="1175"/>
      <c r="R45" s="1175"/>
      <c r="S45" s="2656"/>
      <c r="T45" s="2656"/>
      <c r="U45" s="2656"/>
      <c r="V45" s="2656"/>
    </row>
    <row r="46" spans="1:30" s="1922" customFormat="1">
      <c r="A46" s="1749"/>
      <c r="B46" s="1749"/>
      <c r="C46" s="1175"/>
      <c r="D46" s="1175"/>
      <c r="E46" s="1175"/>
      <c r="F46" s="1175"/>
      <c r="G46" s="1175"/>
      <c r="H46" s="1175"/>
      <c r="I46" s="1175"/>
      <c r="J46" s="2654"/>
      <c r="K46" s="2655"/>
      <c r="L46" s="2655"/>
      <c r="M46" s="1175"/>
      <c r="N46" s="1175"/>
      <c r="O46" s="1175"/>
      <c r="P46" s="1175"/>
      <c r="Q46" s="1175"/>
      <c r="R46" s="1175"/>
      <c r="S46" s="2656"/>
      <c r="T46" s="2656"/>
      <c r="U46" s="2656"/>
      <c r="V46" s="2656"/>
    </row>
    <row r="47" spans="1:30" s="1922" customFormat="1">
      <c r="A47" s="1749"/>
      <c r="B47" s="1749"/>
      <c r="C47" s="1175"/>
      <c r="D47" s="1175"/>
      <c r="E47" s="1175"/>
      <c r="F47" s="1175"/>
      <c r="G47" s="1175"/>
      <c r="H47" s="1175"/>
      <c r="I47" s="1175"/>
      <c r="J47" s="2654"/>
      <c r="K47" s="2655"/>
      <c r="L47" s="2655"/>
      <c r="M47" s="1175"/>
      <c r="N47" s="1175"/>
      <c r="O47" s="1175"/>
      <c r="P47" s="1175"/>
      <c r="Q47" s="1175"/>
      <c r="R47" s="1175"/>
      <c r="S47" s="2656"/>
      <c r="T47" s="2656"/>
      <c r="U47" s="2656"/>
      <c r="V47" s="2656"/>
    </row>
    <row r="48" spans="1:30" s="1922" customFormat="1">
      <c r="A48" s="1749"/>
      <c r="B48" s="1749"/>
      <c r="C48" s="1175"/>
      <c r="D48" s="1175"/>
      <c r="E48" s="1175"/>
      <c r="F48" s="1175"/>
      <c r="G48" s="1175"/>
      <c r="H48" s="1175"/>
      <c r="I48" s="1175"/>
      <c r="J48" s="2654"/>
      <c r="K48" s="2655"/>
      <c r="L48" s="2655"/>
      <c r="M48" s="1175"/>
      <c r="N48" s="1175"/>
      <c r="O48" s="1175"/>
      <c r="P48" s="1175"/>
      <c r="Q48" s="1175"/>
      <c r="R48" s="1175"/>
      <c r="S48" s="2656"/>
      <c r="T48" s="2656"/>
      <c r="U48" s="2656"/>
      <c r="V48" s="2656"/>
    </row>
    <row r="49" spans="1:22" s="1922" customFormat="1">
      <c r="A49" s="1749"/>
      <c r="B49" s="1749"/>
      <c r="C49" s="1175"/>
      <c r="D49" s="1175"/>
      <c r="E49" s="1175"/>
      <c r="F49" s="1175"/>
      <c r="G49" s="1175"/>
      <c r="H49" s="1175"/>
      <c r="I49" s="1175"/>
      <c r="J49" s="2654"/>
      <c r="K49" s="2655"/>
      <c r="L49" s="2655"/>
      <c r="M49" s="1175"/>
      <c r="N49" s="1175"/>
      <c r="O49" s="1175"/>
      <c r="P49" s="1175"/>
      <c r="Q49" s="1175"/>
      <c r="R49" s="1175"/>
      <c r="S49" s="2656"/>
      <c r="T49" s="2656"/>
      <c r="U49" s="2656"/>
      <c r="V49" s="2656"/>
    </row>
    <row r="50" spans="1:22" s="1922" customFormat="1">
      <c r="A50" s="1749"/>
      <c r="B50" s="1749"/>
      <c r="C50" s="1175"/>
      <c r="D50" s="1175"/>
      <c r="E50" s="1175"/>
      <c r="F50" s="1175"/>
      <c r="G50" s="1175"/>
      <c r="H50" s="1175"/>
      <c r="I50" s="1175"/>
      <c r="J50" s="2654"/>
      <c r="K50" s="2655"/>
      <c r="L50" s="2655"/>
      <c r="M50" s="1175"/>
      <c r="N50" s="1175"/>
      <c r="O50" s="1175"/>
      <c r="P50" s="1175"/>
      <c r="Q50" s="1175"/>
      <c r="R50" s="1175"/>
      <c r="S50" s="2656"/>
      <c r="T50" s="2656"/>
      <c r="U50" s="2656"/>
      <c r="V50" s="2656"/>
    </row>
    <row r="51" spans="1:22" s="1922" customFormat="1">
      <c r="A51" s="1749"/>
      <c r="B51" s="1749"/>
      <c r="C51" s="1175"/>
      <c r="D51" s="1175"/>
      <c r="E51" s="1175"/>
      <c r="F51" s="1175"/>
      <c r="G51" s="1175"/>
      <c r="H51" s="1175"/>
      <c r="I51" s="1175"/>
      <c r="J51" s="2654"/>
      <c r="K51" s="2655"/>
      <c r="L51" s="2655"/>
      <c r="M51" s="1175"/>
      <c r="N51" s="1175"/>
      <c r="O51" s="1175"/>
      <c r="P51" s="1175"/>
      <c r="Q51" s="1175"/>
      <c r="R51" s="1175"/>
    </row>
    <row r="52" spans="1:22" s="1922" customFormat="1">
      <c r="A52" s="1749"/>
      <c r="B52" s="1749"/>
      <c r="C52" s="1749"/>
      <c r="D52" s="1749"/>
      <c r="E52" s="1749"/>
      <c r="F52" s="1175"/>
      <c r="G52" s="1749"/>
      <c r="H52" s="1749"/>
      <c r="I52" s="1749"/>
      <c r="J52" s="2657"/>
      <c r="K52" s="2655"/>
      <c r="L52" s="2655"/>
      <c r="M52" s="2655"/>
      <c r="N52" s="1749"/>
      <c r="O52" s="1749"/>
      <c r="P52" s="1749"/>
      <c r="Q52" s="1749"/>
      <c r="R52" s="1749"/>
    </row>
    <row r="53" spans="1:22" s="1922" customFormat="1">
      <c r="A53" s="1749"/>
      <c r="B53" s="1749"/>
      <c r="C53" s="1749"/>
      <c r="D53" s="1749"/>
      <c r="E53" s="1749"/>
      <c r="F53" s="1175"/>
      <c r="G53" s="1749"/>
      <c r="H53" s="1749"/>
      <c r="I53" s="1749"/>
      <c r="J53" s="2657"/>
      <c r="K53" s="2655"/>
      <c r="L53" s="2655"/>
      <c r="M53" s="2655"/>
      <c r="N53" s="1749"/>
      <c r="O53" s="1749"/>
      <c r="P53" s="1749"/>
      <c r="Q53" s="1749"/>
      <c r="R53" s="1749"/>
    </row>
    <row r="54" spans="1:22" s="1922" customFormat="1">
      <c r="A54" s="1749"/>
      <c r="B54" s="1749"/>
      <c r="C54" s="1749"/>
      <c r="D54" s="1749"/>
      <c r="E54" s="1749"/>
      <c r="F54" s="1175"/>
      <c r="G54" s="1749"/>
      <c r="H54" s="1749"/>
      <c r="I54" s="1749"/>
      <c r="J54" s="2657"/>
      <c r="K54" s="2655"/>
      <c r="L54" s="2655"/>
      <c r="M54" s="2655"/>
      <c r="N54" s="1749"/>
      <c r="O54" s="1749"/>
      <c r="P54" s="1749"/>
      <c r="Q54" s="1749"/>
      <c r="R54" s="1749"/>
    </row>
    <row r="55" spans="1:22" s="1922" customFormat="1">
      <c r="A55" s="1749"/>
      <c r="B55" s="1749"/>
      <c r="C55" s="1749"/>
      <c r="D55" s="1749"/>
      <c r="E55" s="1749"/>
      <c r="F55" s="1175"/>
      <c r="G55" s="1749"/>
      <c r="H55" s="1749"/>
      <c r="I55" s="1749"/>
      <c r="J55" s="2657"/>
      <c r="K55" s="2655"/>
      <c r="L55" s="2655"/>
      <c r="M55" s="2655"/>
      <c r="N55" s="1749"/>
      <c r="O55" s="1749"/>
      <c r="P55" s="1749"/>
      <c r="Q55" s="1749"/>
      <c r="R55" s="1749"/>
    </row>
    <row r="56" spans="1:22" s="1922" customFormat="1">
      <c r="A56" s="1749"/>
      <c r="B56" s="1749"/>
      <c r="C56" s="1749"/>
      <c r="D56" s="1749"/>
      <c r="E56" s="1749"/>
      <c r="F56" s="1175"/>
      <c r="G56" s="1749"/>
      <c r="H56" s="1749"/>
      <c r="I56" s="1749"/>
      <c r="J56" s="2657"/>
      <c r="K56" s="2655"/>
      <c r="L56" s="2655"/>
      <c r="M56" s="2655"/>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T23"/>
  <sheetViews>
    <sheetView zoomScale="85" zoomScaleNormal="85" workbookViewId="0">
      <selection activeCell="A2" sqref="A2:R23"/>
    </sheetView>
  </sheetViews>
  <sheetFormatPr defaultRowHeight="13.5"/>
  <sheetData>
    <row r="2" spans="1:20" ht="14.25">
      <c r="A2" s="3171" t="s">
        <v>3079</v>
      </c>
      <c r="B2" s="3175" t="s">
        <v>3080</v>
      </c>
      <c r="C2" s="3175" t="s">
        <v>3081</v>
      </c>
      <c r="D2" s="3175" t="s">
        <v>3082</v>
      </c>
      <c r="E2" s="3175" t="s">
        <v>3083</v>
      </c>
      <c r="F2" s="3171" t="s">
        <v>3084</v>
      </c>
      <c r="G2" s="3171" t="s">
        <v>3085</v>
      </c>
      <c r="H2" s="3172" t="s">
        <v>3086</v>
      </c>
      <c r="I2" s="3173"/>
      <c r="J2" s="3173"/>
      <c r="K2" s="3173"/>
      <c r="L2" s="3172" t="s">
        <v>3087</v>
      </c>
      <c r="M2" s="3173"/>
      <c r="N2" s="3173"/>
      <c r="O2" s="3173"/>
      <c r="P2" s="3174"/>
      <c r="Q2" s="3048"/>
      <c r="R2" s="3049"/>
      <c r="S2" s="3049"/>
      <c r="T2" s="3049"/>
    </row>
    <row r="3" spans="1:20" ht="14.25">
      <c r="A3" s="3171"/>
      <c r="B3" s="3175"/>
      <c r="C3" s="3175"/>
      <c r="D3" s="3175"/>
      <c r="E3" s="3175"/>
      <c r="F3" s="3171"/>
      <c r="G3" s="3171"/>
      <c r="H3" s="3175" t="s">
        <v>40</v>
      </c>
      <c r="I3" s="3050" t="s">
        <v>3088</v>
      </c>
      <c r="J3" s="3172" t="s">
        <v>3089</v>
      </c>
      <c r="K3" s="3173"/>
      <c r="L3" s="3176" t="s">
        <v>40</v>
      </c>
      <c r="M3" s="3178"/>
      <c r="N3" s="3178"/>
      <c r="O3" s="3178"/>
      <c r="P3" s="3178"/>
      <c r="Q3" s="3051"/>
      <c r="R3" s="3049"/>
      <c r="S3" s="3049"/>
      <c r="T3" s="3049"/>
    </row>
    <row r="4" spans="1:20" ht="28.5">
      <c r="A4" s="3171"/>
      <c r="B4" s="3175"/>
      <c r="C4" s="3175"/>
      <c r="D4" s="3175"/>
      <c r="E4" s="3175"/>
      <c r="F4" s="3171"/>
      <c r="G4" s="3171"/>
      <c r="H4" s="3175"/>
      <c r="I4" s="3050" t="s">
        <v>3090</v>
      </c>
      <c r="J4" s="3050" t="s">
        <v>3091</v>
      </c>
      <c r="K4" s="3050" t="s">
        <v>3092</v>
      </c>
      <c r="L4" s="3177"/>
      <c r="M4" s="3052" t="s">
        <v>3093</v>
      </c>
      <c r="N4" s="3052" t="s">
        <v>3094</v>
      </c>
      <c r="O4" s="3052" t="s">
        <v>3095</v>
      </c>
      <c r="P4" s="3052" t="s">
        <v>3096</v>
      </c>
      <c r="Q4" s="3053" t="s">
        <v>3097</v>
      </c>
      <c r="R4" s="3054" t="s">
        <v>3098</v>
      </c>
      <c r="S4" s="3054" t="s">
        <v>3099</v>
      </c>
      <c r="T4" s="3054" t="s">
        <v>3100</v>
      </c>
    </row>
    <row r="5" spans="1:20" ht="28.5">
      <c r="A5" s="3167" t="s">
        <v>3103</v>
      </c>
      <c r="B5" s="3167" t="s">
        <v>3104</v>
      </c>
      <c r="C5" s="3167" t="s">
        <v>3105</v>
      </c>
      <c r="D5" s="3168" t="s">
        <v>3106</v>
      </c>
      <c r="E5" s="3167">
        <v>34165.910000000003</v>
      </c>
      <c r="F5" s="3054" t="s">
        <v>3107</v>
      </c>
      <c r="G5" s="3058">
        <f>H5+L5+Q5</f>
        <v>4321.8500000000004</v>
      </c>
      <c r="H5" s="3055">
        <f t="shared" ref="H5:H22" si="0">SUM(I5:K5)</f>
        <v>4321.8500000000004</v>
      </c>
      <c r="I5" s="3055">
        <v>2856.85</v>
      </c>
      <c r="J5" s="3055">
        <v>1465</v>
      </c>
      <c r="K5" s="3055" t="s">
        <v>70</v>
      </c>
      <c r="L5" s="3055">
        <f t="shared" ref="L5:L22" si="1">SUM(M5:P5)</f>
        <v>0</v>
      </c>
      <c r="M5" s="3055" t="s">
        <v>70</v>
      </c>
      <c r="N5" s="3055" t="s">
        <v>70</v>
      </c>
      <c r="O5" s="3055" t="s">
        <v>70</v>
      </c>
      <c r="P5" s="3055" t="s">
        <v>70</v>
      </c>
      <c r="Q5" s="3055">
        <v>0</v>
      </c>
      <c r="R5" s="3055" t="s">
        <v>3102</v>
      </c>
      <c r="S5" s="3049"/>
      <c r="T5" s="3049"/>
    </row>
    <row r="6" spans="1:20" ht="28.5">
      <c r="A6" s="3167"/>
      <c r="B6" s="3167"/>
      <c r="C6" s="3167"/>
      <c r="D6" s="3169"/>
      <c r="E6" s="3167"/>
      <c r="F6" s="3054" t="s">
        <v>3108</v>
      </c>
      <c r="G6" s="3058">
        <f t="shared" ref="G5:G22" si="2">H6+L6+Q6</f>
        <v>6395.55</v>
      </c>
      <c r="H6" s="3055">
        <f t="shared" si="0"/>
        <v>6395.55</v>
      </c>
      <c r="I6" s="3055">
        <v>4640.55</v>
      </c>
      <c r="J6" s="3055">
        <v>1755</v>
      </c>
      <c r="K6" s="3055" t="s">
        <v>70</v>
      </c>
      <c r="L6" s="3055">
        <f t="shared" si="1"/>
        <v>0</v>
      </c>
      <c r="M6" s="3055" t="s">
        <v>70</v>
      </c>
      <c r="N6" s="3055" t="s">
        <v>70</v>
      </c>
      <c r="O6" s="3055" t="s">
        <v>70</v>
      </c>
      <c r="P6" s="3055" t="s">
        <v>70</v>
      </c>
      <c r="Q6" s="3055">
        <v>0</v>
      </c>
      <c r="R6" s="3055" t="s">
        <v>3101</v>
      </c>
      <c r="S6" s="3049"/>
      <c r="T6" s="3049"/>
    </row>
    <row r="7" spans="1:20" ht="28.5">
      <c r="A7" s="3167"/>
      <c r="B7" s="3167"/>
      <c r="C7" s="3167"/>
      <c r="D7" s="3169"/>
      <c r="E7" s="3167"/>
      <c r="F7" s="3054" t="s">
        <v>3109</v>
      </c>
      <c r="G7" s="3058">
        <f t="shared" si="2"/>
        <v>3942.06</v>
      </c>
      <c r="H7" s="3055">
        <f t="shared" si="0"/>
        <v>3942.06</v>
      </c>
      <c r="I7" s="3055">
        <v>2638.06</v>
      </c>
      <c r="J7" s="3055">
        <v>1304</v>
      </c>
      <c r="K7" s="3055" t="s">
        <v>70</v>
      </c>
      <c r="L7" s="3055">
        <f t="shared" si="1"/>
        <v>0</v>
      </c>
      <c r="M7" s="3055" t="s">
        <v>70</v>
      </c>
      <c r="N7" s="3055" t="s">
        <v>70</v>
      </c>
      <c r="O7" s="3055" t="s">
        <v>70</v>
      </c>
      <c r="P7" s="3055" t="s">
        <v>70</v>
      </c>
      <c r="Q7" s="3055">
        <v>0</v>
      </c>
      <c r="R7" s="3055" t="s">
        <v>3102</v>
      </c>
      <c r="S7" s="3049"/>
      <c r="T7" s="3049"/>
    </row>
    <row r="8" spans="1:20" ht="28.5">
      <c r="A8" s="3167"/>
      <c r="B8" s="3167"/>
      <c r="C8" s="3167"/>
      <c r="D8" s="3169"/>
      <c r="E8" s="3167"/>
      <c r="F8" s="3054" t="s">
        <v>3110</v>
      </c>
      <c r="G8" s="3058">
        <f t="shared" si="2"/>
        <v>5272.41</v>
      </c>
      <c r="H8" s="3055">
        <f t="shared" si="0"/>
        <v>5272.41</v>
      </c>
      <c r="I8" s="3055">
        <v>3517.41</v>
      </c>
      <c r="J8" s="3055">
        <v>1755</v>
      </c>
      <c r="K8" s="3055" t="s">
        <v>70</v>
      </c>
      <c r="L8" s="3055">
        <f t="shared" si="1"/>
        <v>0</v>
      </c>
      <c r="M8" s="3055" t="s">
        <v>70</v>
      </c>
      <c r="N8" s="3055" t="s">
        <v>70</v>
      </c>
      <c r="O8" s="3055" t="s">
        <v>70</v>
      </c>
      <c r="P8" s="3055" t="s">
        <v>70</v>
      </c>
      <c r="Q8" s="3055">
        <v>0</v>
      </c>
      <c r="R8" s="3055" t="s">
        <v>3102</v>
      </c>
      <c r="S8" s="3049"/>
      <c r="T8" s="3049"/>
    </row>
    <row r="9" spans="1:20" ht="28.5">
      <c r="A9" s="3167"/>
      <c r="B9" s="3167"/>
      <c r="C9" s="3167"/>
      <c r="D9" s="3169"/>
      <c r="E9" s="3167"/>
      <c r="F9" s="3054" t="s">
        <v>3111</v>
      </c>
      <c r="G9" s="3058">
        <f t="shared" si="2"/>
        <v>6395.55</v>
      </c>
      <c r="H9" s="3055">
        <f t="shared" si="0"/>
        <v>6395.55</v>
      </c>
      <c r="I9" s="3055">
        <v>4640.55</v>
      </c>
      <c r="J9" s="3055">
        <v>1755</v>
      </c>
      <c r="K9" s="3055" t="s">
        <v>70</v>
      </c>
      <c r="L9" s="3055">
        <f t="shared" si="1"/>
        <v>0</v>
      </c>
      <c r="M9" s="3055" t="s">
        <v>70</v>
      </c>
      <c r="N9" s="3055" t="s">
        <v>70</v>
      </c>
      <c r="O9" s="3055" t="s">
        <v>70</v>
      </c>
      <c r="P9" s="3055" t="s">
        <v>70</v>
      </c>
      <c r="Q9" s="3055">
        <v>0</v>
      </c>
      <c r="R9" s="3055" t="s">
        <v>3101</v>
      </c>
      <c r="S9" s="3049"/>
      <c r="T9" s="3049"/>
    </row>
    <row r="10" spans="1:20" ht="28.5">
      <c r="A10" s="3167"/>
      <c r="B10" s="3167"/>
      <c r="C10" s="3167"/>
      <c r="D10" s="3169"/>
      <c r="E10" s="3167"/>
      <c r="F10" s="3054" t="s">
        <v>3112</v>
      </c>
      <c r="G10" s="3058">
        <f t="shared" si="2"/>
        <v>5272.41</v>
      </c>
      <c r="H10" s="3055">
        <f t="shared" si="0"/>
        <v>5272.41</v>
      </c>
      <c r="I10" s="3055">
        <v>3517.41</v>
      </c>
      <c r="J10" s="3055">
        <v>1755</v>
      </c>
      <c r="K10" s="3055" t="s">
        <v>70</v>
      </c>
      <c r="L10" s="3055">
        <f t="shared" si="1"/>
        <v>0</v>
      </c>
      <c r="M10" s="3055" t="s">
        <v>70</v>
      </c>
      <c r="N10" s="3055" t="s">
        <v>70</v>
      </c>
      <c r="O10" s="3055" t="s">
        <v>70</v>
      </c>
      <c r="P10" s="3055" t="s">
        <v>70</v>
      </c>
      <c r="Q10" s="3055">
        <v>0</v>
      </c>
      <c r="R10" s="3055" t="s">
        <v>3102</v>
      </c>
      <c r="S10" s="3049"/>
      <c r="T10" s="3049"/>
    </row>
    <row r="11" spans="1:20" ht="28.5">
      <c r="A11" s="3167"/>
      <c r="B11" s="3167"/>
      <c r="C11" s="3167"/>
      <c r="D11" s="3169"/>
      <c r="E11" s="3167"/>
      <c r="F11" s="3054" t="s">
        <v>3113</v>
      </c>
      <c r="G11" s="3058">
        <f t="shared" si="2"/>
        <v>5272.41</v>
      </c>
      <c r="H11" s="3055">
        <f t="shared" si="0"/>
        <v>5272.41</v>
      </c>
      <c r="I11" s="3055">
        <v>3517.41</v>
      </c>
      <c r="J11" s="3055">
        <v>1755</v>
      </c>
      <c r="K11" s="3055" t="s">
        <v>70</v>
      </c>
      <c r="L11" s="3055">
        <f t="shared" si="1"/>
        <v>0</v>
      </c>
      <c r="M11" s="3055" t="s">
        <v>70</v>
      </c>
      <c r="N11" s="3055" t="s">
        <v>70</v>
      </c>
      <c r="O11" s="3055" t="s">
        <v>70</v>
      </c>
      <c r="P11" s="3055" t="s">
        <v>70</v>
      </c>
      <c r="Q11" s="3055">
        <v>0</v>
      </c>
      <c r="R11" s="3055" t="s">
        <v>3102</v>
      </c>
      <c r="S11" s="3049"/>
      <c r="T11" s="3049"/>
    </row>
    <row r="12" spans="1:20" ht="28.5">
      <c r="A12" s="3167"/>
      <c r="B12" s="3167"/>
      <c r="C12" s="3167"/>
      <c r="D12" s="3169"/>
      <c r="E12" s="3167"/>
      <c r="F12" s="3054" t="s">
        <v>3114</v>
      </c>
      <c r="G12" s="3058">
        <f t="shared" si="2"/>
        <v>8328.2799999999988</v>
      </c>
      <c r="H12" s="3055">
        <f t="shared" si="0"/>
        <v>8328.2799999999988</v>
      </c>
      <c r="I12" s="3055">
        <v>5693.28</v>
      </c>
      <c r="J12" s="3055">
        <v>2635</v>
      </c>
      <c r="K12" s="3055" t="s">
        <v>70</v>
      </c>
      <c r="L12" s="3055">
        <f t="shared" si="1"/>
        <v>0</v>
      </c>
      <c r="M12" s="3055" t="s">
        <v>70</v>
      </c>
      <c r="N12" s="3055" t="s">
        <v>70</v>
      </c>
      <c r="O12" s="3055" t="s">
        <v>70</v>
      </c>
      <c r="P12" s="3055" t="s">
        <v>70</v>
      </c>
      <c r="Q12" s="3055">
        <v>0</v>
      </c>
      <c r="R12" s="3055" t="s">
        <v>3115</v>
      </c>
      <c r="S12" s="3049"/>
      <c r="T12" s="3049"/>
    </row>
    <row r="13" spans="1:20" ht="28.5">
      <c r="A13" s="3167"/>
      <c r="B13" s="3167"/>
      <c r="C13" s="3167"/>
      <c r="D13" s="3169"/>
      <c r="E13" s="3167"/>
      <c r="F13" s="3054" t="s">
        <v>3116</v>
      </c>
      <c r="G13" s="3058">
        <f t="shared" si="2"/>
        <v>5272.41</v>
      </c>
      <c r="H13" s="3055">
        <f t="shared" si="0"/>
        <v>5272.41</v>
      </c>
      <c r="I13" s="3055">
        <v>3517.41</v>
      </c>
      <c r="J13" s="3055">
        <v>1755</v>
      </c>
      <c r="K13" s="3055" t="s">
        <v>70</v>
      </c>
      <c r="L13" s="3055">
        <f t="shared" si="1"/>
        <v>0</v>
      </c>
      <c r="M13" s="3055" t="s">
        <v>70</v>
      </c>
      <c r="N13" s="3055" t="s">
        <v>70</v>
      </c>
      <c r="O13" s="3055" t="s">
        <v>70</v>
      </c>
      <c r="P13" s="3055" t="s">
        <v>70</v>
      </c>
      <c r="Q13" s="3055">
        <v>0</v>
      </c>
      <c r="R13" s="3055" t="s">
        <v>3117</v>
      </c>
      <c r="S13" s="3049"/>
      <c r="T13" s="3049"/>
    </row>
    <row r="14" spans="1:20" ht="28.5">
      <c r="A14" s="3167"/>
      <c r="B14" s="3167"/>
      <c r="C14" s="3167"/>
      <c r="D14" s="3169"/>
      <c r="E14" s="3167"/>
      <c r="F14" s="3054" t="s">
        <v>3118</v>
      </c>
      <c r="G14" s="3058">
        <f t="shared" si="2"/>
        <v>6122.41</v>
      </c>
      <c r="H14" s="3055">
        <f t="shared" si="0"/>
        <v>6122.41</v>
      </c>
      <c r="I14" s="3055">
        <v>3517.41</v>
      </c>
      <c r="J14" s="3055">
        <v>2605</v>
      </c>
      <c r="K14" s="3055" t="s">
        <v>70</v>
      </c>
      <c r="L14" s="3055">
        <f t="shared" si="1"/>
        <v>0</v>
      </c>
      <c r="M14" s="3055" t="s">
        <v>70</v>
      </c>
      <c r="N14" s="3055" t="s">
        <v>70</v>
      </c>
      <c r="O14" s="3055" t="s">
        <v>70</v>
      </c>
      <c r="P14" s="3055" t="s">
        <v>70</v>
      </c>
      <c r="Q14" s="3055">
        <v>0</v>
      </c>
      <c r="R14" s="3055" t="s">
        <v>3119</v>
      </c>
      <c r="S14" s="3049"/>
      <c r="T14" s="3049"/>
    </row>
    <row r="15" spans="1:20" ht="28.5">
      <c r="A15" s="3167"/>
      <c r="B15" s="3167"/>
      <c r="C15" s="3167"/>
      <c r="D15" s="3169"/>
      <c r="E15" s="3167"/>
      <c r="F15" s="3054" t="s">
        <v>3120</v>
      </c>
      <c r="G15" s="3058">
        <f t="shared" si="2"/>
        <v>6178.41</v>
      </c>
      <c r="H15" s="3055">
        <f t="shared" si="0"/>
        <v>5278.41</v>
      </c>
      <c r="I15" s="3089">
        <v>3517.41</v>
      </c>
      <c r="J15" s="3055">
        <v>1761</v>
      </c>
      <c r="K15" s="3055" t="s">
        <v>70</v>
      </c>
      <c r="L15" s="3055">
        <f t="shared" si="1"/>
        <v>900</v>
      </c>
      <c r="M15" s="3055" t="s">
        <v>70</v>
      </c>
      <c r="N15" s="3055" t="s">
        <v>70</v>
      </c>
      <c r="O15" s="3055" t="s">
        <v>70</v>
      </c>
      <c r="P15" s="3055">
        <v>900</v>
      </c>
      <c r="Q15" s="3055">
        <v>0</v>
      </c>
      <c r="R15" s="3055" t="s">
        <v>3119</v>
      </c>
      <c r="S15" s="3049"/>
      <c r="T15" s="3049"/>
    </row>
    <row r="16" spans="1:20" ht="28.5">
      <c r="A16" s="3167"/>
      <c r="B16" s="3167"/>
      <c r="C16" s="3167"/>
      <c r="D16" s="3169"/>
      <c r="E16" s="3167"/>
      <c r="F16" s="3054" t="s">
        <v>3121</v>
      </c>
      <c r="G16" s="3058">
        <f t="shared" si="2"/>
        <v>6824.77</v>
      </c>
      <c r="H16" s="3055">
        <f t="shared" si="0"/>
        <v>6824.77</v>
      </c>
      <c r="I16" s="3055">
        <v>5004.7700000000004</v>
      </c>
      <c r="J16" s="3055">
        <v>1820</v>
      </c>
      <c r="K16" s="3055" t="s">
        <v>70</v>
      </c>
      <c r="L16" s="3055">
        <f t="shared" si="1"/>
        <v>0</v>
      </c>
      <c r="M16" s="3055" t="s">
        <v>70</v>
      </c>
      <c r="N16" s="3055" t="s">
        <v>70</v>
      </c>
      <c r="O16" s="3055" t="s">
        <v>70</v>
      </c>
      <c r="P16" s="3055" t="s">
        <v>70</v>
      </c>
      <c r="Q16" s="3055">
        <v>0</v>
      </c>
      <c r="R16" s="3055" t="s">
        <v>3122</v>
      </c>
      <c r="S16" s="3049"/>
      <c r="T16" s="3049"/>
    </row>
    <row r="17" spans="1:20" ht="28.5">
      <c r="A17" s="3167"/>
      <c r="B17" s="3167"/>
      <c r="C17" s="3167"/>
      <c r="D17" s="3169"/>
      <c r="E17" s="3167"/>
      <c r="F17" s="3054" t="s">
        <v>3123</v>
      </c>
      <c r="G17" s="3058">
        <f t="shared" si="2"/>
        <v>8401.76</v>
      </c>
      <c r="H17" s="3055">
        <f t="shared" si="0"/>
        <v>8401.76</v>
      </c>
      <c r="I17" s="3055">
        <v>5696.76</v>
      </c>
      <c r="J17" s="3055">
        <v>2705</v>
      </c>
      <c r="K17" s="3055" t="s">
        <v>70</v>
      </c>
      <c r="L17" s="3055">
        <f t="shared" si="1"/>
        <v>0</v>
      </c>
      <c r="M17" s="3055" t="s">
        <v>70</v>
      </c>
      <c r="N17" s="3055" t="s">
        <v>70</v>
      </c>
      <c r="O17" s="3055" t="s">
        <v>70</v>
      </c>
      <c r="P17" s="3055" t="s">
        <v>70</v>
      </c>
      <c r="Q17" s="3055">
        <v>0</v>
      </c>
      <c r="R17" s="3055" t="s">
        <v>3115</v>
      </c>
      <c r="S17" s="3049"/>
      <c r="T17" s="3049"/>
    </row>
    <row r="18" spans="1:20" ht="28.5">
      <c r="A18" s="3167"/>
      <c r="B18" s="3167"/>
      <c r="C18" s="3167"/>
      <c r="D18" s="3169"/>
      <c r="E18" s="3167"/>
      <c r="F18" s="3054" t="s">
        <v>3124</v>
      </c>
      <c r="G18" s="3058">
        <f t="shared" si="2"/>
        <v>8401.76</v>
      </c>
      <c r="H18" s="3055">
        <f t="shared" si="0"/>
        <v>8401.76</v>
      </c>
      <c r="I18" s="3055">
        <v>5696.76</v>
      </c>
      <c r="J18" s="3055">
        <v>2705</v>
      </c>
      <c r="K18" s="3055" t="s">
        <v>70</v>
      </c>
      <c r="L18" s="3055">
        <f t="shared" si="1"/>
        <v>0</v>
      </c>
      <c r="M18" s="3055" t="s">
        <v>70</v>
      </c>
      <c r="N18" s="3055" t="s">
        <v>70</v>
      </c>
      <c r="O18" s="3055" t="s">
        <v>70</v>
      </c>
      <c r="P18" s="3055" t="s">
        <v>70</v>
      </c>
      <c r="Q18" s="3055">
        <v>0</v>
      </c>
      <c r="R18" s="3055" t="s">
        <v>3115</v>
      </c>
      <c r="S18" s="3049"/>
      <c r="T18" s="3049"/>
    </row>
    <row r="19" spans="1:20" ht="28.5">
      <c r="A19" s="3167"/>
      <c r="B19" s="3167"/>
      <c r="C19" s="3167"/>
      <c r="D19" s="3169"/>
      <c r="E19" s="3167"/>
      <c r="F19" s="3090" t="s">
        <v>3429</v>
      </c>
      <c r="G19" s="3058">
        <f t="shared" si="2"/>
        <v>40</v>
      </c>
      <c r="H19" s="3089">
        <f t="shared" si="0"/>
        <v>0</v>
      </c>
      <c r="I19" s="3089"/>
      <c r="J19" s="3089"/>
      <c r="K19" s="3089"/>
      <c r="L19" s="3089">
        <f t="shared" si="1"/>
        <v>0</v>
      </c>
      <c r="M19" s="3089"/>
      <c r="N19" s="3089"/>
      <c r="O19" s="3089"/>
      <c r="P19" s="3089"/>
      <c r="Q19" s="3089">
        <v>40</v>
      </c>
      <c r="R19" s="3089">
        <v>1</v>
      </c>
      <c r="S19" s="3049"/>
      <c r="T19" s="3049"/>
    </row>
    <row r="20" spans="1:20" ht="28.5">
      <c r="A20" s="3167"/>
      <c r="B20" s="3167"/>
      <c r="C20" s="3167"/>
      <c r="D20" s="3169"/>
      <c r="E20" s="3167"/>
      <c r="F20" s="3090" t="s">
        <v>3430</v>
      </c>
      <c r="G20" s="3058">
        <f t="shared" si="2"/>
        <v>30</v>
      </c>
      <c r="H20" s="3089">
        <f t="shared" si="0"/>
        <v>0</v>
      </c>
      <c r="I20" s="3089"/>
      <c r="J20" s="3089"/>
      <c r="K20" s="3089"/>
      <c r="L20" s="3089">
        <f t="shared" si="1"/>
        <v>0</v>
      </c>
      <c r="M20" s="3089"/>
      <c r="N20" s="3089"/>
      <c r="O20" s="3089"/>
      <c r="P20" s="3089"/>
      <c r="Q20" s="3089">
        <v>30</v>
      </c>
      <c r="R20" s="3089">
        <v>1</v>
      </c>
      <c r="S20" s="3049"/>
      <c r="T20" s="3049"/>
    </row>
    <row r="21" spans="1:20" ht="57">
      <c r="A21" s="3167"/>
      <c r="B21" s="3167"/>
      <c r="C21" s="3167"/>
      <c r="D21" s="3169"/>
      <c r="E21" s="3167"/>
      <c r="F21" s="3090" t="s">
        <v>3431</v>
      </c>
      <c r="G21" s="3058">
        <f t="shared" si="2"/>
        <v>40</v>
      </c>
      <c r="H21" s="3089">
        <f t="shared" si="0"/>
        <v>0</v>
      </c>
      <c r="I21" s="3089"/>
      <c r="J21" s="3089"/>
      <c r="K21" s="3089"/>
      <c r="L21" s="3089">
        <f t="shared" si="1"/>
        <v>10</v>
      </c>
      <c r="M21" s="3089"/>
      <c r="N21" s="3089"/>
      <c r="O21" s="3089"/>
      <c r="P21" s="3089">
        <v>10</v>
      </c>
      <c r="Q21" s="3089">
        <v>30</v>
      </c>
      <c r="R21" s="3089">
        <v>1</v>
      </c>
      <c r="S21" s="3049"/>
      <c r="T21" s="3049"/>
    </row>
    <row r="22" spans="1:20" ht="14.25">
      <c r="A22" s="3167"/>
      <c r="B22" s="3167"/>
      <c r="C22" s="3167"/>
      <c r="D22" s="3169"/>
      <c r="E22" s="3167"/>
      <c r="F22" s="3054" t="s">
        <v>3125</v>
      </c>
      <c r="G22" s="3058">
        <f t="shared" si="2"/>
        <v>22400</v>
      </c>
      <c r="H22" s="3089">
        <f t="shared" si="0"/>
        <v>14500</v>
      </c>
      <c r="I22" s="3055" t="s">
        <v>70</v>
      </c>
      <c r="J22" s="3055" t="s">
        <v>70</v>
      </c>
      <c r="K22" s="3055">
        <f>21400-Q22</f>
        <v>14500</v>
      </c>
      <c r="L22" s="3055">
        <f>SUM(M22:P22)</f>
        <v>1000</v>
      </c>
      <c r="M22" s="3055">
        <v>120</v>
      </c>
      <c r="N22" s="3055">
        <v>400</v>
      </c>
      <c r="O22" s="3055">
        <v>480</v>
      </c>
      <c r="P22" s="3055" t="s">
        <v>70</v>
      </c>
      <c r="Q22" s="3055">
        <v>6900</v>
      </c>
      <c r="R22" s="3055" t="s">
        <v>3126</v>
      </c>
      <c r="S22" s="3055">
        <v>317</v>
      </c>
      <c r="T22" s="3055">
        <v>5</v>
      </c>
    </row>
    <row r="23" spans="1:20" ht="14.25">
      <c r="A23" s="3167"/>
      <c r="B23" s="3167"/>
      <c r="C23" s="3167"/>
      <c r="D23" s="3170"/>
      <c r="E23" s="3167"/>
      <c r="F23" s="3056" t="s">
        <v>40</v>
      </c>
      <c r="G23" s="3057">
        <f>SUM(G5:G22)</f>
        <v>108912.04000000001</v>
      </c>
      <c r="H23" s="3057">
        <f t="shared" ref="H23:N23" si="3">SUM(H5:H22)</f>
        <v>100002.04000000001</v>
      </c>
      <c r="I23" s="3057">
        <f t="shared" si="3"/>
        <v>57972.040000000008</v>
      </c>
      <c r="J23" s="3057">
        <f t="shared" si="3"/>
        <v>27530</v>
      </c>
      <c r="K23" s="3057">
        <f t="shared" si="3"/>
        <v>14500</v>
      </c>
      <c r="L23" s="3057">
        <f t="shared" si="3"/>
        <v>1910</v>
      </c>
      <c r="M23" s="3057">
        <f t="shared" si="3"/>
        <v>120</v>
      </c>
      <c r="N23" s="3057">
        <f t="shared" si="3"/>
        <v>400</v>
      </c>
      <c r="O23" s="3057">
        <f>SUM(O5:O22)</f>
        <v>480</v>
      </c>
      <c r="P23" s="3057">
        <f>SUM(P5:P22)</f>
        <v>910</v>
      </c>
      <c r="Q23" s="3057">
        <f>SUM(Q5:Q22)</f>
        <v>7000</v>
      </c>
      <c r="R23" s="3057" t="s">
        <v>3127</v>
      </c>
      <c r="S23" s="3049"/>
      <c r="T23" s="3049"/>
    </row>
  </sheetData>
  <mergeCells count="18">
    <mergeCell ref="F2:F4"/>
    <mergeCell ref="A2:A4"/>
    <mergeCell ref="B2:B4"/>
    <mergeCell ref="C2:C4"/>
    <mergeCell ref="D2:D4"/>
    <mergeCell ref="E2:E4"/>
    <mergeCell ref="G2:G4"/>
    <mergeCell ref="H2:K2"/>
    <mergeCell ref="L2:P2"/>
    <mergeCell ref="H3:H4"/>
    <mergeCell ref="J3:K3"/>
    <mergeCell ref="L3:L4"/>
    <mergeCell ref="M3:P3"/>
    <mergeCell ref="A5:A23"/>
    <mergeCell ref="B5:B23"/>
    <mergeCell ref="C5:C23"/>
    <mergeCell ref="D5:D23"/>
    <mergeCell ref="E5:E2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2" t="s">
        <v>1752</v>
      </c>
      <c r="AZ2" s="1173"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面积明细表!E5</f>
        <v>34165.910000000003</v>
      </c>
      <c r="B3" s="14">
        <f>IF(C3="否",G5-AT5,G5)</f>
        <v>108912.04000000001</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4"/>
      <c r="AZ3" s="1175"/>
      <c r="BA3" s="1176"/>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108912.04000000001</v>
      </c>
      <c r="H5" s="16">
        <f t="shared" ref="H5:AT5" si="0">SUM(H13:H656)</f>
        <v>100002.04000000001</v>
      </c>
      <c r="I5" s="16">
        <f t="shared" si="0"/>
        <v>57972.040000000008</v>
      </c>
      <c r="J5" s="16">
        <f t="shared" si="0"/>
        <v>0</v>
      </c>
      <c r="K5" s="16">
        <f t="shared" si="0"/>
        <v>27530</v>
      </c>
      <c r="L5" s="16">
        <f t="shared" si="0"/>
        <v>0</v>
      </c>
      <c r="M5" s="16">
        <f t="shared" si="0"/>
        <v>14500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1910</v>
      </c>
      <c r="AD5" s="16">
        <f t="shared" si="0"/>
        <v>10</v>
      </c>
      <c r="AE5" s="16">
        <f t="shared" si="0"/>
        <v>0</v>
      </c>
      <c r="AF5" s="16">
        <f t="shared" si="0"/>
        <v>900</v>
      </c>
      <c r="AG5" s="16">
        <f t="shared" si="0"/>
        <v>0</v>
      </c>
      <c r="AH5" s="16">
        <f t="shared" si="0"/>
        <v>0</v>
      </c>
      <c r="AI5" s="16">
        <f t="shared" si="0"/>
        <v>0</v>
      </c>
      <c r="AJ5" s="16">
        <f t="shared" si="0"/>
        <v>0</v>
      </c>
      <c r="AK5" s="16">
        <f t="shared" si="0"/>
        <v>0</v>
      </c>
      <c r="AL5" s="16">
        <f t="shared" si="0"/>
        <v>0</v>
      </c>
      <c r="AM5" s="16">
        <f t="shared" si="0"/>
        <v>0</v>
      </c>
      <c r="AN5" s="16">
        <f t="shared" si="0"/>
        <v>1000</v>
      </c>
      <c r="AO5" s="16">
        <f t="shared" si="0"/>
        <v>0</v>
      </c>
      <c r="AP5" s="16">
        <f t="shared" si="0"/>
        <v>0</v>
      </c>
      <c r="AQ5" s="16">
        <f t="shared" si="0"/>
        <v>0</v>
      </c>
      <c r="AR5" s="16">
        <f t="shared" si="0"/>
        <v>0</v>
      </c>
      <c r="AS5" s="16">
        <f t="shared" si="0"/>
        <v>0</v>
      </c>
      <c r="AT5" s="16">
        <f t="shared" si="0"/>
        <v>7000</v>
      </c>
      <c r="AU5" s="1524"/>
      <c r="AV5" s="15" t="s">
        <v>1755</v>
      </c>
      <c r="AW5" s="1525"/>
      <c r="AX5" s="1525"/>
      <c r="AY5" s="17" t="s">
        <v>3</v>
      </c>
      <c r="AZ5" s="18">
        <f t="shared" ref="AZ5:BT5" si="1">SUM(AZ13:AZ656)</f>
        <v>101912.04000000001</v>
      </c>
      <c r="BA5" s="18">
        <f t="shared" si="1"/>
        <v>100002.04000000001</v>
      </c>
      <c r="BB5" s="18">
        <f t="shared" si="1"/>
        <v>57972.040000000008</v>
      </c>
      <c r="BC5" s="18">
        <f t="shared" si="1"/>
        <v>27530</v>
      </c>
      <c r="BD5" s="18">
        <f t="shared" si="1"/>
        <v>14500</v>
      </c>
      <c r="BE5" s="18">
        <f t="shared" si="1"/>
        <v>0</v>
      </c>
      <c r="BF5" s="18">
        <f t="shared" si="1"/>
        <v>0</v>
      </c>
      <c r="BG5" s="18">
        <f t="shared" si="1"/>
        <v>0</v>
      </c>
      <c r="BH5" s="18">
        <f t="shared" si="1"/>
        <v>0</v>
      </c>
      <c r="BI5" s="18">
        <f t="shared" si="1"/>
        <v>0</v>
      </c>
      <c r="BJ5" s="18">
        <f t="shared" si="1"/>
        <v>0</v>
      </c>
      <c r="BK5" s="18">
        <f t="shared" si="1"/>
        <v>0</v>
      </c>
      <c r="BL5" s="18">
        <f t="shared" si="1"/>
        <v>1910</v>
      </c>
      <c r="BM5" s="18">
        <f t="shared" si="1"/>
        <v>10</v>
      </c>
      <c r="BN5" s="18">
        <f t="shared" si="1"/>
        <v>900</v>
      </c>
      <c r="BO5" s="18">
        <f t="shared" si="1"/>
        <v>0</v>
      </c>
      <c r="BP5" s="18">
        <f t="shared" si="1"/>
        <v>0</v>
      </c>
      <c r="BQ5" s="18">
        <f t="shared" si="1"/>
        <v>0</v>
      </c>
      <c r="BR5" s="18">
        <f t="shared" si="1"/>
        <v>1000</v>
      </c>
      <c r="BS5" s="18">
        <f t="shared" si="1"/>
        <v>0</v>
      </c>
      <c r="BT5" s="19">
        <f t="shared" si="1"/>
        <v>0</v>
      </c>
    </row>
    <row r="6" spans="1:72" s="1768" customFormat="1" ht="12.75">
      <c r="A6" s="15" t="s">
        <v>1756</v>
      </c>
      <c r="B6" s="1765"/>
      <c r="C6" s="1765"/>
      <c r="D6" s="1766"/>
      <c r="E6" s="16">
        <f>H6+AC6+AT6</f>
        <v>34165.909999999996</v>
      </c>
      <c r="F6" s="16" t="s">
        <v>1</v>
      </c>
      <c r="G6" s="16" t="s">
        <v>2</v>
      </c>
      <c r="H6" s="20">
        <f>SUMIF(I$12:AB$12,"总值",I6:AB6)</f>
        <v>31370.829999999998</v>
      </c>
      <c r="I6" s="16">
        <f t="shared" ref="I6:AB6" si="2">ROUND($A$3*I5/$B$3,2)</f>
        <v>18185.939999999999</v>
      </c>
      <c r="J6" s="16">
        <f t="shared" si="2"/>
        <v>0</v>
      </c>
      <c r="K6" s="16">
        <f t="shared" si="2"/>
        <v>8636.2099999999991</v>
      </c>
      <c r="L6" s="16">
        <f t="shared" si="2"/>
        <v>0</v>
      </c>
      <c r="M6" s="16">
        <f t="shared" si="2"/>
        <v>4548.68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599.16999999999996</v>
      </c>
      <c r="AD6" s="16">
        <f t="shared" ref="AD6:AS6" si="3">ROUND($A$3*AD5/$B$3,2)</f>
        <v>3.14</v>
      </c>
      <c r="AE6" s="16">
        <f t="shared" si="3"/>
        <v>0</v>
      </c>
      <c r="AF6" s="16">
        <f t="shared" si="3"/>
        <v>282.33</v>
      </c>
      <c r="AG6" s="16">
        <f t="shared" si="3"/>
        <v>0</v>
      </c>
      <c r="AH6" s="16">
        <f t="shared" si="3"/>
        <v>0</v>
      </c>
      <c r="AI6" s="16">
        <f t="shared" si="3"/>
        <v>0</v>
      </c>
      <c r="AJ6" s="16">
        <f t="shared" si="3"/>
        <v>0</v>
      </c>
      <c r="AK6" s="16">
        <f t="shared" si="3"/>
        <v>0</v>
      </c>
      <c r="AL6" s="16">
        <f t="shared" si="3"/>
        <v>0</v>
      </c>
      <c r="AM6" s="16">
        <f t="shared" si="3"/>
        <v>0</v>
      </c>
      <c r="AN6" s="16">
        <f t="shared" si="3"/>
        <v>313.7</v>
      </c>
      <c r="AO6" s="16">
        <f t="shared" si="3"/>
        <v>0</v>
      </c>
      <c r="AP6" s="16">
        <f t="shared" si="3"/>
        <v>0</v>
      </c>
      <c r="AQ6" s="16">
        <f t="shared" si="3"/>
        <v>0</v>
      </c>
      <c r="AR6" s="16">
        <f t="shared" si="3"/>
        <v>0</v>
      </c>
      <c r="AS6" s="16">
        <f t="shared" si="3"/>
        <v>0</v>
      </c>
      <c r="AT6" s="20">
        <f>IF(C3="是",ROUND($A$3*AT5/$B$3,2),0)</f>
        <v>2195.91</v>
      </c>
      <c r="AU6" s="1767"/>
      <c r="AV6" s="15" t="s">
        <v>1756</v>
      </c>
      <c r="AW6" s="1765"/>
      <c r="AX6" s="1765"/>
      <c r="AY6" s="21">
        <f>IF(AY3&gt;0,AY3,ROUND($A$3*AZ5/$B$3,2))</f>
        <v>31970</v>
      </c>
      <c r="AZ6" s="16" t="s">
        <v>3</v>
      </c>
      <c r="BA6" s="16">
        <f>ROUND($AY$6*BA5/$AZ$5,2)</f>
        <v>31370.83</v>
      </c>
      <c r="BB6" s="16">
        <f>ROUND($AY$6*BB5/$AZ$5,2)</f>
        <v>18185.939999999999</v>
      </c>
      <c r="BC6" s="16">
        <f t="shared" ref="BC6:BH6" si="4">ROUND($AY$6*BC5/$AZ$5,2)</f>
        <v>8636.2099999999991</v>
      </c>
      <c r="BD6" s="16">
        <f t="shared" si="4"/>
        <v>4548.68</v>
      </c>
      <c r="BE6" s="16">
        <f t="shared" si="4"/>
        <v>0</v>
      </c>
      <c r="BF6" s="16">
        <f t="shared" si="4"/>
        <v>0</v>
      </c>
      <c r="BG6" s="16">
        <f t="shared" si="4"/>
        <v>0</v>
      </c>
      <c r="BH6" s="16">
        <f t="shared" si="4"/>
        <v>0</v>
      </c>
      <c r="BI6" s="16">
        <f t="shared" ref="BI6:BT6" si="5">ROUND($AY$6*BI5/$AZ$5,2)</f>
        <v>0</v>
      </c>
      <c r="BJ6" s="16">
        <f t="shared" si="5"/>
        <v>0</v>
      </c>
      <c r="BK6" s="16">
        <f t="shared" si="5"/>
        <v>0</v>
      </c>
      <c r="BL6" s="16">
        <f t="shared" si="5"/>
        <v>599.16999999999996</v>
      </c>
      <c r="BM6" s="16">
        <f t="shared" si="5"/>
        <v>3.14</v>
      </c>
      <c r="BN6" s="16">
        <f t="shared" si="5"/>
        <v>282.33</v>
      </c>
      <c r="BO6" s="16">
        <f t="shared" si="5"/>
        <v>0</v>
      </c>
      <c r="BP6" s="16">
        <f t="shared" si="5"/>
        <v>0</v>
      </c>
      <c r="BQ6" s="16">
        <f t="shared" si="5"/>
        <v>0</v>
      </c>
      <c r="BR6" s="16">
        <f t="shared" si="5"/>
        <v>313.7</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1" t="s">
        <v>1770</v>
      </c>
      <c r="AD8" s="1779"/>
      <c r="AE8" s="1771"/>
      <c r="AF8" s="1538"/>
      <c r="AG8" s="1538"/>
      <c r="AH8" s="1538"/>
      <c r="AI8" s="1538"/>
      <c r="AJ8" s="1538"/>
      <c r="AK8" s="1538"/>
      <c r="AL8" s="1538"/>
      <c r="AM8" s="1538"/>
      <c r="AN8" s="1538"/>
      <c r="AO8" s="1538"/>
      <c r="AP8" s="1538"/>
      <c r="AQ8" s="1538"/>
      <c r="AR8" s="1538"/>
      <c r="AS8" s="1538"/>
      <c r="AT8" s="1195" t="s">
        <v>1771</v>
      </c>
      <c r="AU8" s="1773" t="s">
        <v>1772</v>
      </c>
      <c r="AV8" s="1195"/>
      <c r="AW8" s="1756"/>
      <c r="AX8" s="1195"/>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5"/>
      <c r="H9" s="1781" t="s">
        <v>1775</v>
      </c>
      <c r="I9" s="1782" t="s">
        <v>3128</v>
      </c>
      <c r="J9" s="911"/>
      <c r="K9" s="1782" t="s">
        <v>3130</v>
      </c>
      <c r="L9" s="911"/>
      <c r="M9" s="1782" t="s">
        <v>3130</v>
      </c>
      <c r="N9" s="911"/>
      <c r="O9" s="1782"/>
      <c r="P9" s="911"/>
      <c r="Q9" s="1782"/>
      <c r="R9" s="911"/>
      <c r="S9" s="1782"/>
      <c r="T9" s="911"/>
      <c r="U9" s="1782"/>
      <c r="V9" s="911"/>
      <c r="W9" s="1782"/>
      <c r="X9" s="1783"/>
      <c r="Y9" s="1782"/>
      <c r="Z9" s="911"/>
      <c r="AA9" s="1782"/>
      <c r="AB9" s="911"/>
      <c r="AC9" s="1774"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4"/>
      <c r="AT9" s="1773"/>
      <c r="AU9" s="1773" t="s">
        <v>1778</v>
      </c>
      <c r="AV9" s="1195"/>
      <c r="AW9" s="1756"/>
      <c r="AX9" s="1195"/>
      <c r="AY9" s="28"/>
      <c r="AZ9" s="28" t="s">
        <v>1768</v>
      </c>
      <c r="BA9" s="1785" t="s">
        <v>1779</v>
      </c>
      <c r="BB9" s="1786"/>
      <c r="BC9" s="1241"/>
      <c r="BD9" s="1241"/>
      <c r="BE9" s="1241"/>
      <c r="BF9" s="1241"/>
      <c r="BG9" s="1241"/>
      <c r="BH9" s="1241"/>
      <c r="BI9" s="1241"/>
      <c r="BJ9" s="1241"/>
      <c r="BK9" s="1787"/>
      <c r="BL9" s="15" t="s">
        <v>1780</v>
      </c>
      <c r="BM9" s="1538"/>
      <c r="BN9" s="1776"/>
      <c r="BO9" s="1538"/>
      <c r="BP9" s="1538"/>
      <c r="BQ9" s="1538"/>
      <c r="BR9" s="1538"/>
      <c r="BS9" s="1538"/>
      <c r="BT9" s="26"/>
    </row>
    <row r="10" spans="1:72" s="1780" customFormat="1" ht="12.75">
      <c r="A10" s="1773"/>
      <c r="B10" s="1773"/>
      <c r="C10" s="1773"/>
      <c r="D10" s="1773"/>
      <c r="E10" s="1773"/>
      <c r="F10" s="1773"/>
      <c r="G10" s="1195"/>
      <c r="H10" s="28"/>
      <c r="I10" s="1782" t="s">
        <v>3090</v>
      </c>
      <c r="J10" s="911"/>
      <c r="K10" s="1788" t="s">
        <v>3131</v>
      </c>
      <c r="L10" s="911"/>
      <c r="M10" s="1788" t="s">
        <v>3135</v>
      </c>
      <c r="N10" s="911"/>
      <c r="O10" s="1788"/>
      <c r="P10" s="911"/>
      <c r="Q10" s="1788"/>
      <c r="R10" s="911"/>
      <c r="S10" s="1788"/>
      <c r="T10" s="911"/>
      <c r="U10" s="1788"/>
      <c r="V10" s="911"/>
      <c r="W10" s="1788"/>
      <c r="X10" s="911"/>
      <c r="Y10" s="1788"/>
      <c r="Z10" s="911"/>
      <c r="AA10" s="1788"/>
      <c r="AB10" s="911"/>
      <c r="AC10" s="1195"/>
      <c r="AD10" s="15" t="s">
        <v>1781</v>
      </c>
      <c r="AE10" s="1789"/>
      <c r="AF10" s="15" t="s">
        <v>1781</v>
      </c>
      <c r="AG10" s="1789"/>
      <c r="AH10" s="15" t="s">
        <v>1782</v>
      </c>
      <c r="AI10" s="1789"/>
      <c r="AJ10" s="15" t="s">
        <v>1782</v>
      </c>
      <c r="AK10" s="1789"/>
      <c r="AL10" s="15" t="s">
        <v>1783</v>
      </c>
      <c r="AM10" s="1201"/>
      <c r="AN10" s="15" t="s">
        <v>1783</v>
      </c>
      <c r="AO10" s="1201"/>
      <c r="AP10" s="15" t="s">
        <v>1784</v>
      </c>
      <c r="AQ10" s="1201"/>
      <c r="AR10" s="15" t="s">
        <v>1784</v>
      </c>
      <c r="AS10" s="1201"/>
      <c r="AT10" s="1773"/>
      <c r="AU10" s="1773"/>
      <c r="AV10" s="1195"/>
      <c r="AW10" s="1756"/>
      <c r="AX10" s="1195"/>
      <c r="AY10" s="28"/>
      <c r="AZ10" s="28"/>
      <c r="BA10" s="1790" t="s">
        <v>1775</v>
      </c>
      <c r="BB10" s="1791" t="str">
        <f>I9</f>
        <v>地上</v>
      </c>
      <c r="BC10" s="29" t="str">
        <f>K9</f>
        <v>地下</v>
      </c>
      <c r="BD10" s="29" t="str">
        <f>M9</f>
        <v>地下</v>
      </c>
      <c r="BE10" s="29">
        <f>O9</f>
        <v>0</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5"/>
      <c r="H11" s="1790"/>
      <c r="I11" s="1793" t="s">
        <v>3129</v>
      </c>
      <c r="J11" s="1794"/>
      <c r="K11" s="1793" t="s">
        <v>3132</v>
      </c>
      <c r="L11" s="1794"/>
      <c r="M11" s="1793" t="s">
        <v>3135</v>
      </c>
      <c r="N11" s="1794"/>
      <c r="O11" s="1793"/>
      <c r="P11" s="1794"/>
      <c r="Q11" s="1793"/>
      <c r="R11" s="1794"/>
      <c r="S11" s="1793"/>
      <c r="T11" s="1794"/>
      <c r="U11" s="1793"/>
      <c r="V11" s="1794"/>
      <c r="W11" s="1793"/>
      <c r="X11" s="1794"/>
      <c r="Y11" s="1793"/>
      <c r="Z11" s="1794"/>
      <c r="AA11" s="1793"/>
      <c r="AB11" s="1794"/>
      <c r="AC11" s="1195"/>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5"/>
      <c r="AW11" s="1756"/>
      <c r="AX11" s="1195"/>
      <c r="AY11" s="28"/>
      <c r="AZ11" s="28"/>
      <c r="BA11" s="28"/>
      <c r="BB11" s="1778" t="str">
        <f>I10</f>
        <v>住宅</v>
      </c>
      <c r="BC11" s="1778" t="str">
        <f>K10</f>
        <v>仓储</v>
      </c>
      <c r="BD11" s="1778" t="str">
        <f>M10</f>
        <v>车库</v>
      </c>
      <c r="BE11" s="1778">
        <f>O10</f>
        <v>0</v>
      </c>
      <c r="BF11" s="1778">
        <f>Q10</f>
        <v>0</v>
      </c>
      <c r="BG11" s="1778">
        <f>S10</f>
        <v>0</v>
      </c>
      <c r="BH11" s="1778">
        <f>U10</f>
        <v>0</v>
      </c>
      <c r="BI11" s="1778">
        <f>W10</f>
        <v>0</v>
      </c>
      <c r="BJ11" s="1778">
        <f>Y10</f>
        <v>0</v>
      </c>
      <c r="BK11" s="1778">
        <f>AA10</f>
        <v>0</v>
      </c>
      <c r="BL11" s="1195"/>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洋房</v>
      </c>
      <c r="BC12" s="1803" t="str">
        <f>K11</f>
        <v>戊类库房</v>
      </c>
      <c r="BD12" s="1803" t="str">
        <f>M11</f>
        <v>车库</v>
      </c>
      <c r="BE12" s="1778">
        <f>O11</f>
        <v>0</v>
      </c>
      <c r="BF12" s="1778">
        <f>Q11</f>
        <v>0</v>
      </c>
      <c r="BG12" s="1778">
        <f>S11</f>
        <v>0</v>
      </c>
      <c r="BH12" s="1778">
        <f>U11</f>
        <v>0</v>
      </c>
      <c r="BI12" s="1778">
        <f>W11</f>
        <v>0</v>
      </c>
      <c r="BJ12" s="1778">
        <f>Y11</f>
        <v>0</v>
      </c>
      <c r="BK12" s="1778">
        <f>AA11</f>
        <v>0</v>
      </c>
      <c r="BL12" s="1195"/>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75"/>
      <c r="B13" s="1175"/>
      <c r="C13" s="3093" t="s">
        <v>3432</v>
      </c>
      <c r="D13" s="1804" t="s">
        <v>3066</v>
      </c>
      <c r="E13" s="16">
        <f>IF($C$3="是",ROUND($A$3*G13/$B$3,2),ROUND($A$3*(G13-AT13)/$B$3,2))</f>
        <v>1355.77</v>
      </c>
      <c r="F13" s="32"/>
      <c r="G13" s="33">
        <f>H13+AC13+AT13</f>
        <v>4321.8500000000004</v>
      </c>
      <c r="H13" s="20">
        <f>SUMIF(I$12:AB$12,"总值",I13:AB13)</f>
        <v>4321.8500000000004</v>
      </c>
      <c r="I13" s="1805">
        <f>面积明细表!I5</f>
        <v>2856.85</v>
      </c>
      <c r="J13" s="1805"/>
      <c r="K13" s="1805">
        <f>面积明细表!J5</f>
        <v>1465</v>
      </c>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t="str">
        <f t="shared" si="6"/>
        <v>C-1#住宅楼</v>
      </c>
      <c r="AY13" s="1527">
        <f>ROUND($AY$6*AZ13/$AZ$5,2)</f>
        <v>1355.77</v>
      </c>
      <c r="AZ13" s="16">
        <f>BA13+BL13</f>
        <v>4321.8500000000004</v>
      </c>
      <c r="BA13" s="16">
        <f>SUM(BB13:BK13)</f>
        <v>4321.8500000000004</v>
      </c>
      <c r="BB13" s="16">
        <f>IF($D13="是",I13-J13,0)</f>
        <v>2856.85</v>
      </c>
      <c r="BC13" s="16">
        <f>IF($D13="是",K13-L13,0)</f>
        <v>1465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75"/>
      <c r="B14" s="1175"/>
      <c r="C14" s="3093" t="s">
        <v>3108</v>
      </c>
      <c r="D14" s="1804" t="s">
        <v>3066</v>
      </c>
      <c r="E14" s="16">
        <f>IF($C$3="是",ROUND($A$3*G14/$B$3,2),ROUND($A$3*(G14-AT14)/$B$3,2))</f>
        <v>2006.3</v>
      </c>
      <c r="F14" s="32"/>
      <c r="G14" s="33">
        <f>H14+AC14+AT14</f>
        <v>6395.55</v>
      </c>
      <c r="H14" s="20">
        <f>SUMIF(I$12:AB$12,"总值",I14:AB14)</f>
        <v>6395.55</v>
      </c>
      <c r="I14" s="1805">
        <f>面积明细表!I6</f>
        <v>4640.55</v>
      </c>
      <c r="J14" s="1805"/>
      <c r="K14" s="1805">
        <f>面积明细表!J6</f>
        <v>1755</v>
      </c>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t="str">
        <f t="shared" si="6"/>
        <v>C-2#住宅楼</v>
      </c>
      <c r="AY14" s="1527">
        <f>ROUND($AY$6*AZ14/$AZ$5,2)</f>
        <v>2006.3</v>
      </c>
      <c r="AZ14" s="16">
        <f>BA14+BL14</f>
        <v>6395.55</v>
      </c>
      <c r="BA14" s="16">
        <f>SUM(BB14:BK14)</f>
        <v>6395.55</v>
      </c>
      <c r="BB14" s="16">
        <f>IF($D14="是",I14-J14,0)</f>
        <v>4640.55</v>
      </c>
      <c r="BC14" s="16">
        <f>IF($D14="是",K14-L14,0)</f>
        <v>1755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75"/>
      <c r="B15" s="1175"/>
      <c r="C15" s="3093" t="s">
        <v>3109</v>
      </c>
      <c r="D15" s="1804" t="s">
        <v>3066</v>
      </c>
      <c r="E15" s="16">
        <f>IF($C$3="是",ROUND($A$3*G15/$B$3,2),ROUND($A$3*(G15-AT15)/$B$3,2))</f>
        <v>1236.6300000000001</v>
      </c>
      <c r="F15" s="32"/>
      <c r="G15" s="33">
        <f>H15+AC15+AT15</f>
        <v>3942.06</v>
      </c>
      <c r="H15" s="20">
        <f>SUMIF(I$12:AB$12,"总值",I15:AB15)</f>
        <v>3942.06</v>
      </c>
      <c r="I15" s="1805">
        <f>面积明细表!I7</f>
        <v>2638.06</v>
      </c>
      <c r="J15" s="1805"/>
      <c r="K15" s="1805">
        <f>面积明细表!J7</f>
        <v>1304</v>
      </c>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t="str">
        <f t="shared" si="6"/>
        <v>C-3#住宅楼</v>
      </c>
      <c r="AY15" s="1527">
        <f>ROUND($AY$6*AZ15/$AZ$5,2)</f>
        <v>1236.6300000000001</v>
      </c>
      <c r="AZ15" s="16">
        <f>BA15+BL15</f>
        <v>3942.06</v>
      </c>
      <c r="BA15" s="16">
        <f>SUM(BB15:BK15)</f>
        <v>3942.06</v>
      </c>
      <c r="BB15" s="16">
        <f>IF($D15="是",I15-J15,0)</f>
        <v>2638.06</v>
      </c>
      <c r="BC15" s="16">
        <f>IF($D15="是",K15-L15,0)</f>
        <v>1304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75"/>
      <c r="B16" s="1175"/>
      <c r="C16" s="3093" t="s">
        <v>3110</v>
      </c>
      <c r="D16" s="1804" t="s">
        <v>3066</v>
      </c>
      <c r="E16" s="16">
        <f>IF($C$3="是",ROUND($A$3*G16/$B$3,2),ROUND($A$3*(G16-AT16)/$B$3,2))</f>
        <v>1653.96</v>
      </c>
      <c r="F16" s="32"/>
      <c r="G16" s="33">
        <f>H16+AC16+AT16</f>
        <v>5272.41</v>
      </c>
      <c r="H16" s="20">
        <f>SUMIF(I$12:AB$12,"总值",I16:AB16)</f>
        <v>5272.41</v>
      </c>
      <c r="I16" s="1805">
        <f>面积明细表!I8</f>
        <v>3517.41</v>
      </c>
      <c r="J16" s="1805"/>
      <c r="K16" s="1805">
        <f>面积明细表!J8</f>
        <v>1755</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t="str">
        <f t="shared" si="6"/>
        <v>C-4#住宅楼</v>
      </c>
      <c r="AY16" s="1527">
        <f>ROUND($AY$6*AZ16/$AZ$5,2)</f>
        <v>1653.97</v>
      </c>
      <c r="AZ16" s="16">
        <f>BA16+BL16</f>
        <v>5272.41</v>
      </c>
      <c r="BA16" s="16">
        <f>SUM(BB16:BK16)</f>
        <v>5272.41</v>
      </c>
      <c r="BB16" s="16">
        <f>IF($D16="是",I16-J16,0)</f>
        <v>3517.41</v>
      </c>
      <c r="BC16" s="16">
        <f>IF($D16="是",K16-L16,0)</f>
        <v>1755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5"/>
      <c r="B17" s="1175"/>
      <c r="C17" s="3093" t="s">
        <v>3111</v>
      </c>
      <c r="D17" s="1804" t="s">
        <v>3066</v>
      </c>
      <c r="E17" s="16">
        <f>IF($C$3="是",ROUND($A$3*G17/$B$3,2),ROUND($A$3*(G17-AT17)/$B$3,2))</f>
        <v>2006.3</v>
      </c>
      <c r="F17" s="32"/>
      <c r="G17" s="33">
        <f>H17+AC17+AT17</f>
        <v>6395.55</v>
      </c>
      <c r="H17" s="20">
        <f>SUMIF(I$12:AB$12,"总值",I17:AB17)</f>
        <v>6395.55</v>
      </c>
      <c r="I17" s="1805">
        <f>面积明细表!I9</f>
        <v>4640.55</v>
      </c>
      <c r="J17" s="1805"/>
      <c r="K17" s="1805">
        <f>面积明细表!J9</f>
        <v>1755</v>
      </c>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t="str">
        <f t="shared" si="6"/>
        <v>C-5#住宅楼</v>
      </c>
      <c r="AY17" s="1527">
        <f>ROUND($AY$6*AZ17/$AZ$5,2)</f>
        <v>2006.3</v>
      </c>
      <c r="AZ17" s="16">
        <f>BA17+BL17</f>
        <v>6395.55</v>
      </c>
      <c r="BA17" s="16">
        <f>SUM(BB17:BK17)</f>
        <v>6395.55</v>
      </c>
      <c r="BB17" s="16">
        <f>IF($D17="是",I17-J17,0)</f>
        <v>4640.55</v>
      </c>
      <c r="BC17" s="16">
        <f>IF($D17="是",K17-L17,0)</f>
        <v>1755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093" t="s">
        <v>3112</v>
      </c>
      <c r="D18" s="1804" t="s">
        <v>3066</v>
      </c>
      <c r="E18" s="35">
        <f t="shared" ref="E18:E112" si="7">IF($C$3="是",ROUND($A$3*G18/$B$3,2),ROUND($A$3*(G18-AT18)/$B$3,2))</f>
        <v>1653.96</v>
      </c>
      <c r="F18" s="36"/>
      <c r="G18" s="37">
        <f t="shared" ref="G18:G109" si="8">H18+AC18+AT18</f>
        <v>5272.41</v>
      </c>
      <c r="H18" s="38">
        <f t="shared" ref="H18:H109" si="9">SUMIF(I$12:AB$12,"总值",I18:AB18)</f>
        <v>5272.41</v>
      </c>
      <c r="I18" s="1805">
        <f>面积明细表!I10</f>
        <v>3517.41</v>
      </c>
      <c r="J18" s="39"/>
      <c r="K18" s="1805">
        <f>面积明细表!J10</f>
        <v>1755</v>
      </c>
      <c r="L18" s="1805"/>
      <c r="M18" s="1805"/>
      <c r="N18" s="1805"/>
      <c r="O18" s="1805"/>
      <c r="P18" s="39"/>
      <c r="Q18" s="39"/>
      <c r="R18" s="39"/>
      <c r="S18" s="39"/>
      <c r="T18" s="39"/>
      <c r="U18" s="39"/>
      <c r="V18" s="39"/>
      <c r="W18" s="39"/>
      <c r="X18" s="39"/>
      <c r="Y18" s="39"/>
      <c r="Z18" s="39"/>
      <c r="AA18" s="39"/>
      <c r="AB18" s="39"/>
      <c r="AC18" s="35">
        <f t="shared" ref="AC18:AC109" si="10">SUMIF(AD$12:AS$12,"总值",AD18:AS18)</f>
        <v>0</v>
      </c>
      <c r="AD18" s="40"/>
      <c r="AE18" s="1806"/>
      <c r="AF18" s="40"/>
      <c r="AG18" s="1806"/>
      <c r="AH18" s="40"/>
      <c r="AI18" s="1806"/>
      <c r="AJ18" s="40"/>
      <c r="AK18" s="1806"/>
      <c r="AL18" s="40"/>
      <c r="AM18" s="1806"/>
      <c r="AN18" s="1806"/>
      <c r="AO18" s="1806"/>
      <c r="AP18" s="40"/>
      <c r="AQ18" s="40"/>
      <c r="AR18" s="40"/>
      <c r="AS18" s="40"/>
      <c r="AT18" s="41"/>
      <c r="AU18" s="1810"/>
      <c r="AV18" s="1521">
        <f t="shared" ref="AV18:AV112" si="11">A18</f>
        <v>0</v>
      </c>
      <c r="AW18" s="1521">
        <f t="shared" ref="AW18:AW112" si="12">B18</f>
        <v>0</v>
      </c>
      <c r="AX18" s="1521" t="str">
        <f t="shared" ref="AX18:AX112" si="13">C18</f>
        <v>C-6#住宅楼</v>
      </c>
      <c r="AY18" s="42">
        <f t="shared" ref="AY18:AY109" si="14">ROUND($AY$6*AZ18/$AZ$5,2)</f>
        <v>1653.97</v>
      </c>
      <c r="AZ18" s="35">
        <f t="shared" ref="AZ18:AZ109" si="15">BA18+BL18</f>
        <v>5272.41</v>
      </c>
      <c r="BA18" s="35">
        <f t="shared" ref="BA18:BA109" si="16">SUM(BB18:BK18)</f>
        <v>5272.41</v>
      </c>
      <c r="BB18" s="35">
        <f t="shared" ref="BB18:BB109" si="17">IF($D18="是",I18-J18,0)</f>
        <v>3517.41</v>
      </c>
      <c r="BC18" s="35">
        <f t="shared" ref="BC18:BC109" si="18">IF($D18="是",K18-L18,0)</f>
        <v>1755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093" t="s">
        <v>3113</v>
      </c>
      <c r="D19" s="1804" t="s">
        <v>3066</v>
      </c>
      <c r="E19" s="35">
        <f t="shared" si="7"/>
        <v>1653.96</v>
      </c>
      <c r="F19" s="36"/>
      <c r="G19" s="37">
        <f t="shared" si="8"/>
        <v>5272.41</v>
      </c>
      <c r="H19" s="38">
        <f t="shared" si="9"/>
        <v>5272.41</v>
      </c>
      <c r="I19" s="1805">
        <f>面积明细表!I11</f>
        <v>3517.41</v>
      </c>
      <c r="J19" s="39"/>
      <c r="K19" s="1805">
        <f>面积明细表!J11</f>
        <v>1755</v>
      </c>
      <c r="L19" s="1805"/>
      <c r="M19" s="1805"/>
      <c r="N19" s="1805"/>
      <c r="O19" s="1805"/>
      <c r="P19" s="39"/>
      <c r="Q19" s="39"/>
      <c r="R19" s="39"/>
      <c r="S19" s="39"/>
      <c r="T19" s="39"/>
      <c r="U19" s="39"/>
      <c r="V19" s="39"/>
      <c r="W19" s="39"/>
      <c r="X19" s="39"/>
      <c r="Y19" s="39"/>
      <c r="Z19" s="39"/>
      <c r="AA19" s="39"/>
      <c r="AB19" s="39"/>
      <c r="AC19" s="35">
        <f t="shared" si="10"/>
        <v>0</v>
      </c>
      <c r="AD19" s="40"/>
      <c r="AE19" s="1806"/>
      <c r="AF19" s="40"/>
      <c r="AG19" s="1806"/>
      <c r="AH19" s="40"/>
      <c r="AI19" s="1806"/>
      <c r="AJ19" s="40"/>
      <c r="AK19" s="1806"/>
      <c r="AL19" s="40"/>
      <c r="AM19" s="1806"/>
      <c r="AN19" s="40"/>
      <c r="AO19" s="1806"/>
      <c r="AP19" s="40"/>
      <c r="AQ19" s="40"/>
      <c r="AR19" s="40"/>
      <c r="AS19" s="40"/>
      <c r="AT19" s="41"/>
      <c r="AU19" s="1810"/>
      <c r="AV19" s="1521">
        <f t="shared" si="11"/>
        <v>0</v>
      </c>
      <c r="AW19" s="1521">
        <f t="shared" si="12"/>
        <v>0</v>
      </c>
      <c r="AX19" s="1521" t="str">
        <f t="shared" si="13"/>
        <v>C-7#住宅楼</v>
      </c>
      <c r="AY19" s="42">
        <f t="shared" si="14"/>
        <v>1653.97</v>
      </c>
      <c r="AZ19" s="35">
        <f t="shared" si="15"/>
        <v>5272.41</v>
      </c>
      <c r="BA19" s="35">
        <f t="shared" si="16"/>
        <v>5272.41</v>
      </c>
      <c r="BB19" s="35">
        <f t="shared" si="17"/>
        <v>3517.41</v>
      </c>
      <c r="BC19" s="35">
        <f t="shared" si="18"/>
        <v>1755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0" customHeight="1">
      <c r="A20" s="9"/>
      <c r="B20" s="34"/>
      <c r="C20" s="3093" t="s">
        <v>3114</v>
      </c>
      <c r="D20" s="1804" t="s">
        <v>3066</v>
      </c>
      <c r="E20" s="35">
        <f t="shared" si="7"/>
        <v>2612.6</v>
      </c>
      <c r="F20" s="36"/>
      <c r="G20" s="37">
        <f t="shared" si="8"/>
        <v>8328.2799999999988</v>
      </c>
      <c r="H20" s="38">
        <f t="shared" si="9"/>
        <v>8328.2799999999988</v>
      </c>
      <c r="I20" s="1805">
        <f>面积明细表!I12</f>
        <v>5693.28</v>
      </c>
      <c r="J20" s="39"/>
      <c r="K20" s="1805">
        <f>面积明细表!J12</f>
        <v>2635</v>
      </c>
      <c r="L20" s="1805"/>
      <c r="M20" s="1805"/>
      <c r="N20" s="1805"/>
      <c r="O20" s="1805"/>
      <c r="P20" s="39"/>
      <c r="Q20" s="39"/>
      <c r="R20" s="39"/>
      <c r="S20" s="39"/>
      <c r="T20" s="39"/>
      <c r="U20" s="39"/>
      <c r="V20" s="39"/>
      <c r="W20" s="39"/>
      <c r="X20" s="39"/>
      <c r="Y20" s="39"/>
      <c r="Z20" s="39"/>
      <c r="AA20" s="39"/>
      <c r="AB20" s="39"/>
      <c r="AC20" s="35">
        <f t="shared" si="10"/>
        <v>0</v>
      </c>
      <c r="AD20" s="40"/>
      <c r="AE20" s="1806"/>
      <c r="AF20" s="40"/>
      <c r="AG20" s="1806"/>
      <c r="AH20" s="40"/>
      <c r="AI20" s="1806"/>
      <c r="AJ20" s="40"/>
      <c r="AK20" s="1806"/>
      <c r="AL20" s="40"/>
      <c r="AM20" s="1806"/>
      <c r="AN20" s="40"/>
      <c r="AO20" s="1806"/>
      <c r="AP20" s="40"/>
      <c r="AQ20" s="40"/>
      <c r="AR20" s="40"/>
      <c r="AS20" s="40"/>
      <c r="AT20" s="41"/>
      <c r="AU20" s="1810"/>
      <c r="AV20" s="1521">
        <f t="shared" si="11"/>
        <v>0</v>
      </c>
      <c r="AW20" s="1521">
        <f t="shared" si="12"/>
        <v>0</v>
      </c>
      <c r="AX20" s="1521" t="str">
        <f t="shared" si="13"/>
        <v>C-8#住宅楼</v>
      </c>
      <c r="AY20" s="42">
        <f t="shared" si="14"/>
        <v>2612.6</v>
      </c>
      <c r="AZ20" s="35">
        <f t="shared" si="15"/>
        <v>8328.2799999999988</v>
      </c>
      <c r="BA20" s="35">
        <f t="shared" si="16"/>
        <v>8328.2799999999988</v>
      </c>
      <c r="BB20" s="35">
        <f t="shared" si="17"/>
        <v>5693.28</v>
      </c>
      <c r="BC20" s="35">
        <f t="shared" si="18"/>
        <v>2635</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0" customHeight="1">
      <c r="A21" s="9"/>
      <c r="B21" s="34"/>
      <c r="C21" s="3093" t="s">
        <v>3116</v>
      </c>
      <c r="D21" s="1804" t="s">
        <v>3066</v>
      </c>
      <c r="E21" s="35">
        <f t="shared" si="7"/>
        <v>1653.96</v>
      </c>
      <c r="F21" s="36"/>
      <c r="G21" s="37">
        <f t="shared" si="8"/>
        <v>5272.41</v>
      </c>
      <c r="H21" s="38">
        <f t="shared" si="9"/>
        <v>5272.41</v>
      </c>
      <c r="I21" s="1805">
        <f>面积明细表!I13</f>
        <v>3517.41</v>
      </c>
      <c r="J21" s="39"/>
      <c r="K21" s="1805">
        <f>面积明细表!J13</f>
        <v>1755</v>
      </c>
      <c r="L21" s="39"/>
      <c r="M21" s="39"/>
      <c r="N21" s="39"/>
      <c r="O21" s="39"/>
      <c r="P21" s="39"/>
      <c r="Q21" s="39"/>
      <c r="R21" s="39"/>
      <c r="S21" s="39"/>
      <c r="T21" s="39"/>
      <c r="U21" s="39"/>
      <c r="V21" s="39"/>
      <c r="W21" s="39"/>
      <c r="X21" s="39"/>
      <c r="Y21" s="39"/>
      <c r="Z21" s="39"/>
      <c r="AA21" s="39"/>
      <c r="AB21" s="39"/>
      <c r="AC21" s="35">
        <f t="shared" si="10"/>
        <v>0</v>
      </c>
      <c r="AD21" s="40"/>
      <c r="AE21" s="1806"/>
      <c r="AF21" s="40"/>
      <c r="AG21" s="1806"/>
      <c r="AH21" s="40"/>
      <c r="AI21" s="1806"/>
      <c r="AJ21" s="40"/>
      <c r="AK21" s="1806"/>
      <c r="AL21" s="40"/>
      <c r="AM21" s="1806"/>
      <c r="AN21" s="40"/>
      <c r="AO21" s="1806"/>
      <c r="AP21" s="40"/>
      <c r="AQ21" s="40"/>
      <c r="AR21" s="40"/>
      <c r="AS21" s="40"/>
      <c r="AT21" s="41"/>
      <c r="AU21" s="1810"/>
      <c r="AV21" s="1521">
        <f t="shared" si="11"/>
        <v>0</v>
      </c>
      <c r="AW21" s="1521">
        <f t="shared" si="12"/>
        <v>0</v>
      </c>
      <c r="AX21" s="1521" t="str">
        <f t="shared" si="13"/>
        <v>C-9#住宅楼</v>
      </c>
      <c r="AY21" s="42">
        <f t="shared" si="14"/>
        <v>1653.97</v>
      </c>
      <c r="AZ21" s="35">
        <f t="shared" si="15"/>
        <v>5272.41</v>
      </c>
      <c r="BA21" s="35">
        <f t="shared" si="16"/>
        <v>5272.41</v>
      </c>
      <c r="BB21" s="35">
        <f t="shared" si="17"/>
        <v>3517.41</v>
      </c>
      <c r="BC21" s="35">
        <f t="shared" si="18"/>
        <v>1755</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0" customHeight="1">
      <c r="A22" s="9"/>
      <c r="B22" s="34"/>
      <c r="C22" s="3093" t="s">
        <v>3118</v>
      </c>
      <c r="D22" s="1804" t="s">
        <v>3066</v>
      </c>
      <c r="E22" s="35">
        <f t="shared" si="7"/>
        <v>1920.61</v>
      </c>
      <c r="F22" s="36"/>
      <c r="G22" s="37">
        <f t="shared" si="8"/>
        <v>6122.41</v>
      </c>
      <c r="H22" s="38">
        <f t="shared" si="9"/>
        <v>6122.41</v>
      </c>
      <c r="I22" s="1805">
        <f>面积明细表!I14</f>
        <v>3517.41</v>
      </c>
      <c r="J22" s="39"/>
      <c r="K22" s="1805">
        <f>面积明细表!J14</f>
        <v>2605</v>
      </c>
      <c r="L22" s="39"/>
      <c r="M22" s="39"/>
      <c r="N22" s="39"/>
      <c r="O22" s="39"/>
      <c r="P22" s="39"/>
      <c r="Q22" s="39"/>
      <c r="R22" s="39"/>
      <c r="S22" s="39"/>
      <c r="T22" s="39"/>
      <c r="U22" s="39"/>
      <c r="V22" s="39"/>
      <c r="W22" s="39"/>
      <c r="X22" s="39"/>
      <c r="Y22" s="39"/>
      <c r="Z22" s="39"/>
      <c r="AA22" s="39"/>
      <c r="AB22" s="39"/>
      <c r="AC22" s="35">
        <f t="shared" si="10"/>
        <v>0</v>
      </c>
      <c r="AD22" s="40"/>
      <c r="AE22" s="1805"/>
      <c r="AF22" s="1805"/>
      <c r="AG22" s="1805"/>
      <c r="AH22" s="1805"/>
      <c r="AI22" s="1805"/>
      <c r="AJ22" s="1805"/>
      <c r="AK22" s="1805"/>
      <c r="AL22" s="1805"/>
      <c r="AM22" s="1805"/>
      <c r="AN22" s="1805"/>
      <c r="AO22" s="1805"/>
      <c r="AP22" s="1805"/>
      <c r="AQ22" s="1805"/>
      <c r="AR22" s="1805"/>
      <c r="AS22" s="1805"/>
      <c r="AT22" s="1805"/>
      <c r="AU22" s="1805"/>
      <c r="AV22" s="1521">
        <f t="shared" si="11"/>
        <v>0</v>
      </c>
      <c r="AW22" s="1521">
        <f t="shared" si="12"/>
        <v>0</v>
      </c>
      <c r="AX22" s="1521" t="str">
        <f t="shared" si="13"/>
        <v>C-10#住宅楼</v>
      </c>
      <c r="AY22" s="42">
        <f t="shared" si="14"/>
        <v>1920.61</v>
      </c>
      <c r="AZ22" s="35">
        <f t="shared" si="15"/>
        <v>6122.41</v>
      </c>
      <c r="BA22" s="35">
        <f t="shared" si="16"/>
        <v>6122.41</v>
      </c>
      <c r="BB22" s="35">
        <f t="shared" si="17"/>
        <v>3517.41</v>
      </c>
      <c r="BC22" s="35">
        <f t="shared" si="18"/>
        <v>2605</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0" customHeight="1">
      <c r="A23" s="9"/>
      <c r="B23" s="34"/>
      <c r="C23" s="3093" t="s">
        <v>3120</v>
      </c>
      <c r="D23" s="1804" t="s">
        <v>3066</v>
      </c>
      <c r="E23" s="35">
        <f t="shared" si="7"/>
        <v>1938.18</v>
      </c>
      <c r="F23" s="36"/>
      <c r="G23" s="37">
        <f t="shared" si="8"/>
        <v>6178.41</v>
      </c>
      <c r="H23" s="38">
        <f t="shared" si="9"/>
        <v>5278.41</v>
      </c>
      <c r="I23" s="1805">
        <f>面积明细表!I15</f>
        <v>3517.41</v>
      </c>
      <c r="J23" s="39"/>
      <c r="K23" s="1805">
        <f>面积明细表!J15</f>
        <v>1761</v>
      </c>
      <c r="L23" s="39"/>
      <c r="M23" s="39"/>
      <c r="N23" s="39"/>
      <c r="O23" s="39"/>
      <c r="P23" s="39"/>
      <c r="Q23" s="39"/>
      <c r="R23" s="39"/>
      <c r="S23" s="39"/>
      <c r="T23" s="39"/>
      <c r="U23" s="39"/>
      <c r="V23" s="39"/>
      <c r="W23" s="39"/>
      <c r="X23" s="39"/>
      <c r="Y23" s="39"/>
      <c r="Z23" s="39"/>
      <c r="AA23" s="39"/>
      <c r="AB23" s="39"/>
      <c r="AC23" s="35">
        <f t="shared" si="10"/>
        <v>900</v>
      </c>
      <c r="AD23" s="40"/>
      <c r="AE23" s="1805"/>
      <c r="AF23" s="1805">
        <f>面积明细表!P15</f>
        <v>900</v>
      </c>
      <c r="AG23" s="1805"/>
      <c r="AH23" s="1805"/>
      <c r="AI23" s="1805"/>
      <c r="AJ23" s="1805"/>
      <c r="AK23" s="1805"/>
      <c r="AL23" s="1805"/>
      <c r="AM23" s="1805"/>
      <c r="AN23" s="1805"/>
      <c r="AO23" s="1805"/>
      <c r="AP23" s="1805"/>
      <c r="AQ23" s="1805"/>
      <c r="AR23" s="1805"/>
      <c r="AS23" s="1805"/>
      <c r="AT23" s="1805"/>
      <c r="AU23" s="1805"/>
      <c r="AV23" s="1521">
        <f t="shared" si="11"/>
        <v>0</v>
      </c>
      <c r="AW23" s="1521">
        <f t="shared" si="12"/>
        <v>0</v>
      </c>
      <c r="AX23" s="1521" t="str">
        <f t="shared" si="13"/>
        <v>C-11#住宅楼</v>
      </c>
      <c r="AY23" s="42">
        <f t="shared" si="14"/>
        <v>1938.18</v>
      </c>
      <c r="AZ23" s="35">
        <f t="shared" si="15"/>
        <v>6178.41</v>
      </c>
      <c r="BA23" s="35">
        <f t="shared" si="16"/>
        <v>5278.41</v>
      </c>
      <c r="BB23" s="35">
        <f t="shared" si="17"/>
        <v>3517.41</v>
      </c>
      <c r="BC23" s="35">
        <f t="shared" si="18"/>
        <v>1761</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900</v>
      </c>
      <c r="BM23" s="35">
        <f t="shared" si="28"/>
        <v>0</v>
      </c>
      <c r="BN23" s="35">
        <f t="shared" si="29"/>
        <v>900</v>
      </c>
      <c r="BO23" s="35">
        <f t="shared" si="30"/>
        <v>0</v>
      </c>
      <c r="BP23" s="35">
        <f t="shared" si="31"/>
        <v>0</v>
      </c>
      <c r="BQ23" s="35">
        <f t="shared" si="32"/>
        <v>0</v>
      </c>
      <c r="BR23" s="35">
        <f t="shared" si="33"/>
        <v>0</v>
      </c>
      <c r="BS23" s="35">
        <f t="shared" si="34"/>
        <v>0</v>
      </c>
      <c r="BT23" s="43">
        <f t="shared" si="35"/>
        <v>0</v>
      </c>
    </row>
    <row r="24" spans="1:72" ht="30" customHeight="1">
      <c r="A24" s="9"/>
      <c r="B24" s="34"/>
      <c r="C24" s="3093" t="s">
        <v>3121</v>
      </c>
      <c r="D24" s="1804" t="s">
        <v>3066</v>
      </c>
      <c r="E24" s="35">
        <f t="shared" si="7"/>
        <v>2140.94</v>
      </c>
      <c r="F24" s="36"/>
      <c r="G24" s="37">
        <f t="shared" si="8"/>
        <v>6824.77</v>
      </c>
      <c r="H24" s="38">
        <f t="shared" si="9"/>
        <v>6824.77</v>
      </c>
      <c r="I24" s="1805">
        <f>面积明细表!I16</f>
        <v>5004.7700000000004</v>
      </c>
      <c r="J24" s="39"/>
      <c r="K24" s="1805">
        <f>面积明细表!J16</f>
        <v>1820</v>
      </c>
      <c r="L24" s="39"/>
      <c r="M24" s="39"/>
      <c r="N24" s="39"/>
      <c r="O24" s="39"/>
      <c r="P24" s="39"/>
      <c r="Q24" s="39"/>
      <c r="R24" s="39"/>
      <c r="S24" s="39"/>
      <c r="T24" s="39"/>
      <c r="U24" s="39"/>
      <c r="V24" s="39"/>
      <c r="W24" s="39"/>
      <c r="X24" s="39"/>
      <c r="Y24" s="39"/>
      <c r="Z24" s="39"/>
      <c r="AA24" s="39"/>
      <c r="AB24" s="39"/>
      <c r="AC24" s="35">
        <f t="shared" si="10"/>
        <v>0</v>
      </c>
      <c r="AD24" s="40"/>
      <c r="AE24" s="1805"/>
      <c r="AF24" s="1805"/>
      <c r="AG24" s="1805"/>
      <c r="AH24" s="1805"/>
      <c r="AI24" s="1805"/>
      <c r="AJ24" s="1805"/>
      <c r="AK24" s="1805"/>
      <c r="AL24" s="1805"/>
      <c r="AM24" s="1805"/>
      <c r="AN24" s="1805"/>
      <c r="AO24" s="1805"/>
      <c r="AP24" s="1805"/>
      <c r="AQ24" s="1805"/>
      <c r="AR24" s="1805"/>
      <c r="AS24" s="1805"/>
      <c r="AT24" s="1805"/>
      <c r="AU24" s="1805"/>
      <c r="AV24" s="1521">
        <f t="shared" si="11"/>
        <v>0</v>
      </c>
      <c r="AW24" s="1521">
        <f t="shared" si="12"/>
        <v>0</v>
      </c>
      <c r="AX24" s="1521" t="str">
        <f t="shared" si="13"/>
        <v>C-12#住宅楼</v>
      </c>
      <c r="AY24" s="42">
        <f t="shared" si="14"/>
        <v>2140.94</v>
      </c>
      <c r="AZ24" s="35">
        <f t="shared" si="15"/>
        <v>6824.77</v>
      </c>
      <c r="BA24" s="35">
        <f t="shared" si="16"/>
        <v>6824.77</v>
      </c>
      <c r="BB24" s="35">
        <f t="shared" si="17"/>
        <v>5004.7700000000004</v>
      </c>
      <c r="BC24" s="35">
        <f t="shared" si="18"/>
        <v>1820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0" customHeight="1">
      <c r="A25" s="9"/>
      <c r="B25" s="34"/>
      <c r="C25" s="3093" t="s">
        <v>3123</v>
      </c>
      <c r="D25" s="1804" t="s">
        <v>3066</v>
      </c>
      <c r="E25" s="35">
        <f t="shared" si="7"/>
        <v>2635.65</v>
      </c>
      <c r="F25" s="36"/>
      <c r="G25" s="37">
        <f t="shared" si="8"/>
        <v>8401.76</v>
      </c>
      <c r="H25" s="38">
        <f t="shared" si="9"/>
        <v>8401.76</v>
      </c>
      <c r="I25" s="1805">
        <f>面积明细表!I17</f>
        <v>5696.76</v>
      </c>
      <c r="J25" s="39"/>
      <c r="K25" s="1805">
        <f>面积明细表!J17</f>
        <v>2705</v>
      </c>
      <c r="L25" s="39"/>
      <c r="M25" s="39"/>
      <c r="N25" s="39"/>
      <c r="O25" s="39"/>
      <c r="P25" s="39"/>
      <c r="Q25" s="39"/>
      <c r="R25" s="39"/>
      <c r="S25" s="39"/>
      <c r="T25" s="39"/>
      <c r="U25" s="39"/>
      <c r="V25" s="39"/>
      <c r="W25" s="39"/>
      <c r="X25" s="39"/>
      <c r="Y25" s="39"/>
      <c r="Z25" s="39"/>
      <c r="AA25" s="39"/>
      <c r="AB25" s="39"/>
      <c r="AC25" s="35">
        <f t="shared" si="10"/>
        <v>0</v>
      </c>
      <c r="AD25" s="40"/>
      <c r="AE25" s="1805"/>
      <c r="AF25" s="1805"/>
      <c r="AG25" s="1805"/>
      <c r="AH25" s="1805"/>
      <c r="AI25" s="1805"/>
      <c r="AJ25" s="1805"/>
      <c r="AK25" s="1805"/>
      <c r="AL25" s="1805"/>
      <c r="AM25" s="1805"/>
      <c r="AN25" s="1805"/>
      <c r="AO25" s="1805"/>
      <c r="AP25" s="1805"/>
      <c r="AQ25" s="1805"/>
      <c r="AR25" s="1805"/>
      <c r="AS25" s="1805"/>
      <c r="AT25" s="1805"/>
      <c r="AU25" s="1805"/>
      <c r="AV25" s="1521">
        <f t="shared" si="11"/>
        <v>0</v>
      </c>
      <c r="AW25" s="1521">
        <f t="shared" si="12"/>
        <v>0</v>
      </c>
      <c r="AX25" s="1521" t="str">
        <f t="shared" si="13"/>
        <v>C-13#住宅楼</v>
      </c>
      <c r="AY25" s="42">
        <f t="shared" si="14"/>
        <v>2635.65</v>
      </c>
      <c r="AZ25" s="35">
        <f t="shared" si="15"/>
        <v>8401.76</v>
      </c>
      <c r="BA25" s="35">
        <f t="shared" si="16"/>
        <v>8401.76</v>
      </c>
      <c r="BB25" s="35">
        <f t="shared" si="17"/>
        <v>5696.76</v>
      </c>
      <c r="BC25" s="35">
        <f t="shared" si="18"/>
        <v>2705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0" customHeight="1">
      <c r="A26" s="9"/>
      <c r="B26" s="34"/>
      <c r="C26" s="3093" t="s">
        <v>3124</v>
      </c>
      <c r="D26" s="1804" t="s">
        <v>3066</v>
      </c>
      <c r="E26" s="35">
        <f t="shared" si="7"/>
        <v>2635.65</v>
      </c>
      <c r="F26" s="36"/>
      <c r="G26" s="37">
        <f t="shared" si="8"/>
        <v>8401.76</v>
      </c>
      <c r="H26" s="38">
        <f t="shared" si="9"/>
        <v>8401.76</v>
      </c>
      <c r="I26" s="1805">
        <f>面积明细表!I18</f>
        <v>5696.76</v>
      </c>
      <c r="J26" s="39"/>
      <c r="K26" s="1805">
        <f>面积明细表!J18</f>
        <v>2705</v>
      </c>
      <c r="L26" s="1805"/>
      <c r="M26" s="1805"/>
      <c r="N26" s="39"/>
      <c r="O26" s="39"/>
      <c r="P26" s="39"/>
      <c r="Q26" s="39"/>
      <c r="R26" s="39"/>
      <c r="S26" s="39"/>
      <c r="T26" s="39"/>
      <c r="U26" s="39"/>
      <c r="V26" s="39"/>
      <c r="W26" s="39"/>
      <c r="X26" s="39"/>
      <c r="Y26" s="39"/>
      <c r="Z26" s="39"/>
      <c r="AA26" s="39"/>
      <c r="AB26" s="39"/>
      <c r="AC26" s="35">
        <f t="shared" si="10"/>
        <v>0</v>
      </c>
      <c r="AD26" s="40"/>
      <c r="AE26" s="1805"/>
      <c r="AF26" s="1805"/>
      <c r="AG26" s="1805"/>
      <c r="AH26" s="1805"/>
      <c r="AI26" s="1805"/>
      <c r="AJ26" s="1805"/>
      <c r="AK26" s="1805"/>
      <c r="AL26" s="1805"/>
      <c r="AM26" s="1805"/>
      <c r="AN26" s="1805"/>
      <c r="AO26" s="1805"/>
      <c r="AP26" s="1805"/>
      <c r="AQ26" s="1805"/>
      <c r="AR26" s="1805"/>
      <c r="AS26" s="1805"/>
      <c r="AT26" s="1805"/>
      <c r="AU26" s="1805"/>
      <c r="AV26" s="1521">
        <f t="shared" si="11"/>
        <v>0</v>
      </c>
      <c r="AW26" s="1521">
        <f t="shared" si="12"/>
        <v>0</v>
      </c>
      <c r="AX26" s="1521" t="str">
        <f t="shared" si="13"/>
        <v>C-14#住宅楼</v>
      </c>
      <c r="AY26" s="42">
        <f t="shared" si="14"/>
        <v>2635.65</v>
      </c>
      <c r="AZ26" s="35">
        <f t="shared" si="15"/>
        <v>8401.76</v>
      </c>
      <c r="BA26" s="35">
        <f t="shared" si="16"/>
        <v>8401.76</v>
      </c>
      <c r="BB26" s="35">
        <f t="shared" si="17"/>
        <v>5696.76</v>
      </c>
      <c r="BC26" s="35">
        <f t="shared" si="18"/>
        <v>2705</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0" customHeight="1">
      <c r="A27" s="9"/>
      <c r="B27" s="34"/>
      <c r="C27" s="3093" t="s">
        <v>3433</v>
      </c>
      <c r="D27" s="1804" t="s">
        <v>3066</v>
      </c>
      <c r="E27" s="35">
        <f t="shared" si="7"/>
        <v>12.55</v>
      </c>
      <c r="F27" s="36"/>
      <c r="G27" s="37">
        <f t="shared" si="8"/>
        <v>40</v>
      </c>
      <c r="H27" s="38">
        <f t="shared" si="9"/>
        <v>0</v>
      </c>
      <c r="I27" s="1805"/>
      <c r="J27" s="39"/>
      <c r="K27" s="1805"/>
      <c r="L27" s="1805"/>
      <c r="M27" s="1805"/>
      <c r="N27" s="39"/>
      <c r="O27" s="39"/>
      <c r="P27" s="39"/>
      <c r="Q27" s="39"/>
      <c r="R27" s="39"/>
      <c r="S27" s="39"/>
      <c r="T27" s="39"/>
      <c r="U27" s="39"/>
      <c r="V27" s="39"/>
      <c r="W27" s="39"/>
      <c r="X27" s="39"/>
      <c r="Y27" s="39"/>
      <c r="Z27" s="39"/>
      <c r="AA27" s="39"/>
      <c r="AB27" s="39"/>
      <c r="AC27" s="35">
        <f t="shared" si="10"/>
        <v>0</v>
      </c>
      <c r="AD27" s="40"/>
      <c r="AE27" s="1805"/>
      <c r="AF27" s="1805"/>
      <c r="AG27" s="1805"/>
      <c r="AH27" s="1805"/>
      <c r="AI27" s="1805"/>
      <c r="AJ27" s="1805"/>
      <c r="AK27" s="1805"/>
      <c r="AL27" s="1805"/>
      <c r="AM27" s="1805"/>
      <c r="AN27" s="1805"/>
      <c r="AO27" s="1805"/>
      <c r="AP27" s="1805"/>
      <c r="AQ27" s="1805"/>
      <c r="AR27" s="1805"/>
      <c r="AS27" s="1805"/>
      <c r="AT27" s="1805">
        <f>面积明细表!Q19</f>
        <v>40</v>
      </c>
      <c r="AU27" s="1805"/>
      <c r="AV27" s="1521">
        <f t="shared" si="11"/>
        <v>0</v>
      </c>
      <c r="AW27" s="1521">
        <f t="shared" si="12"/>
        <v>0</v>
      </c>
      <c r="AX27" s="1521" t="str">
        <f t="shared" si="13"/>
        <v>人防室外出口</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4"/>
      <c r="C28" s="3093" t="s">
        <v>3433</v>
      </c>
      <c r="D28" s="1804" t="s">
        <v>3066</v>
      </c>
      <c r="E28" s="35">
        <f t="shared" si="7"/>
        <v>9.41</v>
      </c>
      <c r="F28" s="36"/>
      <c r="G28" s="37">
        <f t="shared" si="8"/>
        <v>30</v>
      </c>
      <c r="H28" s="38">
        <f t="shared" si="9"/>
        <v>0</v>
      </c>
      <c r="I28" s="39"/>
      <c r="J28" s="39"/>
      <c r="K28" s="1805"/>
      <c r="L28" s="1805"/>
      <c r="M28" s="1805"/>
      <c r="N28" s="39"/>
      <c r="O28" s="39"/>
      <c r="P28" s="39"/>
      <c r="Q28" s="39"/>
      <c r="R28" s="39"/>
      <c r="S28" s="39"/>
      <c r="T28" s="39"/>
      <c r="U28" s="39"/>
      <c r="V28" s="39"/>
      <c r="W28" s="39"/>
      <c r="X28" s="39"/>
      <c r="Y28" s="39"/>
      <c r="Z28" s="39"/>
      <c r="AA28" s="39"/>
      <c r="AB28" s="39"/>
      <c r="AC28" s="35">
        <f t="shared" si="10"/>
        <v>0</v>
      </c>
      <c r="AD28" s="40"/>
      <c r="AE28" s="1805"/>
      <c r="AF28" s="1805"/>
      <c r="AG28" s="1805"/>
      <c r="AH28" s="1805"/>
      <c r="AI28" s="1805"/>
      <c r="AJ28" s="1805"/>
      <c r="AK28" s="1805"/>
      <c r="AL28" s="1805"/>
      <c r="AM28" s="1805"/>
      <c r="AN28" s="1805"/>
      <c r="AO28" s="1805"/>
      <c r="AP28" s="1805"/>
      <c r="AQ28" s="1805"/>
      <c r="AR28" s="1805"/>
      <c r="AS28" s="1805"/>
      <c r="AT28" s="1805">
        <f>面积明细表!Q20</f>
        <v>30</v>
      </c>
      <c r="AU28" s="1805"/>
      <c r="AV28" s="1521">
        <f t="shared" si="11"/>
        <v>0</v>
      </c>
      <c r="AW28" s="1521">
        <f t="shared" si="12"/>
        <v>0</v>
      </c>
      <c r="AX28" s="1521" t="str">
        <f t="shared" si="13"/>
        <v>人防室外出口</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093" t="s">
        <v>3434</v>
      </c>
      <c r="D29" s="1804" t="s">
        <v>3066</v>
      </c>
      <c r="E29" s="35">
        <f t="shared" si="7"/>
        <v>12.55</v>
      </c>
      <c r="F29" s="36"/>
      <c r="G29" s="37">
        <f t="shared" si="8"/>
        <v>40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10</v>
      </c>
      <c r="AD29" s="40">
        <v>10</v>
      </c>
      <c r="AE29" s="1805"/>
      <c r="AF29" s="1805"/>
      <c r="AG29" s="1805"/>
      <c r="AH29" s="1805"/>
      <c r="AI29" s="1805"/>
      <c r="AJ29" s="1805"/>
      <c r="AK29" s="1805"/>
      <c r="AL29" s="1805"/>
      <c r="AM29" s="1805"/>
      <c r="AN29" s="1805"/>
      <c r="AO29" s="1805"/>
      <c r="AP29" s="1805"/>
      <c r="AQ29" s="1805"/>
      <c r="AR29" s="1805"/>
      <c r="AS29" s="1805"/>
      <c r="AT29" s="1805">
        <f>面积明细表!Q21</f>
        <v>30</v>
      </c>
      <c r="AU29" s="1805"/>
      <c r="AV29" s="1521">
        <f t="shared" si="11"/>
        <v>0</v>
      </c>
      <c r="AW29" s="1521">
        <f t="shared" si="12"/>
        <v>0</v>
      </c>
      <c r="AX29" s="1521" t="str">
        <f t="shared" si="13"/>
        <v>人防室外出口及自行车库入口</v>
      </c>
      <c r="AY29" s="42">
        <f t="shared" si="14"/>
        <v>3.14</v>
      </c>
      <c r="AZ29" s="35">
        <f t="shared" si="15"/>
        <v>10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10</v>
      </c>
      <c r="BM29" s="35">
        <f t="shared" si="28"/>
        <v>10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93" t="s">
        <v>3435</v>
      </c>
      <c r="D30" s="1804" t="s">
        <v>3066</v>
      </c>
      <c r="E30" s="35">
        <f t="shared" si="7"/>
        <v>7026.92</v>
      </c>
      <c r="F30" s="36"/>
      <c r="G30" s="37">
        <f t="shared" si="8"/>
        <v>22400</v>
      </c>
      <c r="H30" s="38">
        <f t="shared" si="9"/>
        <v>14500</v>
      </c>
      <c r="I30" s="39"/>
      <c r="J30" s="39"/>
      <c r="K30" s="39"/>
      <c r="L30" s="39"/>
      <c r="M30" s="39">
        <f>面积明细表!K22</f>
        <v>14500</v>
      </c>
      <c r="N30" s="39"/>
      <c r="O30" s="39"/>
      <c r="P30" s="39"/>
      <c r="Q30" s="39"/>
      <c r="R30" s="39"/>
      <c r="S30" s="39"/>
      <c r="T30" s="39"/>
      <c r="U30" s="39"/>
      <c r="V30" s="39"/>
      <c r="W30" s="39"/>
      <c r="X30" s="39"/>
      <c r="Y30" s="39"/>
      <c r="Z30" s="39"/>
      <c r="AA30" s="39"/>
      <c r="AB30" s="39"/>
      <c r="AC30" s="35">
        <f t="shared" si="10"/>
        <v>1000</v>
      </c>
      <c r="AD30" s="40"/>
      <c r="AE30" s="1805"/>
      <c r="AF30" s="1805"/>
      <c r="AG30" s="1805"/>
      <c r="AH30" s="1805"/>
      <c r="AI30" s="1805"/>
      <c r="AJ30" s="1805"/>
      <c r="AK30" s="1805"/>
      <c r="AL30" s="1805"/>
      <c r="AM30" s="1805"/>
      <c r="AN30" s="1805">
        <f>面积明细表!O22+面积明细表!N22+面积明细表!M22</f>
        <v>1000</v>
      </c>
      <c r="AO30" s="1805"/>
      <c r="AP30" s="1805"/>
      <c r="AQ30" s="1805"/>
      <c r="AR30" s="1805"/>
      <c r="AS30" s="1805"/>
      <c r="AT30" s="1805">
        <f>面积明细表!Q22</f>
        <v>6900</v>
      </c>
      <c r="AU30" s="1805"/>
      <c r="AV30" s="1521">
        <f t="shared" si="11"/>
        <v>0</v>
      </c>
      <c r="AW30" s="1521">
        <f t="shared" si="12"/>
        <v>0</v>
      </c>
      <c r="AX30" s="1521" t="str">
        <f t="shared" si="13"/>
        <v>地下车库4</v>
      </c>
      <c r="AY30" s="42">
        <f t="shared" si="14"/>
        <v>4862.38</v>
      </c>
      <c r="AZ30" s="35">
        <f t="shared" si="15"/>
        <v>15500</v>
      </c>
      <c r="BA30" s="35">
        <f t="shared" si="16"/>
        <v>14500</v>
      </c>
      <c r="BB30" s="35">
        <f t="shared" si="17"/>
        <v>0</v>
      </c>
      <c r="BC30" s="35">
        <f t="shared" si="18"/>
        <v>0</v>
      </c>
      <c r="BD30" s="35">
        <f t="shared" si="19"/>
        <v>14500</v>
      </c>
      <c r="BE30" s="35">
        <f t="shared" si="20"/>
        <v>0</v>
      </c>
      <c r="BF30" s="35">
        <f t="shared" si="21"/>
        <v>0</v>
      </c>
      <c r="BG30" s="35">
        <f t="shared" si="22"/>
        <v>0</v>
      </c>
      <c r="BH30" s="35">
        <f t="shared" si="23"/>
        <v>0</v>
      </c>
      <c r="BI30" s="35">
        <f t="shared" si="24"/>
        <v>0</v>
      </c>
      <c r="BJ30" s="35">
        <f t="shared" si="25"/>
        <v>0</v>
      </c>
      <c r="BK30" s="35">
        <f t="shared" si="26"/>
        <v>0</v>
      </c>
      <c r="BL30" s="35">
        <f t="shared" si="27"/>
        <v>1000</v>
      </c>
      <c r="BM30" s="35">
        <f t="shared" si="28"/>
        <v>0</v>
      </c>
      <c r="BN30" s="35">
        <f t="shared" si="29"/>
        <v>0</v>
      </c>
      <c r="BO30" s="35">
        <f t="shared" si="30"/>
        <v>0</v>
      </c>
      <c r="BP30" s="35">
        <f t="shared" si="31"/>
        <v>0</v>
      </c>
      <c r="BQ30" s="35">
        <f t="shared" si="32"/>
        <v>0</v>
      </c>
      <c r="BR30" s="35">
        <f t="shared" si="33"/>
        <v>1000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1806"/>
      <c r="AF31" s="40"/>
      <c r="AG31" s="1806"/>
      <c r="AH31" s="40"/>
      <c r="AI31" s="1806"/>
      <c r="AJ31" s="40"/>
      <c r="AK31" s="1806"/>
      <c r="AL31" s="40"/>
      <c r="AM31" s="1806"/>
      <c r="AN31" s="40"/>
      <c r="AO31" s="1806"/>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1806"/>
      <c r="AF32" s="40"/>
      <c r="AG32" s="1806"/>
      <c r="AH32" s="40"/>
      <c r="AI32" s="1806"/>
      <c r="AJ32" s="40"/>
      <c r="AK32" s="1806"/>
      <c r="AL32" s="40"/>
      <c r="AM32" s="1806"/>
      <c r="AN32" s="40"/>
      <c r="AO32" s="1806"/>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1806"/>
      <c r="AF33" s="40"/>
      <c r="AG33" s="1806"/>
      <c r="AH33" s="40"/>
      <c r="AI33" s="1806"/>
      <c r="AJ33" s="40"/>
      <c r="AK33" s="1806"/>
      <c r="AL33" s="40"/>
      <c r="AM33" s="1806"/>
      <c r="AN33" s="40"/>
      <c r="AO33" s="1806"/>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1806"/>
      <c r="AF34" s="40"/>
      <c r="AG34" s="1806"/>
      <c r="AH34" s="40"/>
      <c r="AI34" s="1806"/>
      <c r="AJ34" s="40"/>
      <c r="AK34" s="1806"/>
      <c r="AL34" s="40"/>
      <c r="AM34" s="1806"/>
      <c r="AN34" s="40"/>
      <c r="AO34" s="1806"/>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1806"/>
      <c r="AF35" s="40"/>
      <c r="AG35" s="1806"/>
      <c r="AH35" s="40"/>
      <c r="AI35" s="1806"/>
      <c r="AJ35" s="40"/>
      <c r="AK35" s="1806"/>
      <c r="AL35" s="40"/>
      <c r="AM35" s="1806"/>
      <c r="AN35" s="40"/>
      <c r="AO35" s="1806"/>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1806"/>
      <c r="AF36" s="40"/>
      <c r="AG36" s="1806"/>
      <c r="AH36" s="40"/>
      <c r="AI36" s="1806"/>
      <c r="AJ36" s="40"/>
      <c r="AK36" s="1806"/>
      <c r="AL36" s="40"/>
      <c r="AM36" s="1806"/>
      <c r="AN36" s="40"/>
      <c r="AO36" s="1806"/>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1806"/>
      <c r="AF37" s="40"/>
      <c r="AG37" s="1806"/>
      <c r="AH37" s="40"/>
      <c r="AI37" s="1806"/>
      <c r="AJ37" s="40"/>
      <c r="AK37" s="1806"/>
      <c r="AL37" s="40"/>
      <c r="AM37" s="1806"/>
      <c r="AN37" s="40"/>
      <c r="AO37" s="1806"/>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1806"/>
      <c r="AF38" s="40"/>
      <c r="AG38" s="1806"/>
      <c r="AH38" s="40"/>
      <c r="AI38" s="1806"/>
      <c r="AJ38" s="40"/>
      <c r="AK38" s="1806"/>
      <c r="AL38" s="40"/>
      <c r="AM38" s="1806"/>
      <c r="AN38" s="40"/>
      <c r="AO38" s="1806"/>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1806"/>
      <c r="AF39" s="40"/>
      <c r="AG39" s="1806"/>
      <c r="AH39" s="40"/>
      <c r="AI39" s="1806"/>
      <c r="AJ39" s="40"/>
      <c r="AK39" s="1806"/>
      <c r="AL39" s="40"/>
      <c r="AM39" s="1806"/>
      <c r="AN39" s="40"/>
      <c r="AO39" s="1806"/>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9" t="s">
        <v>0</v>
      </c>
      <c r="B1" s="3179" t="s">
        <v>4</v>
      </c>
      <c r="C1" s="3179" t="s">
        <v>5</v>
      </c>
      <c r="D1" s="3180" t="s">
        <v>53</v>
      </c>
      <c r="E1" s="3180" t="s">
        <v>54</v>
      </c>
      <c r="F1" s="3180"/>
      <c r="G1" s="3180"/>
      <c r="H1" s="3180"/>
      <c r="I1" s="3180"/>
      <c r="J1" s="3180"/>
      <c r="K1" s="3180"/>
      <c r="L1" s="3180"/>
      <c r="M1" s="3180"/>
    </row>
    <row r="2" spans="1:13" ht="27" customHeight="1">
      <c r="A2" s="3179"/>
      <c r="B2" s="3179"/>
      <c r="C2" s="3179"/>
      <c r="D2" s="3180"/>
      <c r="E2" s="3180" t="s">
        <v>37</v>
      </c>
      <c r="F2" s="3180" t="s">
        <v>38</v>
      </c>
      <c r="G2" s="3180"/>
      <c r="H2" s="3180"/>
      <c r="I2" s="3180"/>
      <c r="J2" s="3180" t="s">
        <v>39</v>
      </c>
      <c r="K2" s="3180"/>
      <c r="L2" s="3180"/>
      <c r="M2" s="3180"/>
    </row>
    <row r="3" spans="1:13" ht="28.5">
      <c r="A3" s="3179"/>
      <c r="B3" s="3179"/>
      <c r="C3" s="3179"/>
      <c r="D3" s="3180"/>
      <c r="E3" s="31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0" t="s">
        <v>55</v>
      </c>
      <c r="B9" s="3180"/>
      <c r="C9" s="31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43" sqref="K43"/>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4"/>
      <c r="C1" s="1294"/>
      <c r="D1" s="1294"/>
      <c r="E1" s="1294"/>
      <c r="F1" s="1294"/>
      <c r="G1" s="1294"/>
      <c r="H1" s="1294"/>
      <c r="I1" s="1294"/>
      <c r="J1" s="1294"/>
      <c r="K1" s="1294"/>
      <c r="L1" s="1294"/>
      <c r="M1" s="1294"/>
      <c r="N1" s="1294"/>
      <c r="O1" s="1294"/>
      <c r="P1" s="1294"/>
    </row>
    <row r="2" spans="1:16" ht="15">
      <c r="A2" s="3190" t="s">
        <v>1815</v>
      </c>
      <c r="B2" s="3190"/>
      <c r="C2" s="3190"/>
      <c r="D2" s="897" t="s">
        <v>1791</v>
      </c>
      <c r="E2" s="1818" t="s">
        <v>1792</v>
      </c>
      <c r="F2" s="2876"/>
      <c r="G2" s="2867"/>
      <c r="H2" s="2868"/>
      <c r="I2" s="2541" t="s">
        <v>1816</v>
      </c>
      <c r="J2" s="2876"/>
      <c r="K2" s="2876"/>
      <c r="L2" s="2876"/>
      <c r="M2" s="2876"/>
      <c r="N2" s="2878"/>
      <c r="O2" s="2876"/>
      <c r="P2" s="2876"/>
    </row>
    <row r="3" spans="1:16" ht="15.75" thickBot="1">
      <c r="A3" s="3191" t="s">
        <v>1789</v>
      </c>
      <c r="B3" s="3191"/>
      <c r="C3" s="3191"/>
      <c r="D3" s="46">
        <f>'数据-基础表'!AY6</f>
        <v>31970</v>
      </c>
      <c r="E3" s="46">
        <f>'数据-基础表'!AZ5</f>
        <v>101912.04000000001</v>
      </c>
      <c r="F3" s="2876"/>
      <c r="G3" s="1300"/>
      <c r="H3" s="1150" t="s">
        <v>1790</v>
      </c>
      <c r="I3" s="957">
        <f>ROUND('数据-基础表'!B3/'数据-基础表'!A3,2)</f>
        <v>3.19</v>
      </c>
      <c r="J3" s="2876"/>
      <c r="K3" s="2876"/>
      <c r="L3" s="2876"/>
      <c r="M3" s="2876"/>
      <c r="N3" s="2878"/>
      <c r="O3" s="2876"/>
      <c r="P3" s="2876"/>
    </row>
    <row r="4" spans="1:16" ht="15">
      <c r="A4" s="3192"/>
      <c r="B4" s="3193"/>
      <c r="C4" s="3194"/>
      <c r="D4" s="1820" t="s">
        <v>1791</v>
      </c>
      <c r="E4" s="1821" t="s">
        <v>1792</v>
      </c>
      <c r="F4" s="2876"/>
      <c r="G4" s="2869" t="s">
        <v>1817</v>
      </c>
      <c r="H4" s="1150" t="s">
        <v>1797</v>
      </c>
      <c r="I4" s="957">
        <f>ROUND(SUMIF('数据-基础表'!I9:AS9,"地上",'数据-基础表'!I5:AS5)/'数据-基础表'!A3,2)</f>
        <v>1.7</v>
      </c>
      <c r="J4" s="2876"/>
      <c r="K4" s="2876"/>
      <c r="L4" s="2876"/>
      <c r="M4" s="2876"/>
      <c r="N4" s="2878"/>
      <c r="O4" s="2876"/>
      <c r="P4" s="2876"/>
    </row>
    <row r="5" spans="1:16">
      <c r="A5" s="47" t="s">
        <v>1793</v>
      </c>
      <c r="B5" s="3195" t="s">
        <v>1794</v>
      </c>
      <c r="C5" s="3195"/>
      <c r="D5" s="48">
        <f>ROUND($D$3*E5/$E$3,2)</f>
        <v>18185.939999999999</v>
      </c>
      <c r="E5" s="49">
        <f>SUMIF('数据-基础表'!$11:$11,"住宅",'数据-基础表'!$5:$5)</f>
        <v>57972.040000000008</v>
      </c>
      <c r="F5" s="2876"/>
      <c r="G5" s="1300"/>
      <c r="H5" s="1150" t="s">
        <v>1790</v>
      </c>
      <c r="I5" s="957">
        <f>ROUND(E31/D31,2)</f>
        <v>3.19</v>
      </c>
      <c r="J5" s="2876"/>
      <c r="K5" s="2876"/>
      <c r="L5" s="2876"/>
      <c r="M5" s="2876"/>
      <c r="N5" s="2876"/>
      <c r="O5" s="2876"/>
      <c r="P5" s="2876"/>
    </row>
    <row r="6" spans="1:16" ht="15" thickBot="1">
      <c r="A6" s="1823"/>
      <c r="B6" s="3195" t="s">
        <v>1795</v>
      </c>
      <c r="C6" s="3195"/>
      <c r="D6" s="48">
        <f>ROUND($D$3*E6/$E$3,2)</f>
        <v>13784.06</v>
      </c>
      <c r="E6" s="49">
        <f>E3-E5</f>
        <v>43940</v>
      </c>
      <c r="F6" s="2876"/>
      <c r="G6" s="2870" t="s">
        <v>1796</v>
      </c>
      <c r="H6" s="1301" t="s">
        <v>1797</v>
      </c>
      <c r="I6" s="2871">
        <f>ROUND(F31/D31,2)</f>
        <v>1.81</v>
      </c>
      <c r="J6" s="2876"/>
      <c r="K6" s="2876"/>
      <c r="L6" s="2876"/>
      <c r="M6" s="2876"/>
      <c r="N6" s="2876"/>
      <c r="O6" s="2876"/>
      <c r="P6" s="2876"/>
    </row>
    <row r="7" spans="1:16" ht="15.75" thickBot="1">
      <c r="A7" s="3187"/>
      <c r="B7" s="3188"/>
      <c r="C7" s="3189"/>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18185.939999999999</v>
      </c>
      <c r="E8" s="51">
        <f>SUMIF('数据-基础表'!BB10:BK10,"地上",'数据-基础表'!BB5:BK5)</f>
        <v>57972.040000000008</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8636.2099999999991</v>
      </c>
      <c r="E12" s="51">
        <f>SUMPRODUCT(('数据-基础表'!BB10:BK10="地下")*('数据-基础表'!BB11:BK11="仓储")*('数据-基础表'!BB5:BK5))</f>
        <v>27530</v>
      </c>
      <c r="F12" s="2876"/>
      <c r="G12" s="2877"/>
      <c r="H12" s="2877"/>
      <c r="I12" s="2876"/>
      <c r="J12" s="2876"/>
      <c r="K12" s="2876"/>
      <c r="L12" s="2876"/>
      <c r="M12" s="2876"/>
      <c r="N12" s="2876"/>
      <c r="O12" s="2876"/>
      <c r="P12" s="2876"/>
    </row>
    <row r="13" spans="1:16">
      <c r="A13" s="1825"/>
      <c r="B13" s="1826"/>
      <c r="C13" s="48" t="s">
        <v>1806</v>
      </c>
      <c r="D13" s="48">
        <f t="shared" si="0"/>
        <v>4548.68</v>
      </c>
      <c r="E13" s="51">
        <f>SUMPRODUCT(('数据-基础表'!BB10:BK10="地下")*('数据-基础表'!BB11:BK11="车库")*('数据-基础表'!BB5:BK5))</f>
        <v>14500</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31370.829999999998</v>
      </c>
      <c r="E16" s="53">
        <f>SUM(E8:E15)</f>
        <v>100002.04000000001</v>
      </c>
      <c r="F16" s="2876"/>
      <c r="G16" s="2877"/>
      <c r="H16" s="1827" t="s">
        <v>1819</v>
      </c>
      <c r="I16" s="1828"/>
      <c r="J16" s="1294"/>
      <c r="K16" s="3184" t="s">
        <v>1819</v>
      </c>
      <c r="L16" s="3185"/>
      <c r="M16" s="3185"/>
      <c r="N16" s="3185"/>
      <c r="O16" s="3185"/>
      <c r="P16" s="3186"/>
    </row>
    <row r="17" spans="1:19" ht="15">
      <c r="A17" s="1829" t="s">
        <v>1820</v>
      </c>
      <c r="B17" s="1830" t="s">
        <v>1821</v>
      </c>
      <c r="C17" s="1831" t="s">
        <v>1822</v>
      </c>
      <c r="D17" s="1832" t="s">
        <v>1810</v>
      </c>
      <c r="E17" s="1833" t="s">
        <v>1811</v>
      </c>
      <c r="F17" s="1834"/>
      <c r="G17" s="1835"/>
      <c r="H17" s="1836" t="s">
        <v>1823</v>
      </c>
      <c r="I17" s="1837" t="s">
        <v>1808</v>
      </c>
      <c r="J17" s="1294"/>
      <c r="K17" s="3181" t="s">
        <v>1824</v>
      </c>
      <c r="L17" s="3182"/>
      <c r="M17" s="3183"/>
      <c r="N17" s="3181" t="s">
        <v>1825</v>
      </c>
      <c r="O17" s="3182"/>
      <c r="P17" s="3183"/>
      <c r="R17" s="1819" t="s">
        <v>1826</v>
      </c>
      <c r="S17" s="60"/>
    </row>
    <row r="18" spans="1:19" ht="15">
      <c r="A18" s="1825"/>
      <c r="B18" s="1838"/>
      <c r="C18" s="1839"/>
      <c r="D18" s="1840"/>
      <c r="E18" s="1841" t="s">
        <v>1827</v>
      </c>
      <c r="F18" s="1842" t="s">
        <v>1828</v>
      </c>
      <c r="G18" s="1843" t="s">
        <v>1829</v>
      </c>
      <c r="H18" s="1165" t="s">
        <v>1830</v>
      </c>
      <c r="I18" s="1844" t="s">
        <v>1831</v>
      </c>
      <c r="J18" s="1294"/>
      <c r="K18" s="1165" t="s">
        <v>1832</v>
      </c>
      <c r="L18" s="1845" t="s">
        <v>1833</v>
      </c>
      <c r="M18" s="957" t="s">
        <v>1834</v>
      </c>
      <c r="N18" s="1165" t="s">
        <v>1832</v>
      </c>
      <c r="O18" s="1845" t="s">
        <v>1833</v>
      </c>
      <c r="P18" s="957" t="s">
        <v>1834</v>
      </c>
      <c r="R18" s="1150" t="s">
        <v>1835</v>
      </c>
      <c r="S18" s="1150" t="s">
        <v>1836</v>
      </c>
    </row>
    <row r="19" spans="1:19">
      <c r="A19" s="1846"/>
      <c r="B19" s="50" t="s">
        <v>1809</v>
      </c>
      <c r="C19" s="3059" t="s">
        <v>3136</v>
      </c>
      <c r="D19" s="48">
        <f>ROUND($D$3*E19/$E$3,2)</f>
        <v>18185.939999999999</v>
      </c>
      <c r="E19" s="56">
        <f t="shared" ref="E19:E26" si="1">SUM(F19:G19)</f>
        <v>57972.040000000008</v>
      </c>
      <c r="F19" s="3016">
        <f>'数据-基础表'!I5</f>
        <v>57972.040000000008</v>
      </c>
      <c r="G19" s="3017"/>
      <c r="H19" s="678">
        <f>ROUND($D$3*I19/$E$3,2)</f>
        <v>467.32</v>
      </c>
      <c r="I19" s="51">
        <f t="shared" ref="I19:I26" si="2">IF($I$17="自定义",P19,M19)</f>
        <v>1489.71</v>
      </c>
      <c r="J19" s="1294"/>
      <c r="K19" s="1293">
        <f t="shared" ref="K19:K26" si="3">ROUND(E$28*E19/E$27,2)</f>
        <v>579.71</v>
      </c>
      <c r="L19" s="1150">
        <f t="shared" ref="L19:L26" si="4">ROUND(IF(COUNTIF(C19,"*住宅*")&gt;0,E$29*E19/E$32,0),2)</f>
        <v>910</v>
      </c>
      <c r="M19" s="1305">
        <f>K19+L19</f>
        <v>1489.71</v>
      </c>
      <c r="N19" s="1847"/>
      <c r="O19" s="1848"/>
      <c r="P19" s="1305">
        <f>N19+O19</f>
        <v>0</v>
      </c>
      <c r="R19" s="1150">
        <f t="shared" ref="R19:S26" si="5">D19+H19</f>
        <v>18653.259999999998</v>
      </c>
      <c r="S19" s="1151">
        <f t="shared" si="5"/>
        <v>59461.750000000007</v>
      </c>
    </row>
    <row r="20" spans="1:19">
      <c r="A20" s="1849"/>
      <c r="B20" s="50" t="s">
        <v>1837</v>
      </c>
      <c r="C20" s="3059" t="s">
        <v>3138</v>
      </c>
      <c r="D20" s="48">
        <f t="shared" ref="D20:D26" si="6">ROUND($D$3*E20/$E$3,2)</f>
        <v>8636.2099999999991</v>
      </c>
      <c r="E20" s="56">
        <f t="shared" si="1"/>
        <v>27530</v>
      </c>
      <c r="F20" s="3016"/>
      <c r="G20" s="3017">
        <f>'数据-基础表'!K5</f>
        <v>27530</v>
      </c>
      <c r="H20" s="678">
        <f t="shared" ref="H20:H26" si="7">ROUND($D$3*I20/$E$3,2)</f>
        <v>86.36</v>
      </c>
      <c r="I20" s="51">
        <f t="shared" si="2"/>
        <v>275.29000000000002</v>
      </c>
      <c r="J20" s="1294"/>
      <c r="K20" s="1293">
        <f t="shared" si="3"/>
        <v>275.29000000000002</v>
      </c>
      <c r="L20" s="1150">
        <f t="shared" si="4"/>
        <v>0</v>
      </c>
      <c r="M20" s="1305">
        <f t="shared" ref="M20:M26" si="8">K20+L20</f>
        <v>275.29000000000002</v>
      </c>
      <c r="N20" s="1847"/>
      <c r="O20" s="1848"/>
      <c r="P20" s="1305">
        <f t="shared" ref="P20:P26" si="9">N20+O20</f>
        <v>0</v>
      </c>
      <c r="R20" s="1150">
        <f t="shared" si="5"/>
        <v>8722.57</v>
      </c>
      <c r="S20" s="1151">
        <f t="shared" si="5"/>
        <v>27805.29</v>
      </c>
    </row>
    <row r="21" spans="1:19">
      <c r="A21" s="1849"/>
      <c r="B21" s="50" t="s">
        <v>1837</v>
      </c>
      <c r="C21" s="3059" t="s">
        <v>3137</v>
      </c>
      <c r="D21" s="48">
        <f t="shared" si="6"/>
        <v>4548.68</v>
      </c>
      <c r="E21" s="56">
        <f t="shared" si="1"/>
        <v>14500</v>
      </c>
      <c r="F21" s="3016"/>
      <c r="G21" s="3017">
        <f>'数据-基础表'!M5</f>
        <v>14500</v>
      </c>
      <c r="H21" s="678">
        <f t="shared" si="7"/>
        <v>45.49</v>
      </c>
      <c r="I21" s="51">
        <f t="shared" si="2"/>
        <v>145</v>
      </c>
      <c r="J21" s="1294"/>
      <c r="K21" s="1293">
        <f t="shared" si="3"/>
        <v>145</v>
      </c>
      <c r="L21" s="1150">
        <f t="shared" si="4"/>
        <v>0</v>
      </c>
      <c r="M21" s="1305">
        <f t="shared" si="8"/>
        <v>145</v>
      </c>
      <c r="N21" s="1847"/>
      <c r="O21" s="1848"/>
      <c r="P21" s="1305">
        <f t="shared" si="9"/>
        <v>0</v>
      </c>
      <c r="R21" s="1150">
        <f t="shared" si="5"/>
        <v>4594.17</v>
      </c>
      <c r="S21" s="1151">
        <f t="shared" si="5"/>
        <v>14645</v>
      </c>
    </row>
    <row r="22" spans="1:19">
      <c r="A22" s="1849"/>
      <c r="B22" s="50" t="s">
        <v>1837</v>
      </c>
      <c r="C22" s="3059"/>
      <c r="D22" s="48">
        <f t="shared" si="6"/>
        <v>0</v>
      </c>
      <c r="E22" s="56">
        <f t="shared" si="1"/>
        <v>0</v>
      </c>
      <c r="F22" s="3018"/>
      <c r="G22" s="3019"/>
      <c r="H22" s="678">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8"/>
      <c r="G23" s="3019"/>
      <c r="H23" s="678">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8"/>
      <c r="G24" s="3019"/>
      <c r="H24" s="678">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8"/>
      <c r="G25" s="3019"/>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31370.829999999998</v>
      </c>
      <c r="E27" s="1296">
        <f>IF(SUM(E19:E26)='数据-基础表'!BA5,SUM(E19:E26),IF(F27="地上面积有误","面积有误","地下面积有误"))</f>
        <v>100002.04000000001</v>
      </c>
      <c r="F27" s="1295">
        <f>IF(SUM(F19:F26)=E8,SUM(F19:F26),"地上面积有误")</f>
        <v>57972.040000000008</v>
      </c>
      <c r="G27" s="1297">
        <f>SUM(G19:G26)</f>
        <v>42030</v>
      </c>
      <c r="H27" s="1298">
        <f>SUM(H19:H26)</f>
        <v>599.16999999999996</v>
      </c>
      <c r="I27" s="1299">
        <f>SUM(I19:I26)</f>
        <v>1910</v>
      </c>
      <c r="J27" s="1294"/>
      <c r="K27" s="1302">
        <f t="shared" ref="K27:P27" si="10">SUM(K19:K26)</f>
        <v>1000</v>
      </c>
      <c r="L27" s="1303">
        <f t="shared" si="10"/>
        <v>910</v>
      </c>
      <c r="M27" s="1306">
        <f t="shared" si="10"/>
        <v>1910</v>
      </c>
      <c r="N27" s="1302">
        <f t="shared" si="10"/>
        <v>0</v>
      </c>
      <c r="O27" s="1303">
        <f t="shared" si="10"/>
        <v>0</v>
      </c>
      <c r="P27" s="1304">
        <f t="shared" si="10"/>
        <v>0</v>
      </c>
      <c r="R27" s="1152">
        <f>IF(SUM(R19:R26)=$D$3,SUM(R19:R26),SUM(R19:R26)&amp;"误差"&amp;ROUND(SUM(R19:R26)-$D$3,2))</f>
        <v>31970</v>
      </c>
      <c r="S27" s="1150">
        <f>IF(SUM(S19:S26)=$E$3,SUM(S19:S26),SUM(S19:S26)&amp;"误差"&amp;ROUND(SUM(S19:S26)-E3,2))</f>
        <v>101912.04000000001</v>
      </c>
    </row>
    <row r="28" spans="1:19">
      <c r="A28" s="1849"/>
      <c r="B28" s="50" t="s">
        <v>1839</v>
      </c>
      <c r="C28" s="1162" t="s">
        <v>1840</v>
      </c>
      <c r="D28" s="48">
        <f>ROUND($D$3*E28/$E$3,2)</f>
        <v>313.7</v>
      </c>
      <c r="E28" s="56">
        <f>SUM(F28:G28)</f>
        <v>1000</v>
      </c>
      <c r="F28" s="60">
        <f>'数据-基础表'!BQ5+'数据-基础表'!BS5</f>
        <v>0</v>
      </c>
      <c r="G28" s="61">
        <f>'数据-基础表'!BR5+'数据-基础表'!BT5</f>
        <v>1000</v>
      </c>
      <c r="H28" s="2876"/>
      <c r="I28" s="2876"/>
      <c r="J28" s="2876"/>
      <c r="K28" s="2876"/>
      <c r="L28" s="2876"/>
      <c r="M28" s="2876"/>
      <c r="N28" s="2876"/>
      <c r="O28" s="2876"/>
      <c r="P28" s="2876"/>
    </row>
    <row r="29" spans="1:19">
      <c r="A29" s="1849"/>
      <c r="B29" s="50" t="s">
        <v>1839</v>
      </c>
      <c r="C29" s="1853" t="s">
        <v>1841</v>
      </c>
      <c r="D29" s="48">
        <f>ROUND($D$3*E29/$E$3,2)</f>
        <v>285.47000000000003</v>
      </c>
      <c r="E29" s="56">
        <f>SUM(F29:G29)</f>
        <v>910</v>
      </c>
      <c r="F29" s="62">
        <f>'数据-基础表'!BM5+'数据-基础表'!BO5</f>
        <v>10</v>
      </c>
      <c r="G29" s="63">
        <f>'数据-基础表'!BN5+'数据-基础表'!BP5</f>
        <v>900</v>
      </c>
      <c r="H29" s="2876"/>
      <c r="I29" s="2876"/>
      <c r="J29" s="2876"/>
      <c r="K29" s="2876"/>
      <c r="L29" s="2876"/>
      <c r="M29" s="2876"/>
      <c r="N29" s="2876"/>
      <c r="O29" s="2876"/>
      <c r="P29" s="2876"/>
    </row>
    <row r="30" spans="1:19" ht="15">
      <c r="A30" s="1849"/>
      <c r="B30" s="50"/>
      <c r="C30" s="1854" t="s">
        <v>1838</v>
      </c>
      <c r="D30" s="1295">
        <f>SUM(D28:D29)</f>
        <v>599.17000000000007</v>
      </c>
      <c r="E30" s="1295">
        <f>SUM(E28:E29)</f>
        <v>1910</v>
      </c>
      <c r="F30" s="1295">
        <f>SUM(F28:F29)</f>
        <v>10</v>
      </c>
      <c r="G30" s="1297">
        <f>SUM(G28:G29)</f>
        <v>1900</v>
      </c>
      <c r="H30" s="2876"/>
      <c r="I30" s="2876"/>
      <c r="J30" s="2876"/>
      <c r="K30" s="2876"/>
      <c r="L30" s="2876"/>
      <c r="M30" s="2876"/>
      <c r="N30" s="2876"/>
      <c r="O30" s="2876"/>
      <c r="P30" s="2876"/>
    </row>
    <row r="31" spans="1:19" ht="15.75" thickBot="1">
      <c r="A31" s="1855"/>
      <c r="B31" s="1856"/>
      <c r="C31" s="937" t="s">
        <v>1842</v>
      </c>
      <c r="D31" s="684">
        <f>D27+D30</f>
        <v>31970</v>
      </c>
      <c r="E31" s="684">
        <f>E27+E30</f>
        <v>101912.04000000001</v>
      </c>
      <c r="F31" s="685">
        <f>F27+F30</f>
        <v>57982.040000000008</v>
      </c>
      <c r="G31" s="686">
        <f>G27+G30</f>
        <v>43930</v>
      </c>
      <c r="H31" s="2876"/>
      <c r="I31" s="2876"/>
      <c r="J31" s="2876"/>
      <c r="K31" s="2876"/>
      <c r="L31" s="2876"/>
      <c r="M31" s="2876"/>
      <c r="N31" s="2876"/>
      <c r="O31" s="2876"/>
      <c r="P31" s="2876"/>
    </row>
    <row r="32" spans="1:19">
      <c r="A32" s="1822"/>
      <c r="B32" s="1822" t="s">
        <v>1843</v>
      </c>
      <c r="C32" s="1822"/>
      <c r="D32" s="1822"/>
      <c r="E32" s="1177">
        <f>SUMIF(C19:C26,"*住宅*",E19:E26)</f>
        <v>57972.040000000008</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7"/>
      <c r="C1" s="1345"/>
      <c r="D1" s="1859"/>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8" customFormat="1" ht="15.75" thickBot="1">
      <c r="A2" s="1862" t="s">
        <v>1845</v>
      </c>
      <c r="B2" s="1169">
        <f>项目基本情况!D3</f>
        <v>44187</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1865</v>
      </c>
      <c r="O5" s="1881" t="s">
        <v>1866</v>
      </c>
      <c r="P5" s="1884" t="s">
        <v>1867</v>
      </c>
      <c r="Q5" s="65" t="s">
        <v>1868</v>
      </c>
      <c r="R5" s="1885" t="s">
        <v>1869</v>
      </c>
      <c r="S5" s="1886" t="s">
        <v>1870</v>
      </c>
      <c r="T5" s="1887" t="s">
        <v>1871</v>
      </c>
      <c r="U5" s="1170" t="s">
        <v>1872</v>
      </c>
      <c r="V5" s="1171" t="s">
        <v>1873</v>
      </c>
      <c r="W5" s="1171" t="s">
        <v>1874</v>
      </c>
      <c r="X5" s="67"/>
      <c r="Y5" s="66" t="s">
        <v>1875</v>
      </c>
      <c r="Z5" s="1888" t="s">
        <v>1872</v>
      </c>
      <c r="AA5" s="1171" t="s">
        <v>1873</v>
      </c>
      <c r="AB5" s="1171" t="s">
        <v>1874</v>
      </c>
      <c r="AC5" s="67"/>
      <c r="AD5" s="67" t="s">
        <v>1875</v>
      </c>
      <c r="AE5" s="1170" t="s">
        <v>1876</v>
      </c>
      <c r="AF5" s="1171" t="s">
        <v>1877</v>
      </c>
      <c r="AG5" s="66" t="s">
        <v>1878</v>
      </c>
      <c r="AH5" s="1170" t="s">
        <v>1879</v>
      </c>
      <c r="AI5" s="1888" t="s">
        <v>1880</v>
      </c>
      <c r="AJ5" s="1888" t="s">
        <v>1881</v>
      </c>
      <c r="AK5" s="1171" t="s">
        <v>1882</v>
      </c>
      <c r="AL5" s="1171" t="s">
        <v>1883</v>
      </c>
      <c r="AM5" s="66" t="s">
        <v>1884</v>
      </c>
      <c r="AN5" s="1889" t="s">
        <v>1885</v>
      </c>
      <c r="AO5" s="1741" t="s">
        <v>1886</v>
      </c>
      <c r="AP5" s="1152"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住宅</v>
      </c>
      <c r="B6" s="1892" t="str">
        <f>IF(A6=0,"","经营性")</f>
        <v>经营性</v>
      </c>
      <c r="C6" s="1893" t="s">
        <v>3090</v>
      </c>
      <c r="D6" s="960">
        <f>SUMIF(项目基本情况!D$12:I$12,C6,项目基本情况!D$14:I$14)</f>
        <v>70</v>
      </c>
      <c r="E6" s="959">
        <f>IF(B6="","",SUMIF(项目基本情况!D$12:I$12,C6,项目基本情况!D$13:I$13))</f>
        <v>68296</v>
      </c>
      <c r="F6" s="68">
        <f>SUMIF(项目基本情况!D$12:I$12,C6,项目基本情况!D$15:I$15)</f>
        <v>66.05</v>
      </c>
      <c r="G6" s="69">
        <f t="shared" ref="G6:G13" si="0">IF(ISERROR(ROUND(POWER(1+H6,D6-F6)*(POWER(1+H6,F6)-1)/(POWER(1+H6,D6)-1),3)),0,ROUND(POWER(1+H6,D6-F6)*(POWER(1+H6,F6)-1)/(POWER(1+H6,D6)-1),3))</f>
        <v>0.98899999999999999</v>
      </c>
      <c r="H6" s="740">
        <v>0.04</v>
      </c>
      <c r="I6" s="740">
        <v>4.4999999999999998E-2</v>
      </c>
      <c r="J6" s="70">
        <v>8.5000000000000006E-2</v>
      </c>
      <c r="K6" s="1154">
        <f>SUMIF('数据-汇总表'!C$19:C$33,A6,'数据-汇总表'!E$19:E$33)</f>
        <v>57972.040000000008</v>
      </c>
      <c r="L6" s="3087">
        <v>4000</v>
      </c>
      <c r="M6" s="71">
        <f t="shared" ref="M6:M14" si="1">ROUND(K6*L6/10000,0)</f>
        <v>23189</v>
      </c>
      <c r="N6" s="739">
        <v>0.6</v>
      </c>
      <c r="O6" s="71">
        <f>IF($N$5="成新度","——",ROUND(M6*N6,0))</f>
        <v>13913</v>
      </c>
      <c r="P6" s="72">
        <f>IF($N$5="成新度","——",M6-O6)</f>
        <v>9276</v>
      </c>
      <c r="Q6" s="742">
        <v>0.1</v>
      </c>
      <c r="R6" s="73">
        <f ca="1">SUMIF('数据-汇总表'!C$19:C$33,A6,'数据-汇总表'!R$19:R$27)</f>
        <v>18653.259999999998</v>
      </c>
      <c r="S6" s="54">
        <f>IF('数据-汇总表'!$I$17="按面积比例",SUMIF('数据-汇总表'!C$19:C$33,A6,'数据-汇总表'!K$19:K$33),SUMIF('数据-汇总表'!C$19:C$33,A6,'数据-汇总表'!N$19:N$33))</f>
        <v>579.71</v>
      </c>
      <c r="T6" s="1327">
        <f>ROUND($L$14*S6/10000,0)</f>
        <v>174</v>
      </c>
      <c r="U6" s="3060">
        <v>4.5</v>
      </c>
      <c r="V6" s="3061">
        <v>2.5000000000000001E-2</v>
      </c>
      <c r="W6" s="75">
        <v>0.1</v>
      </c>
      <c r="X6" s="1164"/>
      <c r="Y6" s="76">
        <v>1</v>
      </c>
      <c r="Z6" s="77"/>
      <c r="AA6" s="70"/>
      <c r="AB6" s="70"/>
      <c r="AC6" s="1164"/>
      <c r="AD6" s="78"/>
      <c r="AE6" s="1165">
        <f ca="1">IF(AN6="",0,SUMIF(INDIRECT("'"&amp;AN6&amp;"'"&amp;"!E:E"),$AE$5,INDIRECT("'"&amp;AN6&amp;"'"&amp;"!F:F")))</f>
        <v>64.849999999999994</v>
      </c>
      <c r="AF6" s="1526"/>
      <c r="AG6" s="142">
        <f>IF(AF6="",0,AE6-AF6)</f>
        <v>0</v>
      </c>
      <c r="AH6" s="79"/>
      <c r="AI6" s="81">
        <v>365</v>
      </c>
      <c r="AJ6" s="82"/>
      <c r="AK6" s="83">
        <v>0.01</v>
      </c>
      <c r="AL6" s="84">
        <v>1.5E-3</v>
      </c>
      <c r="AM6" s="85">
        <v>0.01</v>
      </c>
      <c r="AN6" s="1894" t="s">
        <v>3142</v>
      </c>
      <c r="AO6" s="55">
        <f ca="1">SUMIF(INDIRECT("'"&amp;AN6&amp;"'"&amp;"!A:A"),"总价",INDIRECT("'"&amp;AN6&amp;"'"&amp;"!B:B"))</f>
        <v>237325</v>
      </c>
      <c r="AP6" s="1895">
        <f>IF(C6="住宅",K6*L6,0)</f>
        <v>231888160.00000003</v>
      </c>
      <c r="AQ6" s="55">
        <f>ROUND($L$14*$N$14*S6/10000,0)</f>
        <v>104</v>
      </c>
      <c r="AR6" s="55">
        <f>ROUND($L$14*(1-$N$14)*S6/10000,0)</f>
        <v>70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仓储</v>
      </c>
      <c r="B7" s="1892" t="str">
        <f t="shared" ref="B7:B13" si="2">IF(A7=0,"","经营性")</f>
        <v>经营性</v>
      </c>
      <c r="C7" s="1893" t="s">
        <v>3131</v>
      </c>
      <c r="D7" s="960">
        <f>SUMIF(项目基本情况!D$12:I$12,C7,项目基本情况!D$14:I$14)</f>
        <v>50</v>
      </c>
      <c r="E7" s="959">
        <f>IF(B7="","",SUMIF(项目基本情况!D$12:I$12,C7,项目基本情况!D$13:I$13))</f>
        <v>60991</v>
      </c>
      <c r="F7" s="68">
        <f>SUMIF(项目基本情况!D$12:I$12,C7,项目基本情况!D$15:I$15)</f>
        <v>46.03</v>
      </c>
      <c r="G7" s="69">
        <f t="shared" si="0"/>
        <v>0.97599999999999998</v>
      </c>
      <c r="H7" s="3088">
        <v>4.4999999999999998E-2</v>
      </c>
      <c r="I7" s="3088">
        <v>0.05</v>
      </c>
      <c r="J7" s="70">
        <v>8.5000000000000006E-2</v>
      </c>
      <c r="K7" s="1154">
        <f>SUMIF('数据-汇总表'!C$19:C$33,A7,'数据-汇总表'!E$19:E$33)</f>
        <v>27530</v>
      </c>
      <c r="L7" s="741">
        <v>3000</v>
      </c>
      <c r="M7" s="71">
        <f t="shared" si="1"/>
        <v>8259</v>
      </c>
      <c r="N7" s="739">
        <f>N6</f>
        <v>0.6</v>
      </c>
      <c r="O7" s="71">
        <f t="shared" ref="O7:O14" si="3">IF($N$5="成新度","——",ROUND(M7*N7,0))</f>
        <v>4955</v>
      </c>
      <c r="P7" s="72">
        <f t="shared" ref="P7:P14" si="4">IF($N$5="成新度","——",M7-O7)</f>
        <v>3304</v>
      </c>
      <c r="Q7" s="742">
        <v>0.05</v>
      </c>
      <c r="R7" s="73">
        <f ca="1">SUMIF('数据-汇总表'!C$19:C$33,A7,'数据-汇总表'!R$19:R$27)</f>
        <v>8722.57</v>
      </c>
      <c r="S7" s="54">
        <f>IF('数据-汇总表'!$I$17="按面积比例",SUMIF('数据-汇总表'!C$19:C$33,A7,'数据-汇总表'!K$19:K$33),SUMIF('数据-汇总表'!C$19:C$33,A7,'数据-汇总表'!N$19:N$33))</f>
        <v>275.29000000000002</v>
      </c>
      <c r="T7" s="1327">
        <f t="shared" ref="T7:T13" si="5">ROUND($L$14*S7/10000,0)</f>
        <v>83</v>
      </c>
      <c r="U7" s="74">
        <v>2.5</v>
      </c>
      <c r="V7" s="75">
        <v>2.5000000000000001E-2</v>
      </c>
      <c r="W7" s="75">
        <v>0.1</v>
      </c>
      <c r="X7" s="1164"/>
      <c r="Y7" s="76">
        <v>1</v>
      </c>
      <c r="Z7" s="77"/>
      <c r="AA7" s="70"/>
      <c r="AB7" s="70"/>
      <c r="AC7" s="1164"/>
      <c r="AD7" s="78"/>
      <c r="AE7" s="1165">
        <f t="shared" ref="AE7:AE13" ca="1" si="6">IF(AN7="",0,SUMIF(INDIRECT("'"&amp;AN7&amp;"'"&amp;"!E:E"),$AE$5,INDIRECT("'"&amp;AN7&amp;"'"&amp;"!F:F")))</f>
        <v>44.83</v>
      </c>
      <c r="AF7" s="1526"/>
      <c r="AG7" s="142">
        <f t="shared" ref="AG7:AG13" si="7">IF(AF7="",0,AE7-AF7)</f>
        <v>0</v>
      </c>
      <c r="AH7" s="79"/>
      <c r="AI7" s="81">
        <v>365</v>
      </c>
      <c r="AJ7" s="82"/>
      <c r="AK7" s="83">
        <v>0.01</v>
      </c>
      <c r="AL7" s="84">
        <f>AL6</f>
        <v>1.5E-3</v>
      </c>
      <c r="AM7" s="85">
        <v>0.01</v>
      </c>
      <c r="AN7" s="1894" t="s">
        <v>3144</v>
      </c>
      <c r="AO7" s="55">
        <f t="shared" ref="AO7:AO13" ca="1" si="8">SUMIF(INDIRECT("'"&amp;AN7&amp;"'"&amp;"!A:A"),"总价",INDIRECT("'"&amp;AN7&amp;"'"&amp;"!B:B"))</f>
        <v>45575</v>
      </c>
      <c r="AP7" s="1895">
        <f t="shared" ref="AP7:AP13" si="9">IF(C7="住宅",K7*L7,0)</f>
        <v>0</v>
      </c>
      <c r="AQ7" s="55">
        <f t="shared" ref="AQ7:AQ13" si="10">ROUND($L$14*$N$14*S7/10000,0)</f>
        <v>50</v>
      </c>
      <c r="AR7" s="55">
        <f t="shared" ref="AR7:AR13" si="11">ROUND($L$14*(1-$N$14)*S7/10000,0)</f>
        <v>33</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2"/>
        <v>经营性</v>
      </c>
      <c r="C8" s="1893" t="s">
        <v>3135</v>
      </c>
      <c r="D8" s="960">
        <f>SUMIF(项目基本情况!D$12:I$12,C8,项目基本情况!D$14:I$14)</f>
        <v>50</v>
      </c>
      <c r="E8" s="959">
        <f>IF(B8="","",SUMIF(项目基本情况!D$12:I$12,C8,项目基本情况!D$13:I$13))</f>
        <v>60991</v>
      </c>
      <c r="F8" s="68">
        <f>SUMIF(项目基本情况!D$12:I$12,C8,项目基本情况!D$15:I$15)</f>
        <v>46.03</v>
      </c>
      <c r="G8" s="69">
        <f t="shared" si="0"/>
        <v>0.97599999999999998</v>
      </c>
      <c r="H8" s="3088">
        <v>4.4999999999999998E-2</v>
      </c>
      <c r="I8" s="3088">
        <v>0.05</v>
      </c>
      <c r="J8" s="70">
        <v>8.5000000000000006E-2</v>
      </c>
      <c r="K8" s="1154">
        <f>SUMIF('数据-汇总表'!C$19:C$33,A8,'数据-汇总表'!E$19:E$33)</f>
        <v>14500</v>
      </c>
      <c r="L8" s="741">
        <v>3000</v>
      </c>
      <c r="M8" s="71">
        <f>ROUND(K8*L8/10000,0)</f>
        <v>4350</v>
      </c>
      <c r="N8" s="739">
        <f>N6</f>
        <v>0.6</v>
      </c>
      <c r="O8" s="71">
        <f t="shared" si="3"/>
        <v>2610</v>
      </c>
      <c r="P8" s="72">
        <f t="shared" si="4"/>
        <v>1740</v>
      </c>
      <c r="Q8" s="742">
        <v>0.05</v>
      </c>
      <c r="R8" s="73">
        <f ca="1">SUMIF('数据-汇总表'!C$19:C$33,A8,'数据-汇总表'!R$19:R$27)</f>
        <v>4594.17</v>
      </c>
      <c r="S8" s="54">
        <f>IF('数据-汇总表'!$I$17="按面积比例",SUMIF('数据-汇总表'!C$19:C$33,A8,'数据-汇总表'!K$19:K$33),SUMIF('数据-汇总表'!C$19:C$33,A8,'数据-汇总表'!N$19:N$33))</f>
        <v>145</v>
      </c>
      <c r="T8" s="1327">
        <f t="shared" si="5"/>
        <v>44</v>
      </c>
      <c r="U8" s="74">
        <v>1000</v>
      </c>
      <c r="V8" s="75">
        <v>0.02</v>
      </c>
      <c r="W8" s="75">
        <v>0.1</v>
      </c>
      <c r="X8" s="1164"/>
      <c r="Y8" s="76">
        <v>1</v>
      </c>
      <c r="Z8" s="77"/>
      <c r="AA8" s="70"/>
      <c r="AB8" s="70"/>
      <c r="AC8" s="1164"/>
      <c r="AD8" s="78"/>
      <c r="AE8" s="1165">
        <f t="shared" ca="1" si="6"/>
        <v>44.83</v>
      </c>
      <c r="AF8" s="1526"/>
      <c r="AG8" s="142">
        <f t="shared" si="7"/>
        <v>0</v>
      </c>
      <c r="AH8" s="743">
        <f>面积明细表!S22+面积明细表!T22*5</f>
        <v>342</v>
      </c>
      <c r="AI8" s="81">
        <v>12</v>
      </c>
      <c r="AJ8" s="82"/>
      <c r="AK8" s="83">
        <v>0.01</v>
      </c>
      <c r="AL8" s="84">
        <f>AL6</f>
        <v>1.5E-3</v>
      </c>
      <c r="AM8" s="85">
        <v>0.01</v>
      </c>
      <c r="AN8" s="1894" t="s">
        <v>3146</v>
      </c>
      <c r="AO8" s="55">
        <f t="shared" ca="1" si="8"/>
        <v>5600</v>
      </c>
      <c r="AP8" s="1895">
        <f t="shared" si="9"/>
        <v>0</v>
      </c>
      <c r="AQ8" s="55">
        <f t="shared" si="10"/>
        <v>26</v>
      </c>
      <c r="AR8" s="55">
        <f t="shared" si="11"/>
        <v>17</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2"/>
        <v/>
      </c>
      <c r="C9" s="1893"/>
      <c r="D9" s="960">
        <f>SUMIF(项目基本情况!D$12:I$12,C9,项目基本情况!D$14:I$14)</f>
        <v>0</v>
      </c>
      <c r="E9" s="959" t="str">
        <f>IF(B9="","",SUMIF(项目基本情况!D$12:I$12,C9,项目基本情况!D$13:I$13))</f>
        <v/>
      </c>
      <c r="F9" s="68">
        <f>SUMIF(项目基本情况!D$12:I$12,C9,项目基本情况!D$15:I$15)</f>
        <v>0</v>
      </c>
      <c r="G9" s="69">
        <f t="shared" si="0"/>
        <v>0</v>
      </c>
      <c r="H9" s="3088"/>
      <c r="I9" s="3088"/>
      <c r="J9" s="70"/>
      <c r="K9" s="1154">
        <f>SUMIF('数据-汇总表'!C$19:C$33,A9,'数据-汇总表'!E$19:E$33)</f>
        <v>0</v>
      </c>
      <c r="L9" s="741"/>
      <c r="M9" s="71">
        <f t="shared" si="1"/>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6"/>
      <c r="AG9" s="142">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2"/>
        <v/>
      </c>
      <c r="C10" s="1893"/>
      <c r="D10" s="960">
        <f>SUMIF(项目基本情况!D$12:I$12,C10,项目基本情况!D$14:I$14)</f>
        <v>0</v>
      </c>
      <c r="E10" s="959" t="str">
        <f>IF(B10="","",SUMIF(项目基本情况!D$12:I$12,C10,项目基本情况!D$13:I$13))</f>
        <v/>
      </c>
      <c r="F10" s="68">
        <f>SUMIF(项目基本情况!D$12:I$12,C10,项目基本情况!D$15:I$15)</f>
        <v>0</v>
      </c>
      <c r="G10" s="69">
        <f t="shared" si="0"/>
        <v>0</v>
      </c>
      <c r="H10" s="70"/>
      <c r="I10" s="70"/>
      <c r="J10" s="70"/>
      <c r="K10" s="1154">
        <f>SUMIF('数据-汇总表'!C$19:C$33,A10,'数据-汇总表'!E$19:E$33)</f>
        <v>0</v>
      </c>
      <c r="L10" s="741"/>
      <c r="M10" s="71">
        <f t="shared" si="1"/>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6"/>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2"/>
        <v/>
      </c>
      <c r="C11" s="1893"/>
      <c r="D11" s="960">
        <f>SUMIF(项目基本情况!D$12:I$12,C11,项目基本情况!D$14:I$14)</f>
        <v>0</v>
      </c>
      <c r="E11" s="959" t="str">
        <f>IF(B11="","",SUMIF(项目基本情况!D$12:I$12,C11,项目基本情况!D$13:I$13))</f>
        <v/>
      </c>
      <c r="F11" s="68">
        <f>SUMIF(项目基本情况!D$12:I$12,C11,项目基本情况!D$15:I$15)</f>
        <v>0</v>
      </c>
      <c r="G11" s="69">
        <f t="shared" si="0"/>
        <v>0</v>
      </c>
      <c r="H11" s="70"/>
      <c r="I11" s="70"/>
      <c r="J11" s="70"/>
      <c r="K11" s="1154">
        <f>SUMIF('数据-汇总表'!C$19:C$33,A11,'数据-汇总表'!E$19:E$33)</f>
        <v>0</v>
      </c>
      <c r="L11" s="741"/>
      <c r="M11" s="71">
        <f t="shared" si="1"/>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8"/>
      <c r="AA11" s="70"/>
      <c r="AB11" s="70"/>
      <c r="AC11" s="1164"/>
      <c r="AD11" s="78"/>
      <c r="AE11" s="1165">
        <f t="shared" ca="1" si="6"/>
        <v>0</v>
      </c>
      <c r="AF11" s="1526"/>
      <c r="AG11" s="142">
        <f t="shared" si="7"/>
        <v>0</v>
      </c>
      <c r="AH11" s="79"/>
      <c r="AI11" s="81"/>
      <c r="AJ11" s="82"/>
      <c r="AK11" s="89"/>
      <c r="AL11" s="90"/>
      <c r="AM11" s="91"/>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2"/>
        <v/>
      </c>
      <c r="C12" s="1893"/>
      <c r="D12" s="960">
        <f>SUMIF(项目基本情况!D$12:I$12,C12,项目基本情况!D$14:I$14)</f>
        <v>0</v>
      </c>
      <c r="E12" s="959" t="str">
        <f>IF(B12="","",SUMIF(项目基本情况!D$12:I$12,C12,项目基本情况!D$13:I$13))</f>
        <v/>
      </c>
      <c r="F12" s="68">
        <f>SUMIF(项目基本情况!D$12:I$12,C12,项目基本情况!D$15:I$15)</f>
        <v>0</v>
      </c>
      <c r="G12" s="69">
        <f t="shared" si="0"/>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6"/>
      <c r="AG12" s="142">
        <f t="shared" si="7"/>
        <v>0</v>
      </c>
      <c r="AH12" s="79"/>
      <c r="AI12" s="81"/>
      <c r="AJ12" s="82"/>
      <c r="AK12" s="89"/>
      <c r="AL12" s="90"/>
      <c r="AM12" s="91"/>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2"/>
        <v/>
      </c>
      <c r="C13" s="1893"/>
      <c r="D13" s="960">
        <f>SUMIF(项目基本情况!D$12:I$12,C13,项目基本情况!D$14:I$14)</f>
        <v>0</v>
      </c>
      <c r="E13" s="959" t="str">
        <f>IF(B13="","",SUMIF(项目基本情况!D$12:I$12,C13,项目基本情况!D$13:I$13))</f>
        <v/>
      </c>
      <c r="F13" s="68">
        <f>SUMIF(项目基本情况!D$12:I$12,C13,项目基本情况!D$15:I$15)</f>
        <v>0</v>
      </c>
      <c r="G13" s="69">
        <f t="shared" si="0"/>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6"/>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0"/>
      <c r="E14" s="959"/>
      <c r="F14" s="68"/>
      <c r="G14" s="69"/>
      <c r="H14" s="1153"/>
      <c r="I14" s="1153"/>
      <c r="J14" s="1153"/>
      <c r="K14" s="1154">
        <f>SUMIF('数据-汇总表'!C$19:C$33,A14,'数据-汇总表'!E$19:E$33)</f>
        <v>1000</v>
      </c>
      <c r="L14" s="741">
        <f>L8</f>
        <v>3000</v>
      </c>
      <c r="M14" s="71">
        <f t="shared" si="1"/>
        <v>300</v>
      </c>
      <c r="N14" s="87">
        <f>N6</f>
        <v>0.6</v>
      </c>
      <c r="O14" s="71">
        <f t="shared" si="3"/>
        <v>180</v>
      </c>
      <c r="P14" s="72">
        <f t="shared" si="4"/>
        <v>120</v>
      </c>
      <c r="Q14" s="1157"/>
      <c r="R14" s="73"/>
      <c r="S14" s="54"/>
      <c r="T14" s="1327"/>
      <c r="U14" s="678"/>
      <c r="V14" s="1159"/>
      <c r="W14" s="1159"/>
      <c r="X14" s="1160"/>
      <c r="Y14" s="1161"/>
      <c r="Z14" s="1162"/>
      <c r="AA14" s="1163"/>
      <c r="AB14" s="1163"/>
      <c r="AC14" s="1164"/>
      <c r="AD14" s="1160"/>
      <c r="AE14" s="1165"/>
      <c r="AF14" s="55"/>
      <c r="AG14" s="142"/>
      <c r="AH14" s="1165"/>
      <c r="AI14" s="1535"/>
      <c r="AJ14" s="712"/>
      <c r="AK14" s="1166"/>
      <c r="AL14" s="1167"/>
      <c r="AM14" s="1168"/>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0"/>
      <c r="E15" s="959"/>
      <c r="F15" s="68"/>
      <c r="G15" s="69"/>
      <c r="H15" s="1153"/>
      <c r="I15" s="1153"/>
      <c r="J15" s="1153"/>
      <c r="K15" s="1154">
        <f>SUMIF('数据-汇总表'!C$19:C$33,A15,'数据-汇总表'!E$19:E$33)</f>
        <v>910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5"/>
      <c r="AJ15" s="712"/>
      <c r="AK15" s="1166"/>
      <c r="AL15" s="1167"/>
      <c r="AM15" s="1168"/>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5"/>
      <c r="D16" s="1899"/>
      <c r="E16" s="92"/>
      <c r="F16" s="92"/>
      <c r="G16" s="93">
        <f>ROUND(SUMPRODUCT(G6:G13,K6:K13)/SUMPRODUCT((G6:G13&gt;0)*(K6:K13)),3)</f>
        <v>0.98399999999999999</v>
      </c>
      <c r="H16" s="94">
        <f>ROUND(SUMPRODUCT(H6:H13,K6:K13)/SUMPRODUCT((H6:H13&gt;0)*(K6:K13)),3)</f>
        <v>4.2000000000000003E-2</v>
      </c>
      <c r="I16" s="95"/>
      <c r="J16" s="95"/>
      <c r="K16" s="96">
        <f>SUM(K6:K15)</f>
        <v>101912.04000000001</v>
      </c>
      <c r="L16" s="97">
        <f>ROUND(M16*10000/SUM(K6:K14),0)</f>
        <v>3574</v>
      </c>
      <c r="M16" s="97">
        <f>SUM(M6:M14)</f>
        <v>36098</v>
      </c>
      <c r="N16" s="98">
        <f>ROUND(SUMPRODUCT(M6:M14,N6:N14)/M16,3)</f>
        <v>0.6</v>
      </c>
      <c r="O16" s="97">
        <f>SUM(O6:O14)</f>
        <v>21658</v>
      </c>
      <c r="P16" s="97">
        <f>SUM(P6:P14)</f>
        <v>14440</v>
      </c>
      <c r="Q16" s="99">
        <f>ROUND(SUMPRODUCT(Q6:Q13,K6:K13)/SUMPRODUCT((Q6:Q13&gt;0)*(K6:K13)),2)</f>
        <v>0.08</v>
      </c>
      <c r="R16" s="1158">
        <f ca="1">SUM(R6:R13)</f>
        <v>31970</v>
      </c>
      <c r="S16" s="100">
        <f>SUM(S6:S13)</f>
        <v>1000</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1896</v>
      </c>
      <c r="B19" s="107">
        <v>0</v>
      </c>
      <c r="C19" s="3020" t="s">
        <v>3048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1897</v>
      </c>
      <c r="B20" s="108">
        <v>3</v>
      </c>
      <c r="C20" s="3021" t="s">
        <v>3046</v>
      </c>
      <c r="D20" s="2895"/>
      <c r="E20" s="2892"/>
      <c r="F20" s="2892"/>
      <c r="G20" s="2892"/>
      <c r="H20" s="2892"/>
      <c r="I20" s="2892"/>
      <c r="J20" s="2892"/>
      <c r="K20" s="3085">
        <f>K6+K7</f>
        <v>85502.040000000008</v>
      </c>
      <c r="L20" s="2891">
        <f ca="1">'收益法-住宅'!F6*'收益法-住宅'!F7+'收益法-仓储'!F6*'收益法-仓储'!F7</f>
        <v>329699.18000000005</v>
      </c>
      <c r="M20" s="2890">
        <f ca="1">L20/K20</f>
        <v>3.8560387565021843</v>
      </c>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1898</v>
      </c>
      <c r="B21" s="108">
        <f>ROUND(B20*N16,2)</f>
        <v>1.8</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2" t="s">
        <v>1899</v>
      </c>
      <c r="B22" s="109">
        <f>B19+B20</f>
        <v>3</v>
      </c>
      <c r="C22" s="2892"/>
      <c r="D22" s="2895"/>
      <c r="E22" s="2892"/>
      <c r="F22" s="2892"/>
      <c r="G22" s="2892"/>
      <c r="H22" s="2892"/>
      <c r="I22" s="2892"/>
      <c r="J22" s="2892"/>
      <c r="K22" s="2891"/>
      <c r="L22" s="2891">
        <f>K6*V6+K7*V7</f>
        <v>2137.5510000000004</v>
      </c>
      <c r="M22" s="2890">
        <f>L22/K20</f>
        <v>2.5000000000000001E-2</v>
      </c>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1900</v>
      </c>
      <c r="B23" s="109">
        <f>B19+B21</f>
        <v>1.8</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1901</v>
      </c>
      <c r="B24" s="110">
        <f>B20-B21</f>
        <v>1.2</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2" t="s">
        <v>1902</v>
      </c>
      <c r="B26" s="1905"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1905</v>
      </c>
      <c r="B27" s="111">
        <v>160</v>
      </c>
      <c r="C27" s="3022" t="s">
        <v>3050</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1906</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1907</v>
      </c>
      <c r="B29" s="116">
        <f ca="1">成本法!C9+成本法!C10</f>
        <v>1807</v>
      </c>
      <c r="C29" s="3023" t="s">
        <v>3036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1908</v>
      </c>
      <c r="B30" s="679">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1910</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1911</v>
      </c>
      <c r="B33" s="681">
        <v>0.05</v>
      </c>
      <c r="C33" s="3024" t="s">
        <v>3037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1912</v>
      </c>
      <c r="B34" s="117">
        <v>0.03</v>
      </c>
      <c r="C34" s="3024" t="s">
        <v>3038</v>
      </c>
      <c r="D34" s="2903" t="s">
        <v>3047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1913</v>
      </c>
      <c r="B35" s="114">
        <v>200</v>
      </c>
      <c r="C35" s="3024" t="s">
        <v>3039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1914</v>
      </c>
      <c r="B36" s="118">
        <v>1.4999999999999999E-2</v>
      </c>
      <c r="C36" s="3024" t="s">
        <v>3040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1915</v>
      </c>
      <c r="B37" s="119">
        <v>0.02</v>
      </c>
      <c r="C37" s="3024" t="s">
        <v>3041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1916</v>
      </c>
      <c r="B38" s="117">
        <v>0.02</v>
      </c>
      <c r="C38" s="3024" t="s">
        <v>3041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1917</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1" t="s">
        <v>1918</v>
      </c>
      <c r="B40" s="1203">
        <f ca="1">存贷款利率!G1</f>
        <v>4.7500000000000001E-2</v>
      </c>
      <c r="C40" s="3024" t="s">
        <v>3042</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1922</v>
      </c>
      <c r="B44" s="123">
        <v>7.0000000000000007E-2</v>
      </c>
      <c r="C44" s="3024" t="s">
        <v>3051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1923</v>
      </c>
      <c r="B45" s="121">
        <v>0.03</v>
      </c>
      <c r="C45" s="3023" t="s">
        <v>3043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1924</v>
      </c>
      <c r="B46" s="121">
        <v>0.02</v>
      </c>
      <c r="C46" s="3023" t="s">
        <v>3044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1925</v>
      </c>
      <c r="B47" s="124"/>
      <c r="C47" s="3026" t="s">
        <v>3052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1926</v>
      </c>
      <c r="B48" s="125">
        <v>0.03</v>
      </c>
      <c r="C48" s="3023" t="s">
        <v>3043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1927</v>
      </c>
      <c r="B49" s="121">
        <v>5.0000000000000001E-4</v>
      </c>
      <c r="C49" s="3023" t="s">
        <v>3045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1928</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1929</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1930</v>
      </c>
      <c r="B52" s="128">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1931</v>
      </c>
      <c r="B53" s="1917" t="s">
        <v>523</v>
      </c>
      <c r="C53" s="2878" t="s">
        <v>1932</v>
      </c>
      <c r="D53" s="3025" t="s">
        <v>3049</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1933</v>
      </c>
      <c r="B54" s="80">
        <f t="shared" ref="B54:B59" si="12">C54</f>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1934</v>
      </c>
      <c r="B55" s="80">
        <f t="shared" si="12"/>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1935</v>
      </c>
      <c r="B56" s="80">
        <f t="shared" si="12"/>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1936</v>
      </c>
      <c r="B57" s="80">
        <f t="shared" si="12"/>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1937</v>
      </c>
      <c r="B58" s="80">
        <f t="shared" si="12"/>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1938</v>
      </c>
      <c r="B59" s="80">
        <f t="shared" si="12"/>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1940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1941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1942</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4"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4"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4"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4"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4"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4" customFormat="1">
      <c r="A69" s="1920"/>
      <c r="D69" s="1921"/>
      <c r="K69" s="736"/>
      <c r="L69" s="736"/>
    </row>
    <row r="70" spans="1:44" s="894" customFormat="1">
      <c r="A70" s="1920"/>
      <c r="D70" s="1921"/>
      <c r="K70" s="736"/>
      <c r="L70" s="736"/>
    </row>
    <row r="71" spans="1:44" s="894" customFormat="1">
      <c r="A71" s="1920"/>
      <c r="D71" s="1921"/>
      <c r="K71" s="736"/>
      <c r="L71" s="736"/>
    </row>
    <row r="72" spans="1:44" s="894" customFormat="1">
      <c r="A72" s="1920"/>
      <c r="D72" s="1921"/>
      <c r="K72" s="736"/>
      <c r="L72" s="736"/>
    </row>
    <row r="73" spans="1:44" s="894" customFormat="1">
      <c r="A73" s="1920"/>
      <c r="D73" s="1921"/>
      <c r="K73" s="736"/>
      <c r="L73" s="736"/>
    </row>
    <row r="74" spans="1:44" s="894" customFormat="1">
      <c r="A74" s="1920"/>
      <c r="D74" s="1921"/>
      <c r="K74" s="736"/>
      <c r="L74" s="736"/>
    </row>
    <row r="75" spans="1:44" s="894" customFormat="1">
      <c r="A75" s="1920"/>
      <c r="D75" s="1921"/>
      <c r="K75" s="736"/>
      <c r="L75" s="736"/>
    </row>
    <row r="76" spans="1:44" s="894" customFormat="1">
      <c r="A76" s="1920"/>
      <c r="D76" s="1921"/>
      <c r="K76" s="736"/>
      <c r="L76" s="736"/>
    </row>
    <row r="77" spans="1:44" s="894" customFormat="1">
      <c r="A77" s="1920"/>
      <c r="D77" s="1921"/>
      <c r="K77" s="736"/>
      <c r="L77" s="736"/>
    </row>
    <row r="78" spans="1:44" s="894" customFormat="1">
      <c r="A78" s="1920"/>
      <c r="D78" s="1921"/>
      <c r="K78" s="736"/>
      <c r="L78" s="736"/>
    </row>
    <row r="79" spans="1:44" s="894" customFormat="1">
      <c r="A79" s="1920"/>
      <c r="D79" s="1921"/>
      <c r="K79" s="736"/>
      <c r="L79" s="736"/>
    </row>
    <row r="80" spans="1:44" s="894" customFormat="1">
      <c r="A80" s="1920"/>
      <c r="D80" s="1921"/>
      <c r="K80" s="736"/>
      <c r="L80" s="736"/>
    </row>
    <row r="81" spans="1:12" s="894" customFormat="1">
      <c r="A81" s="1920"/>
      <c r="D81" s="1921"/>
      <c r="K81" s="736"/>
      <c r="L81" s="736"/>
    </row>
    <row r="82" spans="1:12" s="894" customFormat="1">
      <c r="A82" s="1920"/>
      <c r="D82" s="1921"/>
      <c r="K82" s="736"/>
      <c r="L82" s="736"/>
    </row>
    <row r="83" spans="1:12" s="894" customFormat="1">
      <c r="A83" s="1920"/>
      <c r="D83" s="1921"/>
      <c r="K83" s="736"/>
      <c r="L83" s="736"/>
    </row>
    <row r="84" spans="1:12" s="894" customFormat="1">
      <c r="A84" s="1920"/>
      <c r="D84" s="1921"/>
      <c r="K84" s="736"/>
      <c r="L84" s="736"/>
    </row>
    <row r="85" spans="1:12" s="894" customFormat="1">
      <c r="A85" s="1920"/>
      <c r="D85" s="1921"/>
      <c r="K85" s="736"/>
      <c r="L85" s="736"/>
    </row>
    <row r="86" spans="1:12" s="894" customFormat="1">
      <c r="A86" s="1920"/>
      <c r="D86" s="1921"/>
      <c r="K86" s="736"/>
      <c r="L86" s="736"/>
    </row>
    <row r="87" spans="1:12" s="894" customFormat="1">
      <c r="A87" s="1920"/>
      <c r="D87" s="1921"/>
      <c r="K87" s="736"/>
      <c r="L87" s="736"/>
    </row>
    <row r="88" spans="1:12" s="894" customFormat="1">
      <c r="A88" s="1920"/>
      <c r="D88" s="1921"/>
      <c r="K88" s="736"/>
      <c r="L88" s="736"/>
    </row>
    <row r="89" spans="1:12" s="894" customFormat="1">
      <c r="A89" s="1920"/>
      <c r="D89" s="1921"/>
      <c r="K89" s="736"/>
      <c r="L89" s="736"/>
    </row>
    <row r="90" spans="1:12" s="894" customFormat="1">
      <c r="A90" s="1920"/>
      <c r="D90" s="1921"/>
      <c r="K90" s="736"/>
      <c r="L90" s="736"/>
    </row>
    <row r="91" spans="1:12" s="894" customFormat="1">
      <c r="A91" s="1920"/>
      <c r="D91" s="1921"/>
      <c r="K91" s="736"/>
      <c r="L91" s="736"/>
    </row>
    <row r="92" spans="1:12" s="894" customFormat="1">
      <c r="A92" s="1920"/>
      <c r="D92" s="1921"/>
      <c r="K92" s="736"/>
      <c r="L92" s="736"/>
    </row>
    <row r="93" spans="1:12" s="894" customFormat="1">
      <c r="A93" s="1920"/>
      <c r="D93" s="1921"/>
      <c r="K93" s="736"/>
      <c r="L93" s="736"/>
    </row>
    <row r="94" spans="1:12" s="894" customFormat="1">
      <c r="A94" s="1920"/>
      <c r="D94" s="1921"/>
      <c r="K94" s="736"/>
      <c r="L94" s="736"/>
    </row>
    <row r="95" spans="1:12" s="894" customFormat="1">
      <c r="A95" s="1920"/>
      <c r="D95" s="1921"/>
      <c r="K95" s="736"/>
      <c r="L95" s="736"/>
    </row>
    <row r="96" spans="1:12" s="894" customFormat="1">
      <c r="A96" s="1920"/>
      <c r="D96" s="1921"/>
      <c r="K96" s="736"/>
      <c r="L96" s="736"/>
    </row>
    <row r="97" spans="1:12" s="894" customFormat="1">
      <c r="A97" s="1920"/>
      <c r="D97" s="1921"/>
      <c r="K97" s="736"/>
      <c r="L97" s="736"/>
    </row>
    <row r="98" spans="1:12" s="894" customFormat="1">
      <c r="A98" s="1920"/>
      <c r="D98" s="1921"/>
      <c r="K98" s="736"/>
      <c r="L98" s="736"/>
    </row>
    <row r="99" spans="1:12" s="894" customFormat="1">
      <c r="A99" s="1920"/>
      <c r="D99" s="1921"/>
      <c r="K99" s="736"/>
      <c r="L99" s="736"/>
    </row>
    <row r="100" spans="1:12" s="894" customFormat="1">
      <c r="A100" s="1920"/>
      <c r="D100" s="1921"/>
      <c r="K100" s="736"/>
      <c r="L100" s="736"/>
    </row>
    <row r="101" spans="1:12" s="894" customFormat="1">
      <c r="A101" s="1920"/>
      <c r="D101" s="1921"/>
      <c r="K101" s="736"/>
      <c r="L101" s="736"/>
    </row>
    <row r="102" spans="1:12" s="894" customFormat="1">
      <c r="A102" s="1920"/>
      <c r="D102" s="1921"/>
      <c r="K102" s="736"/>
      <c r="L102" s="736"/>
    </row>
    <row r="103" spans="1:12" s="894" customFormat="1">
      <c r="A103" s="1920"/>
      <c r="D103" s="1921"/>
      <c r="K103" s="736"/>
      <c r="L103" s="736"/>
    </row>
    <row r="104" spans="1:12" s="894" customFormat="1">
      <c r="A104" s="1920"/>
      <c r="D104" s="1921"/>
      <c r="K104" s="736"/>
      <c r="L104" s="736"/>
    </row>
    <row r="105" spans="1:12" s="894" customFormat="1">
      <c r="A105" s="1920"/>
      <c r="D105" s="1921"/>
      <c r="K105" s="736"/>
      <c r="L105" s="736"/>
    </row>
    <row r="106" spans="1:12" s="894" customFormat="1">
      <c r="A106" s="1920"/>
      <c r="D106" s="1921"/>
      <c r="K106" s="736"/>
      <c r="L106" s="736"/>
    </row>
    <row r="107" spans="1:12" s="894" customFormat="1">
      <c r="A107" s="1920"/>
      <c r="D107" s="1921"/>
      <c r="K107" s="736"/>
      <c r="L107" s="736"/>
    </row>
    <row r="108" spans="1:12" s="894" customFormat="1">
      <c r="A108" s="1920"/>
      <c r="D108" s="1921"/>
      <c r="K108" s="736"/>
      <c r="L108" s="736"/>
    </row>
    <row r="109" spans="1:12" s="894" customFormat="1">
      <c r="A109" s="1920"/>
      <c r="D109" s="1921"/>
      <c r="K109" s="736"/>
      <c r="L109" s="736"/>
    </row>
    <row r="110" spans="1:12" s="894" customFormat="1">
      <c r="A110" s="1920"/>
      <c r="D110" s="1921"/>
      <c r="K110" s="736"/>
      <c r="L110" s="736"/>
    </row>
    <row r="111" spans="1:12" s="894" customFormat="1">
      <c r="A111" s="1920"/>
      <c r="D111" s="1921"/>
      <c r="K111" s="736"/>
      <c r="L111" s="736"/>
    </row>
    <row r="112" spans="1:12" s="894" customFormat="1">
      <c r="A112" s="1920"/>
      <c r="D112" s="1921"/>
      <c r="K112" s="736"/>
      <c r="L112" s="736"/>
    </row>
    <row r="113" spans="1:12" s="894" customFormat="1">
      <c r="A113" s="1920"/>
      <c r="D113" s="1921"/>
      <c r="K113" s="736"/>
      <c r="L113" s="736"/>
    </row>
    <row r="114" spans="1:12" s="894" customFormat="1">
      <c r="A114" s="1920"/>
      <c r="D114" s="1921"/>
      <c r="K114" s="736"/>
      <c r="L114" s="736"/>
    </row>
    <row r="115" spans="1:12" s="894" customFormat="1">
      <c r="A115" s="1920"/>
      <c r="D115" s="1921"/>
      <c r="K115" s="736"/>
      <c r="L115" s="736"/>
    </row>
    <row r="116" spans="1:12" s="894" customFormat="1">
      <c r="A116" s="1920"/>
      <c r="D116" s="1921"/>
      <c r="K116" s="736"/>
      <c r="L116" s="736"/>
    </row>
    <row r="117" spans="1:12" s="894" customFormat="1">
      <c r="A117" s="1920"/>
      <c r="D117" s="1921"/>
      <c r="K117" s="736"/>
      <c r="L117" s="736"/>
    </row>
    <row r="118" spans="1:12" s="894" customFormat="1">
      <c r="A118" s="1920"/>
      <c r="D118" s="1921"/>
      <c r="K118" s="736"/>
      <c r="L118" s="736"/>
    </row>
    <row r="119" spans="1:12" s="894" customFormat="1">
      <c r="A119" s="1920"/>
      <c r="D119" s="1921"/>
      <c r="K119" s="736"/>
      <c r="L119" s="736"/>
    </row>
    <row r="120" spans="1:12" s="894" customFormat="1">
      <c r="A120" s="1920"/>
      <c r="D120" s="1921"/>
      <c r="K120" s="736"/>
      <c r="L120" s="736"/>
    </row>
    <row r="121" spans="1:12" s="894" customFormat="1">
      <c r="A121" s="1920"/>
      <c r="D121" s="1921"/>
      <c r="K121" s="736"/>
      <c r="L121" s="736"/>
    </row>
    <row r="122" spans="1:12" s="894" customFormat="1">
      <c r="A122" s="1920"/>
      <c r="D122" s="1921"/>
      <c r="K122" s="736"/>
      <c r="L122" s="736"/>
    </row>
    <row r="123" spans="1:12" s="894" customFormat="1">
      <c r="A123" s="1920"/>
      <c r="D123" s="1921"/>
      <c r="K123" s="736"/>
      <c r="L123" s="736"/>
    </row>
    <row r="124" spans="1:12" s="894" customFormat="1">
      <c r="A124" s="1920"/>
      <c r="D124" s="1921"/>
      <c r="K124" s="736"/>
      <c r="L124" s="736"/>
    </row>
    <row r="125" spans="1:12" s="894" customFormat="1">
      <c r="A125" s="1920"/>
      <c r="D125" s="1921"/>
      <c r="K125" s="736"/>
      <c r="L125" s="736"/>
    </row>
    <row r="126" spans="1:12" s="894" customFormat="1">
      <c r="A126" s="1920"/>
      <c r="D126" s="1921"/>
      <c r="K126" s="736"/>
      <c r="L126" s="736"/>
    </row>
    <row r="127" spans="1:12" s="894" customFormat="1">
      <c r="A127" s="1920"/>
      <c r="D127" s="1921"/>
      <c r="K127" s="736"/>
      <c r="L127" s="736"/>
    </row>
    <row r="128" spans="1:12" s="894" customFormat="1">
      <c r="A128" s="1920"/>
      <c r="D128" s="1921"/>
      <c r="K128" s="736"/>
      <c r="L128" s="736"/>
    </row>
    <row r="129" spans="1:12" s="894" customFormat="1">
      <c r="A129" s="1920"/>
      <c r="D129" s="1921"/>
      <c r="K129" s="736"/>
      <c r="L129" s="736"/>
    </row>
    <row r="130" spans="1:12" s="894" customFormat="1">
      <c r="A130" s="1920"/>
      <c r="D130" s="1921"/>
      <c r="K130" s="736"/>
      <c r="L130" s="736"/>
    </row>
    <row r="131" spans="1:12" s="894" customFormat="1">
      <c r="A131" s="1920"/>
      <c r="D131" s="1921"/>
      <c r="K131" s="736"/>
      <c r="L131" s="736"/>
    </row>
    <row r="132" spans="1:12" s="894" customFormat="1">
      <c r="A132" s="1920"/>
      <c r="D132" s="1921"/>
      <c r="K132" s="736"/>
      <c r="L132" s="736"/>
    </row>
    <row r="133" spans="1:12" s="894"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4" customFormat="1" ht="18.75" thickBot="1">
      <c r="A1" s="3196" t="s">
        <v>3028</v>
      </c>
      <c r="B1" s="3197"/>
      <c r="C1" s="3197"/>
      <c r="D1" s="3197"/>
      <c r="E1" s="3197"/>
      <c r="F1" s="3197"/>
      <c r="G1" s="3197"/>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3024</v>
      </c>
      <c r="D2" s="2678"/>
      <c r="E2" s="2675"/>
      <c r="F2" s="2679"/>
      <c r="G2" s="2677" t="s">
        <v>3025</v>
      </c>
      <c r="H2" s="900"/>
      <c r="I2" s="900"/>
      <c r="J2" s="900"/>
      <c r="K2" s="900"/>
      <c r="L2" s="900"/>
      <c r="M2" s="900"/>
      <c r="N2" s="900"/>
      <c r="O2" s="900"/>
      <c r="P2" s="900"/>
      <c r="Q2" s="900"/>
      <c r="R2" s="900"/>
    </row>
    <row r="3" spans="1:29" ht="36">
      <c r="A3" s="2658" t="s">
        <v>3026</v>
      </c>
      <c r="B3" s="2680" t="s">
        <v>2996</v>
      </c>
      <c r="C3" s="3077" t="s">
        <v>3399</v>
      </c>
      <c r="D3" s="2681"/>
      <c r="E3" s="2659" t="s">
        <v>3026</v>
      </c>
      <c r="F3" s="2682" t="s">
        <v>2997</v>
      </c>
      <c r="G3" s="2683" t="s">
        <v>3027</v>
      </c>
      <c r="H3" s="900"/>
      <c r="I3" s="900"/>
      <c r="J3" s="900"/>
      <c r="K3" s="900"/>
      <c r="L3" s="900"/>
      <c r="M3" s="900"/>
      <c r="N3" s="900"/>
      <c r="O3" s="900"/>
      <c r="P3" s="900"/>
      <c r="Q3" s="900"/>
      <c r="R3" s="900"/>
    </row>
    <row r="4" spans="1:29" ht="36.75">
      <c r="A4" s="2659"/>
      <c r="B4" s="328" t="s">
        <v>2998</v>
      </c>
      <c r="C4" s="2684" t="s">
        <v>2999</v>
      </c>
      <c r="D4" s="2681"/>
      <c r="E4" s="2685"/>
      <c r="F4" s="1551" t="s">
        <v>3000</v>
      </c>
      <c r="G4" s="2686" t="s">
        <v>3001</v>
      </c>
      <c r="H4" s="900"/>
      <c r="I4" s="900"/>
      <c r="J4" s="900"/>
      <c r="K4" s="900"/>
      <c r="L4" s="900"/>
      <c r="M4" s="900"/>
      <c r="N4" s="900"/>
      <c r="O4" s="900"/>
      <c r="P4" s="900"/>
      <c r="Q4" s="900"/>
      <c r="R4" s="900"/>
    </row>
    <row r="5" spans="1:29" ht="36.75">
      <c r="A5" s="2659"/>
      <c r="B5" s="328" t="s">
        <v>3002</v>
      </c>
      <c r="C5" s="2684" t="s">
        <v>3003</v>
      </c>
      <c r="D5" s="2681"/>
      <c r="E5" s="2685"/>
      <c r="F5" s="328" t="s">
        <v>3004</v>
      </c>
      <c r="G5" s="2686" t="s">
        <v>3005</v>
      </c>
      <c r="H5" s="900"/>
      <c r="I5" s="900"/>
      <c r="J5" s="900"/>
      <c r="K5" s="900"/>
      <c r="L5" s="900"/>
      <c r="M5" s="900"/>
      <c r="N5" s="900"/>
      <c r="O5" s="900"/>
      <c r="P5" s="900"/>
      <c r="Q5" s="900"/>
      <c r="R5" s="900"/>
    </row>
    <row r="6" spans="1:29" ht="36">
      <c r="A6" s="2659"/>
      <c r="B6" s="328" t="s">
        <v>3006</v>
      </c>
      <c r="C6" s="3078" t="s">
        <v>3400</v>
      </c>
      <c r="D6" s="2681"/>
      <c r="E6" s="2685"/>
      <c r="F6" s="328" t="s">
        <v>3007</v>
      </c>
      <c r="G6" s="2686" t="s">
        <v>3008</v>
      </c>
      <c r="H6" s="900"/>
      <c r="I6" s="900"/>
      <c r="J6" s="900"/>
      <c r="K6" s="900"/>
      <c r="L6" s="900"/>
      <c r="M6" s="900"/>
      <c r="N6" s="900"/>
      <c r="O6" s="900"/>
      <c r="P6" s="900"/>
      <c r="Q6" s="900"/>
      <c r="R6" s="900"/>
    </row>
    <row r="7" spans="1:29" ht="72.75" thickBot="1">
      <c r="A7" s="2659"/>
      <c r="B7" s="328" t="s">
        <v>3004</v>
      </c>
      <c r="C7" s="3078" t="s">
        <v>3403</v>
      </c>
      <c r="D7" s="2687"/>
      <c r="E7" s="2688"/>
      <c r="F7" s="2689" t="s">
        <v>3009</v>
      </c>
      <c r="G7" s="2690" t="s">
        <v>3010</v>
      </c>
      <c r="H7" s="900"/>
      <c r="I7" s="900"/>
      <c r="J7" s="900"/>
      <c r="K7" s="900"/>
      <c r="L7" s="900"/>
      <c r="M7" s="900"/>
      <c r="N7" s="900"/>
      <c r="O7" s="900"/>
      <c r="P7" s="900"/>
      <c r="Q7" s="900"/>
      <c r="R7" s="900"/>
    </row>
    <row r="8" spans="1:29">
      <c r="A8" s="2659"/>
      <c r="B8" s="328" t="s">
        <v>3007</v>
      </c>
      <c r="C8" s="3078" t="s">
        <v>3404</v>
      </c>
      <c r="D8" s="2687"/>
      <c r="E8" s="2687"/>
      <c r="F8" s="2691"/>
      <c r="G8" s="2691"/>
      <c r="H8" s="900"/>
      <c r="I8" s="900"/>
      <c r="J8" s="900"/>
      <c r="K8" s="900"/>
      <c r="L8" s="900"/>
      <c r="M8" s="900"/>
      <c r="N8" s="900"/>
      <c r="O8" s="900"/>
      <c r="P8" s="900"/>
      <c r="Q8" s="900"/>
      <c r="R8" s="900"/>
    </row>
    <row r="9" spans="1:29" ht="36">
      <c r="A9" s="2659"/>
      <c r="B9" s="328" t="s">
        <v>3011</v>
      </c>
      <c r="C9" s="3080" t="s">
        <v>3402</v>
      </c>
      <c r="D9" s="2681"/>
      <c r="E9" s="2687"/>
      <c r="F9" s="2691"/>
      <c r="G9" s="2691"/>
      <c r="H9" s="900"/>
      <c r="I9" s="900"/>
      <c r="J9" s="900"/>
      <c r="K9" s="900"/>
      <c r="L9" s="900"/>
      <c r="M9" s="900"/>
      <c r="N9" s="900"/>
      <c r="O9" s="900"/>
      <c r="P9" s="900"/>
      <c r="Q9" s="900"/>
      <c r="R9" s="900"/>
    </row>
    <row r="10" spans="1:29" s="2697" customFormat="1" ht="15" thickBot="1">
      <c r="A10" s="2660"/>
      <c r="B10" s="2692" t="s">
        <v>3012</v>
      </c>
      <c r="C10" s="2693" t="s">
        <v>3405</v>
      </c>
      <c r="D10" s="2681"/>
      <c r="E10" s="2681"/>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3029</v>
      </c>
      <c r="B13" s="2700"/>
      <c r="C13" s="2700"/>
      <c r="D13" s="2698"/>
      <c r="E13" s="2700"/>
      <c r="F13" s="2700"/>
      <c r="G13" s="2700"/>
    </row>
    <row r="14" spans="1:29" ht="15" thickBot="1">
      <c r="A14" s="2710"/>
      <c r="B14" s="2710"/>
      <c r="C14" s="2711" t="s">
        <v>3013</v>
      </c>
      <c r="D14" s="2681"/>
      <c r="E14" s="2712"/>
      <c r="F14" s="2712"/>
      <c r="G14" s="2677" t="s">
        <v>3014</v>
      </c>
    </row>
    <row r="15" spans="1:29" ht="38.25">
      <c r="A15" s="2661" t="s">
        <v>3015</v>
      </c>
      <c r="B15" s="2713" t="s">
        <v>2996</v>
      </c>
      <c r="C15" s="2714" t="str">
        <f>C3</f>
        <v>周边居住用地比例较少、有颐丰庄园、大牛坊社区等居住项目，综合评价居住社区成熟度一般。</v>
      </c>
      <c r="D15" s="2681"/>
      <c r="E15" s="2662" t="s">
        <v>3016</v>
      </c>
      <c r="F15" s="2713" t="s">
        <v>3017</v>
      </c>
      <c r="G15" s="2715" t="str">
        <f>G3</f>
        <v>估价对象位于XX开发区，园区建设成熟度XX，产业集聚程度XX</v>
      </c>
    </row>
    <row r="16" spans="1:29" ht="38.25">
      <c r="A16" s="2663"/>
      <c r="B16" s="2716" t="s">
        <v>2998</v>
      </c>
      <c r="C16" s="2717" t="str">
        <f>C4</f>
        <v>估价对象位于XX商圈，周边商业氛围成熟，人流量大，商业繁华度好</v>
      </c>
      <c r="D16" s="2681"/>
      <c r="E16" s="2664"/>
      <c r="F16" s="2718" t="s">
        <v>3000</v>
      </c>
      <c r="G16" s="2719" t="str">
        <f>G4</f>
        <v>估价对象周边道路状况、公共交通通达情况、停车便捷程度，综合评价交通便捷度较好</v>
      </c>
    </row>
    <row r="17" spans="1:18" ht="38.25">
      <c r="A17" s="2663"/>
      <c r="B17" s="2716" t="s">
        <v>3002</v>
      </c>
      <c r="C17" s="2717" t="str">
        <f>C5</f>
        <v>估价对象位于XX商圈，周边办公楼项目较多，入驻率高，办公集聚程度较好</v>
      </c>
      <c r="D17" s="2687"/>
      <c r="E17" s="2664"/>
      <c r="F17" s="2718" t="s">
        <v>3018</v>
      </c>
      <c r="G17" s="2720"/>
    </row>
    <row r="18" spans="1:18" ht="38.25">
      <c r="A18" s="2663"/>
      <c r="B18" s="2718" t="s">
        <v>3006</v>
      </c>
      <c r="C18" s="2719" t="str">
        <f>C6</f>
        <v>周边有438路、365路、449路、570路等多条公交线路及地铁16号线永丰站，交通便捷度较好。</v>
      </c>
      <c r="D18" s="2687"/>
      <c r="E18" s="2664"/>
      <c r="F18" s="2718" t="s">
        <v>3009</v>
      </c>
      <c r="G18" s="2719" t="str">
        <f>G7</f>
        <v>该园区内是否有污染型企业，绿化情况，卫生条件，整体环境状况判断</v>
      </c>
    </row>
    <row r="19" spans="1:18" ht="25.5">
      <c r="A19" s="2663"/>
      <c r="B19" s="2718" t="s">
        <v>3019</v>
      </c>
      <c r="C19" s="3079" t="s">
        <v>3401</v>
      </c>
      <c r="D19" s="2681"/>
      <c r="E19" s="2664"/>
      <c r="F19" s="328" t="s">
        <v>3004</v>
      </c>
      <c r="G19" s="2719" t="str">
        <f>G5</f>
        <v>估价对象所在区域公共配套设施齐备情况</v>
      </c>
    </row>
    <row r="20" spans="1:18" ht="38.25">
      <c r="A20" s="2663"/>
      <c r="B20" s="2718" t="s">
        <v>3020</v>
      </c>
      <c r="C20" s="2717" t="str">
        <f>C9</f>
        <v>周边1公里无大型公园，人文环境有北京北大资源研修学院，自然及人文环境一般。</v>
      </c>
      <c r="D20" s="2687"/>
      <c r="E20" s="2664"/>
      <c r="F20" s="328" t="s">
        <v>3007</v>
      </c>
      <c r="G20" s="2719" t="str">
        <f>G6</f>
        <v>估价对象所在区域基础设施水平</v>
      </c>
    </row>
    <row r="21" spans="1:18" ht="76.5">
      <c r="A21" s="2663"/>
      <c r="B21" s="328" t="s">
        <v>3004</v>
      </c>
      <c r="C21" s="2719" t="str">
        <f>C7</f>
        <v>周边1公里范围内有购物场所（华联超市）、医院（无）、银行（工商银行、北京农商银行）、学校（海淀科技园小学）、餐饮等公共服务配套设施，公共配套设施状况一般。</v>
      </c>
      <c r="D21" s="2681"/>
      <c r="E21" s="2664"/>
      <c r="F21" s="2718" t="s">
        <v>3021</v>
      </c>
      <c r="G21" s="2721"/>
    </row>
    <row r="22" spans="1:18" ht="13.5" customHeight="1">
      <c r="A22" s="2663"/>
      <c r="B22" s="328" t="s">
        <v>3007</v>
      </c>
      <c r="C22" s="2719" t="str">
        <f>C8</f>
        <v>七通</v>
      </c>
      <c r="D22" s="2681"/>
      <c r="E22" s="2664"/>
      <c r="F22" s="2718" t="s">
        <v>3012</v>
      </c>
      <c r="G22" s="2720"/>
    </row>
    <row r="23" spans="1:18" s="900" customFormat="1" ht="15" thickBot="1">
      <c r="A23" s="2663"/>
      <c r="B23" s="2718" t="s">
        <v>3021</v>
      </c>
      <c r="C23" s="2721" t="s">
        <v>3406</v>
      </c>
      <c r="D23" s="1920"/>
      <c r="E23" s="2665"/>
      <c r="F23" s="2722" t="s">
        <v>3022</v>
      </c>
      <c r="G23" s="2723"/>
      <c r="H23" s="2707"/>
      <c r="I23" s="2708"/>
      <c r="J23" s="2707"/>
      <c r="K23" s="2707"/>
      <c r="L23" s="2708"/>
      <c r="M23" s="2707"/>
      <c r="N23" s="2707"/>
      <c r="O23" s="2708"/>
      <c r="P23" s="2707"/>
      <c r="Q23" s="2707"/>
      <c r="R23" s="2709"/>
    </row>
    <row r="24" spans="1:18" s="900" customFormat="1" ht="15" thickBot="1">
      <c r="A24" s="2666"/>
      <c r="B24" s="2722" t="s">
        <v>3023</v>
      </c>
      <c r="C24" s="2724" t="str">
        <f>C10</f>
        <v>城市支路—宏丰渠东路</v>
      </c>
      <c r="D24" s="1920"/>
      <c r="E24" s="2656"/>
      <c r="F24" s="2656"/>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101912.04000000001</v>
      </c>
      <c r="C1" s="2905"/>
      <c r="D1" s="2905"/>
      <c r="E1" s="2905"/>
      <c r="F1" s="2905"/>
      <c r="G1" s="2906"/>
      <c r="H1" s="2907"/>
      <c r="I1" s="2907"/>
      <c r="J1" s="2907"/>
      <c r="K1" s="2907"/>
    </row>
    <row r="2" spans="1:11" ht="16.5">
      <c r="A2" s="2728" t="s">
        <v>1319</v>
      </c>
      <c r="B2" s="2728">
        <f>SUM(C14:C23)</f>
        <v>31970</v>
      </c>
      <c r="C2" s="2905"/>
      <c r="D2" s="2905"/>
      <c r="E2" s="2905"/>
      <c r="F2" s="2905"/>
      <c r="G2" s="2906"/>
      <c r="H2" s="2907"/>
      <c r="I2" s="2907"/>
      <c r="J2" s="2907"/>
      <c r="K2" s="2907"/>
    </row>
    <row r="3" spans="1:11" ht="16.5">
      <c r="A3" s="2728" t="s">
        <v>1328</v>
      </c>
      <c r="B3" s="2730">
        <f>项目基本情况!D3</f>
        <v>44187</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261758</v>
      </c>
      <c r="C5" s="2728">
        <f ca="1">ROUND(B5*10000/$B$1,0)</f>
        <v>25685</v>
      </c>
      <c r="D5" s="2728">
        <f ca="1">ROUND(B5*10000/$B$2,0)</f>
        <v>81876</v>
      </c>
      <c r="E5" s="2905"/>
      <c r="F5" s="2906"/>
      <c r="G5" s="2906"/>
      <c r="H5" s="2907"/>
      <c r="I5" s="2907"/>
      <c r="J5" s="2907"/>
      <c r="K5" s="2907"/>
    </row>
    <row r="6" spans="1:11" ht="16.5">
      <c r="A6" s="2728" t="s">
        <v>1322</v>
      </c>
      <c r="B6" s="2728">
        <f ca="1">SUM(G14:G23)</f>
        <v>261758</v>
      </c>
      <c r="C6" s="2728">
        <f ca="1">ROUND(B6*10000/$B$1,0)</f>
        <v>25685</v>
      </c>
      <c r="D6" s="2728">
        <f ca="1">ROUND(B6*10000/$B$2,0)</f>
        <v>81876</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101912.04000000001</v>
      </c>
      <c r="C14" s="2734">
        <f>结果表!C118</f>
        <v>31970</v>
      </c>
      <c r="D14" s="2734">
        <f ca="1">结果表!H118</f>
        <v>261758</v>
      </c>
      <c r="E14" s="2734">
        <f ca="1">ROUND(D14*10000/B14,0)</f>
        <v>25685</v>
      </c>
      <c r="F14" s="2734">
        <f ca="1">ROUND(D14*10000/C14,0)</f>
        <v>81876</v>
      </c>
      <c r="G14" s="2734">
        <f ca="1">结果表!D122</f>
        <v>261758</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D119" sqref="D119:I11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1948</v>
      </c>
      <c r="B1" s="1926"/>
      <c r="C1" s="1927"/>
      <c r="D1" s="1926"/>
      <c r="E1" s="1926"/>
      <c r="F1" s="1928" t="s">
        <v>1949</v>
      </c>
      <c r="G1" s="1740" t="s">
        <v>3070</v>
      </c>
      <c r="H1" s="1929" t="str">
        <f>IF(G1="现房","——","估价对象范围")</f>
        <v>估价对象范围</v>
      </c>
      <c r="I1" s="1930" t="s">
        <v>3154</v>
      </c>
    </row>
    <row r="2" spans="1:12" ht="21.75" customHeight="1" thickBot="1">
      <c r="A2" s="3268" t="str">
        <f>项目基本情况!S2</f>
        <v>北京市海淀区“海淀北部地区整体开发”永丰产业基地（新）HD00-0401-0158地块出让国有建设用地使用权及在建建筑物房地产</v>
      </c>
      <c r="B2" s="3269"/>
      <c r="C2" s="3269"/>
      <c r="D2" s="3269"/>
      <c r="E2" s="3269"/>
      <c r="F2" s="3269"/>
      <c r="G2" s="3269"/>
      <c r="H2" s="3269"/>
      <c r="I2" s="3270"/>
    </row>
    <row r="3" spans="1:12" ht="12.75">
      <c r="A3" s="3272" t="s">
        <v>1950</v>
      </c>
      <c r="B3" s="3273"/>
      <c r="C3" s="3273"/>
      <c r="D3" s="3273"/>
      <c r="E3" s="3273"/>
      <c r="F3" s="3273"/>
      <c r="G3" s="3273"/>
      <c r="H3" s="3273"/>
      <c r="I3" s="3273"/>
    </row>
    <row r="4" spans="1:12" ht="14.25">
      <c r="A4" s="1933" t="s">
        <v>1951</v>
      </c>
      <c r="B4" s="1934" t="s">
        <v>1952</v>
      </c>
      <c r="C4" s="1935" t="s">
        <v>3155</v>
      </c>
      <c r="D4" s="1935" t="s">
        <v>3156</v>
      </c>
      <c r="E4" s="3277" t="s">
        <v>1953</v>
      </c>
      <c r="F4" s="3278"/>
      <c r="G4" s="3278"/>
      <c r="H4" s="3278"/>
      <c r="I4" s="327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13" t="s">
        <v>1954</v>
      </c>
      <c r="B5" s="3271">
        <v>25</v>
      </c>
      <c r="C5" s="3274"/>
      <c r="D5" s="3262"/>
      <c r="E5" s="135" t="s">
        <v>1955</v>
      </c>
      <c r="F5" s="1936"/>
      <c r="G5" s="1936"/>
      <c r="H5" s="1936"/>
      <c r="I5" s="1551"/>
    </row>
    <row r="6" spans="1:12" ht="12.75">
      <c r="A6" s="3213"/>
      <c r="B6" s="3271"/>
      <c r="C6" s="3276"/>
      <c r="D6" s="3262"/>
      <c r="E6" s="135" t="s">
        <v>1956</v>
      </c>
      <c r="F6" s="1936"/>
      <c r="G6" s="1936"/>
      <c r="H6" s="1936"/>
      <c r="I6" s="1551"/>
    </row>
    <row r="7" spans="1:12" ht="12.75">
      <c r="A7" s="3213"/>
      <c r="B7" s="3271"/>
      <c r="C7" s="3275"/>
      <c r="D7" s="3262"/>
      <c r="E7" s="135" t="s">
        <v>1957</v>
      </c>
      <c r="F7" s="1936"/>
      <c r="G7" s="1936"/>
      <c r="H7" s="1936"/>
      <c r="I7" s="1551"/>
    </row>
    <row r="8" spans="1:12" ht="12.75">
      <c r="A8" s="3213" t="s">
        <v>1958</v>
      </c>
      <c r="B8" s="3271">
        <v>15</v>
      </c>
      <c r="C8" s="3274"/>
      <c r="D8" s="3262"/>
      <c r="E8" s="135" t="s">
        <v>1959</v>
      </c>
      <c r="F8" s="1936"/>
      <c r="G8" s="1936"/>
      <c r="H8" s="1936"/>
      <c r="I8" s="1551"/>
    </row>
    <row r="9" spans="1:12" ht="12.75">
      <c r="A9" s="3213"/>
      <c r="B9" s="3271"/>
      <c r="C9" s="3275"/>
      <c r="D9" s="3262"/>
      <c r="E9" s="135" t="s">
        <v>1960</v>
      </c>
      <c r="F9" s="1936"/>
      <c r="G9" s="1936"/>
      <c r="H9" s="1936"/>
      <c r="I9" s="1551"/>
    </row>
    <row r="10" spans="1:12" ht="12.75">
      <c r="A10" s="3213" t="s">
        <v>1961</v>
      </c>
      <c r="B10" s="3271">
        <v>15</v>
      </c>
      <c r="C10" s="3274"/>
      <c r="D10" s="3262"/>
      <c r="E10" s="135" t="s">
        <v>1962</v>
      </c>
      <c r="F10" s="1936"/>
      <c r="G10" s="1936"/>
      <c r="H10" s="1936"/>
      <c r="I10" s="1551"/>
    </row>
    <row r="11" spans="1:12" ht="12.75">
      <c r="A11" s="3213"/>
      <c r="B11" s="3271"/>
      <c r="C11" s="3275"/>
      <c r="D11" s="3262"/>
      <c r="E11" s="135" t="s">
        <v>1963</v>
      </c>
      <c r="F11" s="1936"/>
      <c r="G11" s="1936"/>
      <c r="H11" s="1936"/>
      <c r="I11" s="1551"/>
    </row>
    <row r="12" spans="1:12" ht="12.75">
      <c r="A12" s="3213" t="s">
        <v>1964</v>
      </c>
      <c r="B12" s="3271">
        <v>15</v>
      </c>
      <c r="C12" s="3274"/>
      <c r="D12" s="3262"/>
      <c r="E12" s="135" t="s">
        <v>1965</v>
      </c>
      <c r="F12" s="1936"/>
      <c r="G12" s="1936"/>
      <c r="H12" s="1936"/>
      <c r="I12" s="1551"/>
    </row>
    <row r="13" spans="1:12" ht="12.75">
      <c r="A13" s="3213"/>
      <c r="B13" s="3271"/>
      <c r="C13" s="3275"/>
      <c r="D13" s="3262"/>
      <c r="E13" s="135" t="s">
        <v>1966</v>
      </c>
      <c r="F13" s="1936"/>
      <c r="G13" s="1936"/>
      <c r="H13" s="1936"/>
      <c r="I13" s="1551"/>
    </row>
    <row r="14" spans="1:12" ht="12.75">
      <c r="A14" s="3213" t="s">
        <v>1967</v>
      </c>
      <c r="B14" s="3271">
        <v>30</v>
      </c>
      <c r="C14" s="3274">
        <v>4</v>
      </c>
      <c r="D14" s="3262">
        <v>6</v>
      </c>
      <c r="E14" s="135" t="s">
        <v>1968</v>
      </c>
      <c r="F14" s="1936"/>
      <c r="G14" s="1936"/>
      <c r="H14" s="1936"/>
      <c r="I14" s="1551"/>
    </row>
    <row r="15" spans="1:12" ht="12.75">
      <c r="A15" s="3213"/>
      <c r="B15" s="3271"/>
      <c r="C15" s="3276"/>
      <c r="D15" s="3262"/>
      <c r="E15" s="135" t="s">
        <v>1969</v>
      </c>
      <c r="F15" s="1936"/>
      <c r="G15" s="1936"/>
      <c r="H15" s="1936"/>
      <c r="I15" s="1551"/>
    </row>
    <row r="16" spans="1:12" ht="12.75">
      <c r="A16" s="3213"/>
      <c r="B16" s="3271"/>
      <c r="C16" s="3275"/>
      <c r="D16" s="3262"/>
      <c r="E16" s="135" t="s">
        <v>1970</v>
      </c>
      <c r="F16" s="1936"/>
      <c r="G16" s="1936"/>
      <c r="H16" s="1936"/>
      <c r="I16" s="1551"/>
    </row>
    <row r="17" spans="1:36" ht="15">
      <c r="A17" s="1937" t="s">
        <v>1971</v>
      </c>
      <c r="B17" s="60"/>
      <c r="C17" s="136">
        <f>SUM(C5:C16)</f>
        <v>4</v>
      </c>
      <c r="D17" s="136">
        <f>SUM(D5:D16)</f>
        <v>6</v>
      </c>
      <c r="E17" s="133"/>
      <c r="F17" s="133"/>
      <c r="G17" s="133"/>
      <c r="H17" s="133"/>
      <c r="I17" s="133"/>
      <c r="K17" s="307"/>
      <c r="L17" s="307" t="s">
        <v>1972</v>
      </c>
      <c r="M17" s="307" t="s">
        <v>1973</v>
      </c>
    </row>
    <row r="18" spans="1:36" ht="31.9" customHeight="1" thickBot="1">
      <c r="A18" s="1938" t="s">
        <v>1974</v>
      </c>
      <c r="B18" s="1939"/>
      <c r="C18" s="137">
        <f>ROUND(C17/SUM(C17:D17),2)</f>
        <v>0.4</v>
      </c>
      <c r="D18" s="137">
        <f>1-C18</f>
        <v>0.6</v>
      </c>
      <c r="E18" s="3293" t="s">
        <v>2871</v>
      </c>
      <c r="F18" s="3294"/>
      <c r="G18" s="3294"/>
      <c r="H18" s="3294"/>
      <c r="I18" s="3294"/>
      <c r="K18" s="307" t="s">
        <v>1975</v>
      </c>
      <c r="L18" s="307">
        <f>IF(C1="",'数据-汇总表'!E3,SUMIF(项目类型,C1,'数据-汇总表'!E17:E26)+SUMIF(项目类型,C1,'数据-汇总表'!I17:I26))</f>
        <v>101912.04000000001</v>
      </c>
      <c r="M18" s="307">
        <f>IF(C1="",'数据-汇总表'!E3,SUMIF(项目类型,C1,'数据-汇总表'!E17:E26))</f>
        <v>101912.04000000001</v>
      </c>
    </row>
    <row r="19" spans="1:36" ht="15">
      <c r="A19" s="1940" t="s">
        <v>1976</v>
      </c>
      <c r="B19" s="1941" t="s">
        <v>1977</v>
      </c>
      <c r="C19" s="138">
        <f ca="1">SUMIF(INDIRECT("'"&amp;C4&amp;"'"&amp;"!A:A"),结果表!B19,INDIRECT("'"&amp;C4&amp;"'"&amp;"!B:B"))</f>
        <v>317224</v>
      </c>
      <c r="D19" s="139">
        <f ca="1">SUMIF(INDIRECT("'"&amp;D4&amp;"'"&amp;"!A:A"),结果表!B19,INDIRECT("'"&amp;D4&amp;"'"&amp;"!B:B"))</f>
        <v>224781</v>
      </c>
      <c r="E19" s="1940" t="s">
        <v>1978</v>
      </c>
      <c r="F19" s="1941" t="s">
        <v>1977</v>
      </c>
      <c r="G19" s="140">
        <f ca="1">ROUND(C19*$C$18+D19*$D$18,0)</f>
        <v>261758</v>
      </c>
      <c r="H19" s="1942" t="s">
        <v>1979</v>
      </c>
      <c r="I19" s="133"/>
      <c r="K19" s="307" t="s">
        <v>1980</v>
      </c>
      <c r="L19" s="307">
        <f>IF(C1="",'数据-汇总表'!D3,SUMIF(项目类型,C1,'数据-汇总表'!D17:D26)+SUMIF(项目类型,C1,'数据-汇总表'!H17:H27))</f>
        <v>31970</v>
      </c>
      <c r="M19" s="307">
        <f>IF(C1="",'数据-汇总表'!D3,SUMIF(项目类型,C1,'数据-汇总表'!D17:D26))</f>
        <v>31970</v>
      </c>
    </row>
    <row r="20" spans="1:36" ht="15">
      <c r="A20" s="1943"/>
      <c r="B20" s="1150" t="s">
        <v>1981</v>
      </c>
      <c r="C20" s="141">
        <f ca="1">SUMIF(INDIRECT("'"&amp;C4&amp;"'"&amp;"!A:A"),结果表!B20,INDIRECT("'"&amp;C4&amp;"'"&amp;"!B:B"))</f>
        <v>31127</v>
      </c>
      <c r="D20" s="142">
        <f ca="1">SUMIF(INDIRECT("'"&amp;D4&amp;"'"&amp;"!A:A"),结果表!B20,INDIRECT("'"&amp;D4&amp;"'"&amp;"!B:B"))</f>
        <v>22056</v>
      </c>
      <c r="E20" s="1943"/>
      <c r="F20" s="1150" t="s">
        <v>1981</v>
      </c>
      <c r="G20" s="143">
        <f ca="1">ROUND(C20*$C$18+D20*$D$18,0)</f>
        <v>25684</v>
      </c>
      <c r="H20" s="910" t="s">
        <v>1982</v>
      </c>
      <c r="I20" s="133"/>
    </row>
    <row r="21" spans="1:36" ht="15" customHeight="1" thickBot="1">
      <c r="A21" s="930"/>
      <c r="B21" s="1944" t="s">
        <v>1983</v>
      </c>
      <c r="C21" s="727">
        <f ca="1">ROUND(C19*10000/L19,0)</f>
        <v>99226</v>
      </c>
      <c r="D21" s="728">
        <f ca="1">ROUND(D19*10000/L19,0)</f>
        <v>70310</v>
      </c>
      <c r="E21" s="930"/>
      <c r="F21" s="1944" t="s">
        <v>1983</v>
      </c>
      <c r="G21" s="144">
        <f ca="1">ROUND(G19*10000/L19,0)</f>
        <v>81876</v>
      </c>
      <c r="H21" s="1945" t="s">
        <v>1982</v>
      </c>
      <c r="I21" s="133"/>
    </row>
    <row r="22" spans="1:36" ht="15" thickBot="1">
      <c r="A22" s="1867" t="s">
        <v>1984</v>
      </c>
      <c r="B22" s="1946"/>
      <c r="C22" s="1947"/>
      <c r="D22" s="729">
        <f ca="1">IF(C19&lt;D19,D19/C19-1,C19/D19-1)</f>
        <v>0.41125806896490369</v>
      </c>
      <c r="E22" s="133"/>
      <c r="F22" s="133"/>
      <c r="G22" s="133"/>
      <c r="H22" s="133"/>
      <c r="I22" s="133"/>
    </row>
    <row r="23" spans="1:36" ht="13.5" thickBot="1">
      <c r="A23" s="1926"/>
      <c r="B23" s="1926"/>
      <c r="C23" s="1926"/>
      <c r="D23" s="1926"/>
      <c r="E23" s="133"/>
      <c r="F23" s="133"/>
      <c r="G23" s="133"/>
      <c r="H23" s="133"/>
      <c r="I23" s="133"/>
    </row>
    <row r="24" spans="1:36" ht="14.25">
      <c r="A24" s="3286" t="s">
        <v>1985</v>
      </c>
      <c r="B24" s="1941" t="s">
        <v>1977</v>
      </c>
      <c r="C24" s="140">
        <f>IF(B30=0,0,D30)</f>
        <v>0</v>
      </c>
      <c r="D24" s="1948"/>
      <c r="E24" s="133"/>
      <c r="F24" s="133"/>
      <c r="G24" s="133"/>
      <c r="H24" s="133"/>
      <c r="I24" s="133"/>
    </row>
    <row r="25" spans="1:36" ht="14.25">
      <c r="A25" s="3287"/>
      <c r="B25" s="1150" t="s">
        <v>1981</v>
      </c>
      <c r="C25" s="145">
        <f>IF(B30=0,0,C30)</f>
        <v>0</v>
      </c>
      <c r="D25" s="1949"/>
      <c r="E25" s="133"/>
      <c r="F25" s="133"/>
      <c r="G25" s="133"/>
      <c r="H25" s="133"/>
      <c r="I25" s="133"/>
    </row>
    <row r="26" spans="1:36" ht="13.5" customHeight="1">
      <c r="A26" s="1950" t="s">
        <v>1986</v>
      </c>
      <c r="B26" s="146" t="s">
        <v>1987</v>
      </c>
      <c r="C26" s="146" t="s">
        <v>1988</v>
      </c>
      <c r="D26" s="147" t="s">
        <v>1989</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1990</v>
      </c>
      <c r="B30" s="146"/>
      <c r="C30" s="146"/>
      <c r="D30" s="146"/>
      <c r="E30" s="2514" t="s">
        <v>2872</v>
      </c>
      <c r="F30" s="133"/>
      <c r="G30" s="133"/>
      <c r="H30" s="133"/>
      <c r="I30" s="133"/>
    </row>
    <row r="31" spans="1:36" s="2520" customFormat="1" ht="26.45" customHeight="1" thickTop="1" thickBot="1">
      <c r="A31" s="2515"/>
      <c r="B31" s="2516"/>
      <c r="C31" s="2516"/>
      <c r="D31" s="2516"/>
      <c r="E31" s="2516"/>
      <c r="F31" s="2516"/>
      <c r="G31" s="2516"/>
      <c r="H31" s="2516"/>
      <c r="I31" s="2517" t="s">
        <v>2873</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1991</v>
      </c>
      <c r="B32" s="1953"/>
      <c r="C32" s="148">
        <f ca="1">IF(D32="总价",G19-C24,G20-C25)</f>
        <v>261758</v>
      </c>
      <c r="D32" s="1954" t="s">
        <v>3426</v>
      </c>
      <c r="E32" s="133"/>
      <c r="F32" s="133"/>
      <c r="G32" s="133"/>
      <c r="H32" s="133"/>
      <c r="I32" s="133"/>
    </row>
    <row r="33" spans="1:15" ht="15">
      <c r="A33" s="887" t="s">
        <v>1992</v>
      </c>
      <c r="B33" s="1955"/>
      <c r="C33" s="1956" t="s">
        <v>3427</v>
      </c>
      <c r="D33" s="1957" t="s">
        <v>3155</v>
      </c>
      <c r="E33" s="1958" t="s">
        <v>1993</v>
      </c>
      <c r="F33" s="1959" t="str">
        <f>IF(D32="楼面单价","取值（单价）","取值（总价）")</f>
        <v>取值（总价）</v>
      </c>
      <c r="G33" s="133"/>
      <c r="H33" s="133"/>
      <c r="I33" s="133"/>
    </row>
    <row r="34" spans="1:15" ht="15">
      <c r="A34" s="1960"/>
      <c r="B34" s="1961" t="s">
        <v>1994</v>
      </c>
      <c r="C34" s="152">
        <f ca="1">IF(C33="自定义",F34,C32-C35)</f>
        <v>236629</v>
      </c>
      <c r="D34" s="963">
        <f ca="1">IF(C33="自定义",ROUND(C34/C32,3),IF(C33="收益比率",SUMIF(INDIRECT("'"&amp;D33&amp;"'"&amp;"!b:b"),"土地收益比率",INDIRECT("'"&amp;D33&amp;"'"&amp;"!c:c")),SUMIF(INDIRECT("'"&amp;D33&amp;"'"&amp;"!b:b"),"土地成本比率",INDIRECT("'"&amp;D33&amp;"'"&amp;"!c:c"))))</f>
        <v>0.90400000000000003</v>
      </c>
      <c r="E34" s="1962" t="s">
        <v>1995</v>
      </c>
      <c r="F34" s="1492"/>
      <c r="G34" s="133"/>
      <c r="H34" s="133"/>
      <c r="I34" s="133"/>
    </row>
    <row r="35" spans="1:15" ht="15.75" thickBot="1">
      <c r="A35" s="1963"/>
      <c r="B35" s="1964" t="s">
        <v>1996</v>
      </c>
      <c r="C35" s="1325">
        <f ca="1">IF(C33="自定义",F35,ROUND(C32*D35,0))</f>
        <v>25129</v>
      </c>
      <c r="D35" s="1326">
        <f ca="1">IF(C33="自定义",ROUND(C35/C32,3),IF(C33="收益比率",SUMIF(INDIRECT("'"&amp;D33&amp;"'"&amp;"!b:b"),"建筑物收益比率",INDIRECT("'"&amp;D33&amp;"'"&amp;"!c:c")),SUMIF(INDIRECT("'"&amp;D33&amp;"'"&amp;"!b:b"),"建筑物成本比率",INDIRECT("'"&amp;D33&amp;"'"&amp;"!c:c"))))</f>
        <v>9.6000000000000002E-2</v>
      </c>
      <c r="E35" s="1965" t="s">
        <v>1997</v>
      </c>
      <c r="F35" s="158"/>
      <c r="G35" s="133"/>
      <c r="H35" s="133"/>
      <c r="I35" s="133"/>
    </row>
    <row r="36" spans="1:15" ht="15.75" thickBot="1">
      <c r="A36" s="3263" t="s">
        <v>1998</v>
      </c>
      <c r="B36" s="1966" t="s">
        <v>1999</v>
      </c>
      <c r="C36" s="149"/>
      <c r="D36" s="1967"/>
      <c r="E36" s="1968"/>
      <c r="F36" s="1969"/>
      <c r="G36" s="133"/>
      <c r="H36" s="133"/>
      <c r="I36" s="133"/>
    </row>
    <row r="37" spans="1:15" ht="15.75" thickBot="1">
      <c r="A37" s="3264"/>
      <c r="B37" s="1853" t="s">
        <v>2000</v>
      </c>
      <c r="C37" s="151"/>
      <c r="D37" s="1294"/>
      <c r="E37" s="1294"/>
      <c r="F37" s="1969"/>
      <c r="G37" s="133"/>
      <c r="H37" s="133"/>
      <c r="I37" s="133"/>
    </row>
    <row r="38" spans="1:15" ht="15.75" thickBot="1">
      <c r="A38" s="3265"/>
      <c r="B38" s="1970" t="s">
        <v>2001</v>
      </c>
      <c r="C38" s="682"/>
      <c r="D38" s="1971" t="s">
        <v>2002</v>
      </c>
      <c r="E38" s="1294"/>
      <c r="F38" s="1969"/>
      <c r="G38" s="133"/>
      <c r="H38" s="133"/>
      <c r="I38" s="133"/>
    </row>
    <row r="39" spans="1:15" ht="15">
      <c r="A39" s="1943" t="s">
        <v>2003</v>
      </c>
      <c r="B39" s="1972" t="s">
        <v>2004</v>
      </c>
      <c r="C39" s="1973" t="s">
        <v>2005</v>
      </c>
      <c r="D39" s="1973" t="s">
        <v>2006</v>
      </c>
      <c r="E39" s="1974" t="s">
        <v>2007</v>
      </c>
      <c r="F39" s="1969"/>
      <c r="G39" s="133"/>
      <c r="H39" s="133"/>
      <c r="I39" s="133"/>
    </row>
    <row r="40" spans="1:15" ht="14.25">
      <c r="A40" s="1975" t="s">
        <v>2008</v>
      </c>
      <c r="B40" s="153"/>
      <c r="C40" s="154"/>
      <c r="D40" s="154"/>
      <c r="E40" s="155"/>
      <c r="F40" s="1969"/>
      <c r="G40" s="133"/>
      <c r="H40" s="133"/>
      <c r="I40" s="133"/>
    </row>
    <row r="41" spans="1:15" ht="14.25">
      <c r="A41" s="1975" t="s">
        <v>2009</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2010</v>
      </c>
      <c r="B44" s="1980"/>
      <c r="C44" s="1980"/>
      <c r="D44" s="1981"/>
      <c r="E44" s="1981"/>
      <c r="F44" s="1982"/>
      <c r="G44" s="1982"/>
      <c r="H44" s="1982"/>
      <c r="I44" s="1982"/>
      <c r="J44" s="1983" t="s">
        <v>2011</v>
      </c>
      <c r="K44" s="1984"/>
      <c r="L44" s="1984"/>
      <c r="M44" s="1984"/>
      <c r="N44" s="1984"/>
      <c r="O44" s="1984"/>
    </row>
    <row r="45" spans="1:15" ht="14.25" customHeight="1" thickBot="1">
      <c r="A45" s="3283" t="s">
        <v>2012</v>
      </c>
      <c r="B45" s="3284"/>
      <c r="C45" s="3285"/>
      <c r="D45" s="159">
        <f ca="1">ROUND(H101*F45,0)</f>
        <v>261758</v>
      </c>
      <c r="E45" s="160" t="s">
        <v>2013</v>
      </c>
      <c r="F45" s="161">
        <v>1</v>
      </c>
      <c r="G45" s="162" t="s">
        <v>2014</v>
      </c>
      <c r="H45" s="133"/>
      <c r="I45" s="133"/>
      <c r="J45" s="3200" t="s">
        <v>2015</v>
      </c>
      <c r="K45" s="3200"/>
      <c r="L45" s="3200"/>
      <c r="M45" s="3200"/>
      <c r="N45" s="3200"/>
      <c r="O45" s="3200"/>
    </row>
    <row r="46" spans="1:15" ht="14.25" customHeight="1">
      <c r="A46" s="3280" t="s">
        <v>2016</v>
      </c>
      <c r="B46" s="3281"/>
      <c r="C46" s="3281"/>
      <c r="D46" s="3281"/>
      <c r="E46" s="3281"/>
      <c r="F46" s="3281"/>
      <c r="G46" s="3282"/>
      <c r="H46" s="1985"/>
      <c r="I46" s="163"/>
      <c r="J46" s="2739">
        <v>1</v>
      </c>
      <c r="K46" s="3201" t="s">
        <v>2017</v>
      </c>
      <c r="L46" s="3201"/>
      <c r="M46" s="3202"/>
      <c r="N46" s="3202"/>
      <c r="O46" s="3202"/>
    </row>
    <row r="47" spans="1:15" ht="12" customHeight="1">
      <c r="A47" s="164" t="s">
        <v>2018</v>
      </c>
      <c r="B47" s="165"/>
      <c r="C47" s="166"/>
      <c r="D47" s="1240" t="s">
        <v>2019</v>
      </c>
      <c r="E47" s="307" t="s">
        <v>2020</v>
      </c>
      <c r="F47" s="167" t="s">
        <v>2021</v>
      </c>
      <c r="G47" s="2762" t="s">
        <v>2022</v>
      </c>
      <c r="H47" s="2763"/>
      <c r="I47" s="163"/>
      <c r="J47" s="2739">
        <v>2</v>
      </c>
      <c r="K47" s="3201" t="s">
        <v>2023</v>
      </c>
      <c r="L47" s="3201"/>
      <c r="M47" s="3203">
        <f>'数据-取费表'!B2</f>
        <v>44187</v>
      </c>
      <c r="N47" s="3203"/>
      <c r="O47" s="3203"/>
    </row>
    <row r="48" spans="1:15" ht="25.5">
      <c r="A48" s="3266" t="s">
        <v>2024</v>
      </c>
      <c r="B48" s="3267"/>
      <c r="C48" s="3267"/>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2025</v>
      </c>
      <c r="H48" s="2766"/>
      <c r="I48" s="1985"/>
      <c r="J48" s="2739">
        <v>3</v>
      </c>
      <c r="K48" s="3201" t="s">
        <v>2026</v>
      </c>
      <c r="L48" s="3201"/>
      <c r="M48" s="3204">
        <f ca="1">H101</f>
        <v>261758</v>
      </c>
      <c r="N48" s="3204"/>
      <c r="O48" s="3204"/>
    </row>
    <row r="49" spans="1:35" ht="25.5" customHeight="1">
      <c r="A49" s="2549" t="s">
        <v>2027</v>
      </c>
      <c r="B49" s="3249" t="s">
        <v>2028</v>
      </c>
      <c r="C49" s="3249"/>
      <c r="D49" s="1769">
        <v>0</v>
      </c>
      <c r="E49" s="329" t="s">
        <v>2029</v>
      </c>
      <c r="F49" s="2641" t="s">
        <v>34</v>
      </c>
      <c r="G49" s="3232"/>
      <c r="H49" s="2521" t="s">
        <v>2874</v>
      </c>
      <c r="I49" s="2522"/>
      <c r="J49" s="2739">
        <v>4</v>
      </c>
      <c r="K49" s="3201" t="str">
        <f>IF(项目基本情况!E8="房地产抵押价值","房地产抵押价值","抵押担保权已注销时的房地产抵押价值")</f>
        <v>房地产抵押价值</v>
      </c>
      <c r="L49" s="3201"/>
      <c r="M49" s="3204">
        <f ca="1">IF(项目基本情况!E8="房地产抵押价值",H107,H109)</f>
        <v>261758</v>
      </c>
      <c r="N49" s="3204"/>
      <c r="O49" s="3204"/>
    </row>
    <row r="50" spans="1:35" ht="25.5" customHeight="1">
      <c r="A50" s="2767"/>
      <c r="B50" s="3249" t="s">
        <v>2030</v>
      </c>
      <c r="C50" s="3249"/>
      <c r="D50" s="2768"/>
      <c r="E50" s="337"/>
      <c r="F50" s="2641"/>
      <c r="G50" s="3233"/>
      <c r="H50" s="2523" t="s">
        <v>2875</v>
      </c>
      <c r="I50" s="2522"/>
      <c r="J50" s="3200" t="s">
        <v>2031</v>
      </c>
      <c r="K50" s="3200"/>
      <c r="L50" s="3200"/>
      <c r="M50" s="3200"/>
      <c r="N50" s="3200"/>
      <c r="O50" s="3200"/>
    </row>
    <row r="51" spans="1:35" ht="20.45" customHeight="1">
      <c r="A51" s="2769"/>
      <c r="B51" s="3249" t="s">
        <v>2032</v>
      </c>
      <c r="C51" s="3249"/>
      <c r="D51" s="1240"/>
      <c r="E51" s="332"/>
      <c r="F51" s="2641"/>
      <c r="G51" s="3234"/>
      <c r="H51" s="2523" t="s">
        <v>2876</v>
      </c>
      <c r="I51" s="2522"/>
      <c r="J51" s="2740" t="s">
        <v>2033</v>
      </c>
      <c r="K51" s="3201" t="s">
        <v>2034</v>
      </c>
      <c r="L51" s="3201"/>
      <c r="M51" s="2740" t="s">
        <v>2035</v>
      </c>
      <c r="N51" s="2740" t="s">
        <v>2036</v>
      </c>
      <c r="O51" s="2740" t="s">
        <v>2037</v>
      </c>
    </row>
    <row r="52" spans="1:35" ht="24" customHeight="1">
      <c r="A52" s="2551" t="s">
        <v>2038</v>
      </c>
      <c r="B52" s="3249" t="s">
        <v>2039</v>
      </c>
      <c r="C52" s="3249"/>
      <c r="D52" s="1240">
        <f ca="1">ROUND(D45*'数据-取费表'!B41/(1+'数据-取费表'!C42),0)</f>
        <v>13960</v>
      </c>
      <c r="E52" s="2550" t="s">
        <v>2040</v>
      </c>
      <c r="F52" s="2770">
        <f>'数据-取费表'!B41</f>
        <v>5.6000000000000001E-2</v>
      </c>
      <c r="G52" s="2771"/>
      <c r="H52" s="2760"/>
      <c r="I52" s="1986"/>
      <c r="J52" s="2739">
        <v>1</v>
      </c>
      <c r="K52" s="3226" t="s">
        <v>2041</v>
      </c>
      <c r="L52" s="3226"/>
      <c r="M52" s="2741" t="b">
        <f>D48</f>
        <v>0</v>
      </c>
      <c r="N52" s="2739" t="str">
        <f>E48</f>
        <v>销售额×税（费）率</v>
      </c>
      <c r="O52" s="2742">
        <f>F48</f>
        <v>5.6000000000000001E-2</v>
      </c>
    </row>
    <row r="53" spans="1:35" ht="12" customHeight="1">
      <c r="A53" s="2551" t="s">
        <v>2042</v>
      </c>
      <c r="B53" s="3250" t="s">
        <v>3033</v>
      </c>
      <c r="C53" s="3251"/>
      <c r="D53" s="1240">
        <f ca="1">ROUND(D45*'数据-取费表'!B41/(1+'数据-取费表'!C42),0)</f>
        <v>13960</v>
      </c>
      <c r="E53" s="2550" t="s">
        <v>2040</v>
      </c>
      <c r="F53" s="2770">
        <f>'数据-取费表'!B41</f>
        <v>5.6000000000000001E-2</v>
      </c>
      <c r="G53" s="2771"/>
      <c r="H53" s="2760"/>
      <c r="I53" s="1986"/>
      <c r="J53" s="2739">
        <v>2</v>
      </c>
      <c r="K53" s="3226" t="s">
        <v>2043</v>
      </c>
      <c r="L53" s="3226"/>
      <c r="M53" s="2741">
        <f t="shared" ref="M53:O54" ca="1" si="0">D55</f>
        <v>131</v>
      </c>
      <c r="N53" s="2739" t="str">
        <f t="shared" si="0"/>
        <v>销售额×税（费）率</v>
      </c>
      <c r="O53" s="2742" t="str">
        <f t="shared" si="0"/>
        <v>免征</v>
      </c>
    </row>
    <row r="54" spans="1:35" ht="12" customHeight="1">
      <c r="A54" s="2551" t="s">
        <v>2044</v>
      </c>
      <c r="B54" s="3250" t="s">
        <v>3034</v>
      </c>
      <c r="C54" s="3251"/>
      <c r="D54" s="1240">
        <f ca="1">C68</f>
        <v>13960</v>
      </c>
      <c r="E54" s="332" t="s">
        <v>2045</v>
      </c>
      <c r="F54" s="2770">
        <f>'数据-取费表'!B41</f>
        <v>5.6000000000000001E-2</v>
      </c>
      <c r="G54" s="2771"/>
      <c r="H54" s="2772"/>
      <c r="I54" s="1986"/>
      <c r="J54" s="2739">
        <v>3</v>
      </c>
      <c r="K54" s="3226" t="s">
        <v>2046</v>
      </c>
      <c r="L54" s="3226"/>
      <c r="M54" s="2741">
        <f t="shared" ca="1" si="0"/>
        <v>148155</v>
      </c>
      <c r="N54" s="2739" t="str">
        <f t="shared" si="0"/>
        <v>增值额×税（费）率</v>
      </c>
      <c r="O54" s="2743" t="str">
        <f t="shared" si="0"/>
        <v>免征</v>
      </c>
    </row>
    <row r="55" spans="1:35" ht="24" customHeight="1">
      <c r="A55" s="3289" t="s">
        <v>2047</v>
      </c>
      <c r="B55" s="3267"/>
      <c r="C55" s="3267"/>
      <c r="D55" s="2540">
        <f ca="1">IF(H55="个人住宅",0,ROUND(D45*I55,0))</f>
        <v>131</v>
      </c>
      <c r="E55" s="2550" t="s">
        <v>2048</v>
      </c>
      <c r="F55" s="2770" t="str">
        <f>IF(H55="正常",I55,"免征")</f>
        <v>免征</v>
      </c>
      <c r="G55" s="2771"/>
      <c r="H55" s="2766"/>
      <c r="I55" s="169">
        <f>'数据-取费表'!B49</f>
        <v>5.0000000000000001E-4</v>
      </c>
      <c r="J55" s="2739">
        <f>IF(H59="非个人房产","",4)</f>
        <v>4</v>
      </c>
      <c r="K55" s="3226" t="str">
        <f>IF(H59="非个人房产","——","个人所得税")</f>
        <v>个人所得税</v>
      </c>
      <c r="L55" s="3226"/>
      <c r="M55" s="2744">
        <f ca="1">D59</f>
        <v>2493</v>
      </c>
      <c r="N55" s="2221" t="str">
        <f>E59</f>
        <v>差额计税</v>
      </c>
      <c r="O55" s="2745">
        <f>F59</f>
        <v>0.01</v>
      </c>
    </row>
    <row r="56" spans="1:35" ht="24.75">
      <c r="A56" s="3289" t="s">
        <v>2049</v>
      </c>
      <c r="B56" s="3267"/>
      <c r="C56" s="3267"/>
      <c r="D56" s="2540">
        <f ca="1">IF(H56="个人住宅",D57,D58)</f>
        <v>148155</v>
      </c>
      <c r="E56" s="2550" t="s">
        <v>2050</v>
      </c>
      <c r="F56" s="2770" t="str">
        <f>IF(H56="正常",F58,"免征")</f>
        <v>免征</v>
      </c>
      <c r="G56" s="2773" t="s">
        <v>2051</v>
      </c>
      <c r="H56" s="2774"/>
      <c r="I56" s="1987"/>
      <c r="J56" s="2739" t="str">
        <f>IF(项目基本情况!K6="上海银行",IF(J55="",4,J55+1),"")</f>
        <v/>
      </c>
      <c r="K56" s="3207" t="str">
        <f>IF(项目基本情况!K6="上海银行","其他处置费用","")</f>
        <v/>
      </c>
      <c r="L56" s="3208"/>
      <c r="M56" s="2741" t="str">
        <f>IF(项目基本情况!K6="上海银行",M69,"")</f>
        <v/>
      </c>
      <c r="N56" s="3207" t="str">
        <f>IF(项目基本情况!K6="上海银行","包含处置中涉及的律师、诉讼、拍卖、评估等费用","")</f>
        <v/>
      </c>
      <c r="O56" s="3210"/>
    </row>
    <row r="57" spans="1:35" ht="12.75">
      <c r="A57" s="2551" t="s">
        <v>2027</v>
      </c>
      <c r="B57" s="3250" t="s">
        <v>2052</v>
      </c>
      <c r="C57" s="3251"/>
      <c r="D57" s="1769">
        <v>0</v>
      </c>
      <c r="E57" s="329" t="s">
        <v>2029</v>
      </c>
      <c r="F57" s="307"/>
      <c r="G57" s="2771"/>
      <c r="H57" s="2775"/>
      <c r="I57" s="1987"/>
      <c r="J57" s="3226">
        <f>IF(AND(J55="",J56=""),4,IF(项目基本情况!K6="上海银行",结果表!J56+1,结果表!J55+1))</f>
        <v>5</v>
      </c>
      <c r="K57" s="3226" t="s">
        <v>2053</v>
      </c>
      <c r="L57" s="2746" t="s">
        <v>2054</v>
      </c>
      <c r="M57" s="2747"/>
      <c r="N57" s="2748">
        <f ca="1">SUMIF(M52:M56,"&lt;9e307")</f>
        <v>150779</v>
      </c>
      <c r="O57" s="2749"/>
      <c r="P57" s="2909">
        <f ca="1">N57/M49</f>
        <v>0.5760244195019828</v>
      </c>
    </row>
    <row r="58" spans="1:35" ht="24.75">
      <c r="A58" s="2551" t="s">
        <v>2038</v>
      </c>
      <c r="B58" s="3250" t="s">
        <v>2055</v>
      </c>
      <c r="C58" s="3249"/>
      <c r="D58" s="2540">
        <f ca="1">IF(H58="转让取得",C81,C97)</f>
        <v>148155</v>
      </c>
      <c r="E58" s="2550" t="s">
        <v>2050</v>
      </c>
      <c r="F58" s="307" t="s">
        <v>34</v>
      </c>
      <c r="G58" s="2771"/>
      <c r="H58" s="2774"/>
      <c r="I58" s="1987"/>
      <c r="J58" s="3226"/>
      <c r="K58" s="3226"/>
      <c r="L58" s="2746" t="s">
        <v>2056</v>
      </c>
      <c r="M58" s="2750"/>
      <c r="N58" s="2751" t="str">
        <f ca="1">NUMBERSTRING(INT(N57*10000),2)&amp;"元整"</f>
        <v>壹拾伍亿零柒佰柒拾玖万元整</v>
      </c>
      <c r="O58" s="2752"/>
    </row>
    <row r="59" spans="1:35" ht="24.75" thickBot="1">
      <c r="A59" s="3230" t="s">
        <v>2057</v>
      </c>
      <c r="B59" s="3231"/>
      <c r="C59" s="3231"/>
      <c r="D59" s="2776">
        <f ca="1">IF(H59="非个人房产","——",IF(H59="个人住宅（满五唯一有凭证）",0,IF(H59="个人其他（无凭证）",ROUND(D45*F59,0),ROUND(C67*F59,0))))</f>
        <v>2493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5"/>
      <c r="I59" s="2524" t="s">
        <v>2877</v>
      </c>
      <c r="J59" s="3228">
        <f>J57+1</f>
        <v>6</v>
      </c>
      <c r="K59" s="3226" t="s">
        <v>2058</v>
      </c>
      <c r="L59" s="2739" t="s">
        <v>2054</v>
      </c>
      <c r="M59" s="2753"/>
      <c r="N59" s="2754">
        <f ca="1">M49-N57</f>
        <v>110979</v>
      </c>
      <c r="O59" s="2755"/>
    </row>
    <row r="60" spans="1:35" ht="12" customHeight="1">
      <c r="A60" s="1988"/>
      <c r="B60" s="1926"/>
      <c r="C60" s="1926"/>
      <c r="D60" s="1926"/>
      <c r="E60" s="1757"/>
      <c r="F60" s="1987"/>
      <c r="G60" s="1987"/>
      <c r="H60" s="1989"/>
      <c r="I60" s="133"/>
      <c r="J60" s="3229"/>
      <c r="K60" s="3226"/>
      <c r="L60" s="2746" t="s">
        <v>2056</v>
      </c>
      <c r="M60" s="2750"/>
      <c r="N60" s="2751" t="str">
        <f ca="1">NUMBERSTRING(INT(N59*10000),2)&amp;"元整"</f>
        <v>壹拾壹亿零玖佰柒拾玖万元整</v>
      </c>
      <c r="O60" s="2752"/>
    </row>
    <row r="61" spans="1:35" ht="13.5" thickBot="1">
      <c r="A61" s="3288" t="s">
        <v>2059</v>
      </c>
      <c r="B61" s="3288"/>
      <c r="C61" s="3288"/>
      <c r="D61" s="3288"/>
      <c r="E61" s="3288"/>
      <c r="F61" s="1987"/>
      <c r="G61" s="1987"/>
      <c r="H61" s="1989"/>
      <c r="I61" s="133"/>
      <c r="J61" s="2739">
        <f>J59+1</f>
        <v>7</v>
      </c>
      <c r="K61" s="3226" t="s">
        <v>2060</v>
      </c>
      <c r="L61" s="3226"/>
      <c r="M61" s="2756"/>
      <c r="N61" s="2757">
        <f ca="1">ROUND(N59*10000/'数据-汇总表'!E3,0)</f>
        <v>10890</v>
      </c>
      <c r="O61" s="2758"/>
    </row>
    <row r="62" spans="1:35" ht="12.75">
      <c r="A62" s="3245" t="s">
        <v>2061</v>
      </c>
      <c r="B62" s="3246"/>
      <c r="C62" s="2202"/>
      <c r="D62" s="2202" t="s">
        <v>2062</v>
      </c>
      <c r="E62" s="170" t="s">
        <v>2063</v>
      </c>
      <c r="F62" s="1987"/>
      <c r="G62" s="1987"/>
      <c r="H62" s="1989"/>
      <c r="I62" s="133"/>
    </row>
    <row r="63" spans="1:35" ht="12.75">
      <c r="A63" s="177" t="s">
        <v>775</v>
      </c>
      <c r="B63" s="171" t="s">
        <v>2064</v>
      </c>
      <c r="C63" s="2780">
        <f ca="1">ROUND((C64+C65)/(1+'数据-取费表'!C42),0)</f>
        <v>249293</v>
      </c>
      <c r="D63" s="171"/>
      <c r="E63" s="172"/>
      <c r="F63" s="1987"/>
      <c r="G63" s="1987"/>
      <c r="H63" s="1989"/>
      <c r="I63" s="133"/>
      <c r="J63" s="3209" t="s">
        <v>2065</v>
      </c>
      <c r="K63" s="1495" t="s">
        <v>2066</v>
      </c>
      <c r="L63" s="1495">
        <f ca="1">IF(M49&gt;10000,M49*0.5%,IF(AND(M49&gt;1000,M49&lt;=10000),M49*1%,IF(AND(M49&gt;100,M49&lt;=1000),M49*3%,IF(AND(M49&gt;10,M49&lt;=100),M49*5%,M49*8%))))</f>
        <v>1308.79</v>
      </c>
      <c r="M63" s="307">
        <f ca="1">ROUND(L63,1)</f>
        <v>1308.8</v>
      </c>
      <c r="N63" s="2759"/>
      <c r="Z63" s="1931"/>
      <c r="AI63" s="1932"/>
    </row>
    <row r="64" spans="1:35" ht="14.25" customHeight="1">
      <c r="A64" s="173" t="s">
        <v>770</v>
      </c>
      <c r="B64" s="174" t="s">
        <v>2067</v>
      </c>
      <c r="C64" s="2781">
        <f ca="1">D45</f>
        <v>261758</v>
      </c>
      <c r="D64" s="174" t="s">
        <v>32</v>
      </c>
      <c r="E64" s="176"/>
      <c r="F64" s="1987"/>
      <c r="G64" s="1987"/>
      <c r="H64" s="1989"/>
      <c r="I64" s="133"/>
      <c r="J64" s="3209"/>
      <c r="K64" s="1495" t="s">
        <v>2068</v>
      </c>
      <c r="L64" s="1495">
        <f ca="1">IF(M49&gt;2000,M49*0.5%,IF(AND(M49&gt;1000,M49&lt;=2000),M49*0.6%,IF(AND(M49&gt;500,M49&lt;=1000),M49*0.7%,IF(AND(M49&gt;200,M49&lt;=500),M49*0.8%,IF(AND(M49&gt;100,M49&lt;=200),M49*0.9%,IF(AND(M49&gt;50,M49&lt;=100),M49*1%,IF(AND(M49&gt;20,M49&lt;=50),M49*1.5%,IF(AND(M49&gt;10,M49&lt;=20),M49*2%,IF(AND(M49&gt;1,M49&lt;=10),M49*2.5%)))))))))</f>
        <v>1308.79</v>
      </c>
      <c r="M64" s="307">
        <f ca="1">ROUND(L64,1)</f>
        <v>1308.8</v>
      </c>
      <c r="N64" s="2760" t="s">
        <v>2069</v>
      </c>
      <c r="Z64" s="1931"/>
      <c r="AI64" s="1932"/>
    </row>
    <row r="65" spans="1:35" ht="14.25" customHeight="1">
      <c r="A65" s="173" t="s">
        <v>771</v>
      </c>
      <c r="B65" s="174" t="s">
        <v>2070</v>
      </c>
      <c r="C65" s="2782"/>
      <c r="D65" s="174"/>
      <c r="E65" s="176"/>
      <c r="F65" s="1987"/>
      <c r="G65" s="1987"/>
      <c r="H65" s="1989"/>
      <c r="I65" s="133"/>
      <c r="J65" s="3209"/>
      <c r="K65" s="1495" t="s">
        <v>2071</v>
      </c>
      <c r="L65" s="1495">
        <f ca="1">IF(M49&gt;1000,M49*0.1%,IF(AND(M49&gt;500,M49&lt;=1000),M49*0.5%,IF(AND(M49&gt;50,M49&lt;=500),M49*1%,IF(AND(M49&gt;1,M49&lt;=50),M49*1.5%))))</f>
        <v>261.75799999999998</v>
      </c>
      <c r="M65" s="307">
        <f ca="1">ROUND(L65,1)</f>
        <v>261.8</v>
      </c>
      <c r="N65" s="2760" t="s">
        <v>2069</v>
      </c>
      <c r="Z65" s="1931"/>
      <c r="AI65" s="1932"/>
    </row>
    <row r="66" spans="1:35" ht="14.25" customHeight="1">
      <c r="A66" s="177" t="s">
        <v>772</v>
      </c>
      <c r="B66" s="178" t="s">
        <v>2072</v>
      </c>
      <c r="C66" s="2783"/>
      <c r="D66" s="178" t="s">
        <v>32</v>
      </c>
      <c r="E66" s="1503" t="s">
        <v>1337</v>
      </c>
      <c r="F66" s="1987"/>
      <c r="G66" s="1987"/>
      <c r="H66" s="1989"/>
      <c r="I66" s="133"/>
      <c r="J66" s="3209"/>
      <c r="K66" s="1495" t="s">
        <v>2073</v>
      </c>
      <c r="L66" s="1495">
        <f ca="1">M49*0.5%</f>
        <v>1308.79</v>
      </c>
      <c r="M66" s="307">
        <f ca="1">IF(L66&gt;0.5,0.5,ROUND(L66,0))</f>
        <v>0.5</v>
      </c>
      <c r="N66" s="2760" t="s">
        <v>2074</v>
      </c>
      <c r="Z66" s="1931"/>
      <c r="AI66" s="1932"/>
    </row>
    <row r="67" spans="1:35" ht="14.25" customHeight="1">
      <c r="A67" s="177" t="s">
        <v>773</v>
      </c>
      <c r="B67" s="178" t="s">
        <v>2075</v>
      </c>
      <c r="C67" s="2784">
        <f ca="1">C63-C66</f>
        <v>249293</v>
      </c>
      <c r="D67" s="174" t="s">
        <v>32</v>
      </c>
      <c r="E67" s="176"/>
      <c r="F67" s="1987"/>
      <c r="G67" s="1987"/>
      <c r="H67" s="1989"/>
      <c r="I67" s="133"/>
      <c r="J67" s="3209"/>
      <c r="K67" s="1495" t="s">
        <v>2076</v>
      </c>
      <c r="L67" s="1495">
        <f ca="1">IF(M49&gt;=10000,(8.25+(M49-10000)*0.01%),IF(AND(M49&gt;=8000,M49&lt;10000),(7.85+(M49-8000)*0.02%),IF(AND(M49&gt;=5000,M49&lt;8000),(6.65+(M49-5000)*0.04%),IF(AND(M49&gt;=2000,M49&lt;5000),(4.25+(PM49-2000)*0.08%),IF(AND(M49&gt;=1000,M49&lt;2000),(2.75+(M49-1000)*0.15%),IF(AND(M49&gt;=100,M49&lt;1000),(0.5+(M49-100)*0.25%),IF(AND(M49&gt;0,M49&lt;100),M49*0.5%)))))))</f>
        <v>33.425800000000002</v>
      </c>
      <c r="M67" s="307">
        <f ca="1">ROUND(L67*0.9,1)</f>
        <v>30.1</v>
      </c>
      <c r="N67" s="2759"/>
      <c r="Z67" s="1931"/>
      <c r="AI67" s="1932"/>
    </row>
    <row r="68" spans="1:35" ht="14.25" customHeight="1" thickBot="1">
      <c r="A68" s="180" t="s">
        <v>774</v>
      </c>
      <c r="B68" s="181" t="s">
        <v>2077</v>
      </c>
      <c r="C68" s="2785">
        <f ca="1">IF(C67&lt;=0,0,ROUND(C67*D68,0))</f>
        <v>13960</v>
      </c>
      <c r="D68" s="2786">
        <f>'数据-取费表'!B41</f>
        <v>5.6000000000000001E-2</v>
      </c>
      <c r="E68" s="183"/>
      <c r="F68" s="1987"/>
      <c r="G68" s="1987"/>
      <c r="H68" s="1989"/>
      <c r="I68" s="133"/>
      <c r="J68" s="3209"/>
      <c r="K68" s="1495" t="s">
        <v>2078</v>
      </c>
      <c r="L68" s="1495">
        <f ca="1">IF(M49&gt;10000,M49*0.5%,IF(AND(M49&gt;5000,M49&lt;=10000),M49*1%,IF(AND(M49&gt;1000,M49&lt;=5000),M49*2%,IF(AND(M49&gt;200,M49&lt;=1000),M49*3%,M49*5%))))</f>
        <v>1308.79</v>
      </c>
      <c r="M68" s="307">
        <f ca="1">ROUND(L68,1)</f>
        <v>1308.8</v>
      </c>
      <c r="N68" s="2759"/>
      <c r="Z68" s="1931"/>
      <c r="AI68" s="1932"/>
    </row>
    <row r="69" spans="1:35" s="1951" customFormat="1" ht="16.5" customHeight="1">
      <c r="A69" s="1990"/>
      <c r="B69" s="1991"/>
      <c r="C69" s="1992"/>
      <c r="D69" s="1993"/>
      <c r="E69" s="1994"/>
      <c r="F69" s="1757"/>
      <c r="G69" s="1757"/>
      <c r="H69" s="1756"/>
      <c r="I69" s="1926"/>
      <c r="J69" s="3209"/>
      <c r="K69" s="1495" t="s">
        <v>2079</v>
      </c>
      <c r="L69" s="1495"/>
      <c r="M69" s="307">
        <f ca="1">ROUND(SUM(M63:M68),0)</f>
        <v>4219</v>
      </c>
      <c r="N69" s="2761">
        <f ca="1">M69/M49</f>
        <v>1.611794099893795E-2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53" t="s">
        <v>2080</v>
      </c>
      <c r="B70" s="3254"/>
      <c r="C70" s="3254"/>
      <c r="D70" s="3254"/>
      <c r="E70" s="3254"/>
      <c r="F70" s="3254"/>
      <c r="G70" s="3254"/>
      <c r="H70" s="3254"/>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45" t="s">
        <v>2061</v>
      </c>
      <c r="B71" s="3246"/>
      <c r="C71" s="2202"/>
      <c r="D71" s="2202" t="s">
        <v>2062</v>
      </c>
      <c r="E71" s="184" t="s">
        <v>2063</v>
      </c>
      <c r="F71" s="185"/>
      <c r="G71" s="185"/>
      <c r="H71" s="186"/>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2081</v>
      </c>
      <c r="C72" s="2784">
        <f ca="1">ROUND(D45/(1+'数据-取费表'!C42),0)</f>
        <v>249293</v>
      </c>
      <c r="D72" s="174" t="s">
        <v>32</v>
      </c>
      <c r="E72" s="2547"/>
      <c r="F72" s="2546"/>
      <c r="G72" s="2546"/>
      <c r="H72" s="187"/>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2082</v>
      </c>
      <c r="C73" s="2784">
        <f ca="1">C74+C78</f>
        <v>1496</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2083</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2084</v>
      </c>
      <c r="C75" s="2787"/>
      <c r="D75" s="174" t="s">
        <v>32</v>
      </c>
      <c r="E75" s="189" t="s">
        <v>2085</v>
      </c>
      <c r="F75" s="2788"/>
      <c r="G75" s="189" t="s">
        <v>2086</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2087</v>
      </c>
      <c r="C76" s="174">
        <f>IF(F75="购房发票",ROUND(C75*H75*D76,0),0)</f>
        <v>0</v>
      </c>
      <c r="D76" s="2790">
        <v>0.05</v>
      </c>
      <c r="E76" s="3250" t="s">
        <v>2088</v>
      </c>
      <c r="F76" s="3249"/>
      <c r="G76" s="3249"/>
      <c r="H76" s="3252"/>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2089</v>
      </c>
      <c r="C77" s="174">
        <f>ROUND(IF(G77="个人住宅",0,IF(G77="2016年5月1日前购买",C75*D77,C75*D77/(1+'数据-取费表'!C42))),0)</f>
        <v>0</v>
      </c>
      <c r="D77" s="2791">
        <f>'数据-取费表'!B48+'数据-取费表'!B49</f>
        <v>3.0499999999999999E-2</v>
      </c>
      <c r="E77" s="2540" t="s">
        <v>2090</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2091</v>
      </c>
      <c r="C78" s="2792">
        <f ca="1">ROUND(D45*D78/(1+'数据-取费表'!C42),0)</f>
        <v>1496</v>
      </c>
      <c r="D78" s="2793">
        <f>'数据-取费表'!B43</f>
        <v>6.000000000000001E-3</v>
      </c>
      <c r="E78" s="3242" t="s">
        <v>2092</v>
      </c>
      <c r="F78" s="3243"/>
      <c r="G78" s="3243"/>
      <c r="H78" s="3244"/>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2093</v>
      </c>
      <c r="C79" s="2784">
        <f ca="1">C72-C73</f>
        <v>247797</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2094</v>
      </c>
      <c r="C80" s="2794">
        <f ca="1">IF(C79&lt;=0,0,C79/C73)</f>
        <v>165.63970588235293</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2095</v>
      </c>
      <c r="C81" s="2795">
        <f ca="1">ROUND(IF(C79&lt;=0,0,IF(C80&gt;=200%,C79*60%-C73*35%,IF(C80&gt;=100%,C79*50%-C73*15%,IF(C80&gt;=50%,C79*40%-C73*5%,IF(C80&lt;50%,C79*30%,0))))),0)</f>
        <v>148155</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53" t="s">
        <v>2096</v>
      </c>
      <c r="B83" s="3254"/>
      <c r="C83" s="3254"/>
      <c r="D83" s="3254"/>
      <c r="E83" s="3254"/>
      <c r="F83" s="3254"/>
      <c r="G83" s="3254"/>
      <c r="H83" s="3254"/>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45" t="s">
        <v>2061</v>
      </c>
      <c r="B84" s="3246"/>
      <c r="C84" s="2202"/>
      <c r="D84" s="2202" t="s">
        <v>2062</v>
      </c>
      <c r="E84" s="184" t="s">
        <v>2063</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2081</v>
      </c>
      <c r="C85" s="2784">
        <f ca="1">ROUND(D45/(1+'数据-取费表'!C42),0)</f>
        <v>249293</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2082</v>
      </c>
      <c r="C86" s="2784">
        <f ca="1">IF(H88="仅含出让金",C87+C90+C91+C92+C93+C94,C87+C91+C92+C93+C94)</f>
        <v>1496</v>
      </c>
      <c r="D86" s="2797"/>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2097</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2098</v>
      </c>
      <c r="C88" s="2798"/>
      <c r="D88" s="2793"/>
      <c r="E88" s="198" t="s">
        <v>2099</v>
      </c>
      <c r="F88" s="2543"/>
      <c r="G88" s="199" t="s">
        <v>2100</v>
      </c>
      <c r="H88" s="2003"/>
      <c r="I88" s="2000"/>
      <c r="J88" s="2737"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2089</v>
      </c>
      <c r="C89" s="2792">
        <f>ROUND(C88*D89,0)</f>
        <v>0</v>
      </c>
      <c r="D89" s="2793">
        <f>'数据-取费表'!B48+'数据-取费表'!B49</f>
        <v>3.0499999999999999E-2</v>
      </c>
      <c r="E89" s="198" t="s">
        <v>2101</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2102</v>
      </c>
      <c r="C90" s="2798"/>
      <c r="D90" s="2793"/>
      <c r="E90" s="198" t="str">
        <f>IF(H88="-","土地取得成本中已包含该笔费用"," ")</f>
        <v xml:space="preserve"> </v>
      </c>
      <c r="F90" s="2543"/>
      <c r="G90" s="3211" t="s">
        <v>2869</v>
      </c>
      <c r="H90" s="3212"/>
      <c r="I90" s="2000"/>
      <c r="J90" s="2737"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2103</v>
      </c>
      <c r="B91" s="174" t="s">
        <v>2104</v>
      </c>
      <c r="C91" s="2792">
        <f>IF(H91="——",成本法!C33,I91)</f>
        <v>0</v>
      </c>
      <c r="D91" s="2793"/>
      <c r="E91" s="3242" t="s">
        <v>2105</v>
      </c>
      <c r="F91" s="3243"/>
      <c r="G91" s="324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2106</v>
      </c>
      <c r="B92" s="174" t="s">
        <v>2107</v>
      </c>
      <c r="C92" s="2792">
        <f>ROUND((C87+C90+C91)*D92,0)</f>
        <v>0</v>
      </c>
      <c r="D92" s="2799"/>
      <c r="E92" s="3242" t="s">
        <v>2108</v>
      </c>
      <c r="F92" s="3243"/>
      <c r="G92" s="3243"/>
      <c r="H92" s="3244"/>
      <c r="I92" s="2000"/>
      <c r="J92" s="2738"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2109</v>
      </c>
      <c r="B93" s="174" t="s">
        <v>2091</v>
      </c>
      <c r="C93" s="2792">
        <f ca="1">ROUND(D45*D93/(1+'数据-取费表'!C42),0)</f>
        <v>1496</v>
      </c>
      <c r="D93" s="2793">
        <f>'数据-取费表'!B43</f>
        <v>6.000000000000001E-3</v>
      </c>
      <c r="E93" s="3242" t="s">
        <v>2092</v>
      </c>
      <c r="F93" s="3243"/>
      <c r="G93" s="3243"/>
      <c r="H93" s="3244"/>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2110</v>
      </c>
      <c r="B94" s="174" t="s">
        <v>2111</v>
      </c>
      <c r="C94" s="2798">
        <f>ROUND((C87+C90+C91)*D94,0)</f>
        <v>0</v>
      </c>
      <c r="D94" s="2793">
        <v>0.2</v>
      </c>
      <c r="E94" s="3290" t="s">
        <v>2112</v>
      </c>
      <c r="F94" s="3291"/>
      <c r="G94" s="3291"/>
      <c r="H94" s="3292"/>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2093</v>
      </c>
      <c r="C95" s="2784">
        <f ca="1">ROUND(C85-C86,0)</f>
        <v>247797</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2094</v>
      </c>
      <c r="C96" s="2794">
        <f ca="1">IF(C95&lt;=0,0,C95/C86)</f>
        <v>165.63970588235293</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2095</v>
      </c>
      <c r="C97" s="2795">
        <f ca="1">ROUND(IF(C95&lt;=0,0,IF(C96&gt;=200%,C95*60%-C86*35%,IF(C96&gt;=100%,C95*50%-C86*15%,IF(C96&gt;=50%,C95*40%-C86*5%,IF(C96&lt;50%,C95*30%,0))))),0)</f>
        <v>148155</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2113</v>
      </c>
      <c r="B99" s="1926"/>
      <c r="C99" s="1926"/>
      <c r="D99" s="1926"/>
      <c r="E99" s="1757"/>
      <c r="F99" s="1757"/>
      <c r="G99" s="1757"/>
      <c r="H99" s="1756"/>
      <c r="I99" s="133"/>
    </row>
    <row r="100" spans="1:35" ht="18.75" customHeight="1">
      <c r="A100" s="3192" t="s">
        <v>2114</v>
      </c>
      <c r="B100" s="3193"/>
      <c r="C100" s="3193"/>
      <c r="D100" s="3227"/>
      <c r="E100" s="3193" t="s">
        <v>2115</v>
      </c>
      <c r="F100" s="3193"/>
      <c r="G100" s="3193"/>
      <c r="H100" s="3227"/>
      <c r="I100" s="133"/>
    </row>
    <row r="101" spans="1:35" ht="18.75" customHeight="1">
      <c r="A101" s="3235" t="s">
        <v>2116</v>
      </c>
      <c r="B101" s="3236"/>
      <c r="C101" s="2801" t="str">
        <f>C4</f>
        <v>成本法</v>
      </c>
      <c r="D101" s="2802" t="str">
        <f>D4</f>
        <v>假设开发法</v>
      </c>
      <c r="E101" s="3205" t="s">
        <v>2117</v>
      </c>
      <c r="F101" s="3206"/>
      <c r="G101" s="2006" t="s">
        <v>2118</v>
      </c>
      <c r="H101" s="2811">
        <f ca="1">H118</f>
        <v>261758</v>
      </c>
      <c r="I101" s="133"/>
    </row>
    <row r="102" spans="1:35" ht="18.75" customHeight="1">
      <c r="A102" s="3237" t="s">
        <v>2119</v>
      </c>
      <c r="B102" s="2800" t="s">
        <v>2118</v>
      </c>
      <c r="C102" s="2801">
        <f ca="1">C19</f>
        <v>317224</v>
      </c>
      <c r="D102" s="2802">
        <f ca="1">D19</f>
        <v>224781</v>
      </c>
      <c r="E102" s="3205"/>
      <c r="F102" s="3206"/>
      <c r="G102" s="2006" t="s">
        <v>2120</v>
      </c>
      <c r="H102" s="2771">
        <f ca="1">I118</f>
        <v>25685</v>
      </c>
      <c r="I102" s="133"/>
    </row>
    <row r="103" spans="1:35" ht="42.75" customHeight="1">
      <c r="A103" s="3237"/>
      <c r="B103" s="2800" t="s">
        <v>2120</v>
      </c>
      <c r="C103" s="2803">
        <f ca="1">C20</f>
        <v>31127</v>
      </c>
      <c r="D103" s="2804">
        <f ca="1">D20</f>
        <v>22056</v>
      </c>
      <c r="E103" s="3198" t="s">
        <v>2121</v>
      </c>
      <c r="F103" s="3199"/>
      <c r="G103" s="2007" t="s">
        <v>2122</v>
      </c>
      <c r="H103" s="2811">
        <f>IF(D36="正常操作",H104+H105+H106,H105+H106)</f>
        <v>0</v>
      </c>
      <c r="I103" s="133"/>
    </row>
    <row r="104" spans="1:35" ht="18.75" customHeight="1">
      <c r="A104" s="3237" t="s">
        <v>2123</v>
      </c>
      <c r="B104" s="2805" t="s">
        <v>2118</v>
      </c>
      <c r="C104" s="2806">
        <f ca="1">H118</f>
        <v>261758</v>
      </c>
      <c r="D104" s="2807"/>
      <c r="E104" s="1853" t="s">
        <v>2124</v>
      </c>
      <c r="F104" s="1845"/>
      <c r="G104" s="2007" t="s">
        <v>2122</v>
      </c>
      <c r="H104" s="2812">
        <f>IF(D36="同一抵押权人同一抵押物续贷",C36&amp;"（续贷，未扣减，详见特别提示）",C36)</f>
        <v>0</v>
      </c>
      <c r="I104" s="133"/>
    </row>
    <row r="105" spans="1:35" ht="18.75" customHeight="1" thickBot="1">
      <c r="A105" s="3247"/>
      <c r="B105" s="2808" t="s">
        <v>2120</v>
      </c>
      <c r="C105" s="2809">
        <f ca="1">I118</f>
        <v>25685</v>
      </c>
      <c r="D105" s="2810"/>
      <c r="E105" s="1853" t="s">
        <v>2125</v>
      </c>
      <c r="F105" s="1845"/>
      <c r="G105" s="2007" t="s">
        <v>2122</v>
      </c>
      <c r="H105" s="2813">
        <f>C37</f>
        <v>0</v>
      </c>
      <c r="I105" s="133"/>
    </row>
    <row r="106" spans="1:35" ht="18.75" customHeight="1">
      <c r="A106" s="1926" t="s">
        <v>2126</v>
      </c>
      <c r="B106" s="1926"/>
      <c r="C106" s="1926"/>
      <c r="D106" s="1926"/>
      <c r="E106" s="2008" t="s">
        <v>2127</v>
      </c>
      <c r="F106" s="1845"/>
      <c r="G106" s="2007" t="s">
        <v>2122</v>
      </c>
      <c r="H106" s="2813">
        <f>C38</f>
        <v>0</v>
      </c>
      <c r="I106" s="133"/>
    </row>
    <row r="107" spans="1:35" ht="18.75" customHeight="1">
      <c r="A107" s="133"/>
      <c r="B107" s="133"/>
      <c r="C107" s="133"/>
      <c r="D107" s="133"/>
      <c r="E107" s="3238" t="str">
        <f>IF(项目基本情况!E8="已注销","——","3.房地产抵押价值")</f>
        <v>3.房地产抵押价值</v>
      </c>
      <c r="F107" s="3206"/>
      <c r="G107" s="2006" t="s">
        <v>2118</v>
      </c>
      <c r="H107" s="2811">
        <f ca="1">IF(E107="——","——",H101-H103)</f>
        <v>261758</v>
      </c>
      <c r="I107" s="133"/>
    </row>
    <row r="108" spans="1:35" ht="18.75" customHeight="1">
      <c r="A108" s="133"/>
      <c r="B108" s="133"/>
      <c r="C108" s="133"/>
      <c r="D108" s="133"/>
      <c r="E108" s="3238"/>
      <c r="F108" s="3206"/>
      <c r="G108" s="2006" t="s">
        <v>2120</v>
      </c>
      <c r="H108" s="2771">
        <f ca="1">ROUND(H107*10000/'数据-汇总表'!E3,0)</f>
        <v>25685</v>
      </c>
      <c r="I108" s="133"/>
    </row>
    <row r="109" spans="1:35" ht="18.75" customHeight="1">
      <c r="A109" s="133"/>
      <c r="B109" s="133"/>
      <c r="C109" s="133"/>
      <c r="D109" s="133"/>
      <c r="E109" s="3238" t="str">
        <f>IF(项目基本情况!E8="已注销及未注销","4.抵押担保权已注销时的房地产抵押价值",IF(项目基本情况!E8="已注销","3.抵押担保权已注销时的房地产抵押价值","——"))</f>
        <v>——</v>
      </c>
      <c r="F109" s="3206"/>
      <c r="G109" s="2006" t="s">
        <v>2118</v>
      </c>
      <c r="H109" s="2814" t="str">
        <f>IF(E109="——","——",H101-H105-H106)</f>
        <v>——</v>
      </c>
      <c r="I109" s="133"/>
    </row>
    <row r="110" spans="1:35" ht="18.75" customHeight="1">
      <c r="A110" s="133"/>
      <c r="B110" s="133"/>
      <c r="C110" s="133"/>
      <c r="D110" s="133"/>
      <c r="E110" s="3238"/>
      <c r="F110" s="3206"/>
      <c r="G110" s="2006" t="s">
        <v>2120</v>
      </c>
      <c r="H110" s="2771" t="str">
        <f>IF(H109="——","——",ROUND(H109*10000/'数据-汇总表'!E3,0))</f>
        <v>——</v>
      </c>
      <c r="I110" s="133"/>
    </row>
    <row r="111" spans="1:35" ht="18.75" customHeight="1">
      <c r="A111" s="133"/>
      <c r="B111" s="133"/>
      <c r="C111" s="133"/>
      <c r="D111" s="133"/>
      <c r="E111" s="3239" t="str">
        <f>IF(项目基本情况!E9="抵押净值",IF(OR(项目基本情况!E8="已注销",项目基本情况!E8="房地产抵押价值"),"4.抵押净值","5.抵押净值"),"——")</f>
        <v>——</v>
      </c>
      <c r="F111" s="3225"/>
      <c r="G111" s="2006" t="s">
        <v>2118</v>
      </c>
      <c r="H111" s="2811" t="str">
        <f>IF(E111="——","——",N59)</f>
        <v>——</v>
      </c>
      <c r="I111" s="133"/>
    </row>
    <row r="112" spans="1:35" ht="18.75" customHeight="1" thickBot="1">
      <c r="A112" s="133"/>
      <c r="B112" s="133"/>
      <c r="C112" s="133"/>
      <c r="D112" s="133"/>
      <c r="E112" s="3240"/>
      <c r="F112" s="3241"/>
      <c r="G112" s="2009" t="s">
        <v>2120</v>
      </c>
      <c r="H112" s="2815" t="str">
        <f>IF(E111="——","——",N61)</f>
        <v>——</v>
      </c>
      <c r="I112" s="133"/>
    </row>
    <row r="113" spans="1:27" ht="18.75" customHeight="1">
      <c r="A113" s="133"/>
      <c r="B113" s="133"/>
      <c r="C113" s="133"/>
      <c r="D113" s="133"/>
      <c r="E113" s="3248" t="s">
        <v>2126</v>
      </c>
      <c r="F113" s="3248"/>
      <c r="G113" s="3248"/>
      <c r="H113" s="3248"/>
      <c r="I113" s="133"/>
    </row>
    <row r="114" spans="1:27" ht="3.75" customHeight="1">
      <c r="A114" s="1926"/>
      <c r="B114" s="1926"/>
      <c r="C114" s="1926"/>
      <c r="D114" s="1926"/>
      <c r="E114" s="1988"/>
      <c r="F114" s="1988"/>
      <c r="G114" s="1988"/>
      <c r="H114" s="1988"/>
      <c r="I114" s="1926"/>
    </row>
    <row r="115" spans="1:27" ht="18.75" customHeight="1">
      <c r="A115" s="3259" t="s">
        <v>2128</v>
      </c>
      <c r="B115" s="3260"/>
      <c r="C115" s="3260"/>
      <c r="D115" s="3260"/>
      <c r="E115" s="3260"/>
      <c r="F115" s="3260"/>
      <c r="G115" s="3260"/>
      <c r="H115" s="3260"/>
      <c r="I115" s="3261"/>
    </row>
    <row r="116" spans="1:27" ht="27" customHeight="1">
      <c r="A116" s="3213" t="s">
        <v>2129</v>
      </c>
      <c r="B116" s="3217" t="s">
        <v>2130</v>
      </c>
      <c r="C116" s="3217" t="s">
        <v>2131</v>
      </c>
      <c r="D116" s="3223" t="s">
        <v>2132</v>
      </c>
      <c r="E116" s="3224"/>
      <c r="F116" s="3255" t="s">
        <v>2133</v>
      </c>
      <c r="G116" s="3255"/>
      <c r="H116" s="3213" t="s">
        <v>2134</v>
      </c>
      <c r="I116" s="3213"/>
    </row>
    <row r="117" spans="1:27" ht="18.75" customHeight="1">
      <c r="A117" s="3213"/>
      <c r="B117" s="3218"/>
      <c r="C117" s="3218"/>
      <c r="D117" s="2545" t="s">
        <v>2135</v>
      </c>
      <c r="E117" s="2545" t="s">
        <v>2136</v>
      </c>
      <c r="F117" s="2545" t="s">
        <v>2135</v>
      </c>
      <c r="G117" s="2545" t="s">
        <v>2137</v>
      </c>
      <c r="H117" s="2545" t="s">
        <v>2135</v>
      </c>
      <c r="I117" s="2545" t="s">
        <v>2137</v>
      </c>
    </row>
    <row r="118" spans="1:27" ht="24.75" customHeight="1">
      <c r="A118" s="2816" t="str">
        <f>项目基本情况!S2</f>
        <v>北京市海淀区“海淀北部地区整体开发”永丰产业基地（新）HD00-0401-0158地块出让国有建设用地使用权及在建建筑物房地产</v>
      </c>
      <c r="B118" s="2545">
        <f>M18</f>
        <v>101912.04000000001</v>
      </c>
      <c r="C118" s="2545">
        <f>M19</f>
        <v>31970</v>
      </c>
      <c r="D118" s="2545">
        <f ca="1">ROUND(IF(D32="总价",C34,E118*B118/10000),0)</f>
        <v>236629</v>
      </c>
      <c r="E118" s="2545">
        <f ca="1">ROUND(IF(C33="自定义",IF(D32="楼面单价",C34,D118*10000/B118),I118-G118),0)</f>
        <v>23219</v>
      </c>
      <c r="F118" s="2545">
        <f ca="1">ROUND(IF(D32="总价",C35,G118*B118/10000),0)</f>
        <v>25129</v>
      </c>
      <c r="G118" s="2545">
        <f ca="1">ROUND(IF(D32="楼面单价",C35,F118*10000/B118),0)</f>
        <v>2466</v>
      </c>
      <c r="H118" s="2545">
        <f ca="1">ROUND(IF(D32="总价",C32,I118*B118/10000),0)</f>
        <v>261758</v>
      </c>
      <c r="I118" s="2545">
        <f ca="1">ROUND(IF(D32="楼面单价",C32,H118*10000/B118),0)</f>
        <v>25685</v>
      </c>
    </row>
    <row r="119" spans="1:27" ht="18.75" customHeight="1">
      <c r="A119" s="3213" t="s">
        <v>2138</v>
      </c>
      <c r="B119" s="3213"/>
      <c r="C119" s="3213"/>
      <c r="D119" s="3219" t="str">
        <f ca="1">NUMBERSTRING(INT(D118*10000),2)&amp;"元整"</f>
        <v>贰拾叁亿陆仟陆佰贰拾玖万元整</v>
      </c>
      <c r="E119" s="3220"/>
      <c r="F119" s="3219" t="str">
        <f ca="1">NUMBERSTRING(INT(F118*10000),2)&amp;"元整"</f>
        <v>贰亿伍仟壹佰贰拾玖万元整</v>
      </c>
      <c r="G119" s="3220"/>
      <c r="H119" s="3219" t="str">
        <f ca="1">NUMBERSTRING(INT(H118*10000),2)&amp;"元整"</f>
        <v>贰拾陆亿壹仟柒佰伍拾捌万元整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6" t="s">
        <v>2138</v>
      </c>
      <c r="B121" s="3257"/>
      <c r="C121" s="3258"/>
      <c r="D121" s="3219" t="str">
        <f>IF(D120=0,"零元整",NUMBERSTRING(INT(D120*10000),2)&amp;"元整")</f>
        <v>零元整</v>
      </c>
      <c r="E121" s="3221"/>
      <c r="F121" s="3221"/>
      <c r="G121" s="3221"/>
      <c r="H121" s="3221"/>
      <c r="I121" s="3220"/>
      <c r="AA121" s="733"/>
    </row>
    <row r="122" spans="1:27" ht="18.75" customHeight="1">
      <c r="A122" s="3225" t="str">
        <f>IF(项目基本情况!B9="房地产市场价值","",MID(E107,3,LEN(E107)-2))</f>
        <v>房地产抵押价值</v>
      </c>
      <c r="B122" s="3225"/>
      <c r="C122" s="3225"/>
      <c r="D122" s="3214">
        <f ca="1">H107</f>
        <v>261758</v>
      </c>
      <c r="E122" s="3215"/>
      <c r="F122" s="3215"/>
      <c r="G122" s="3215"/>
      <c r="H122" s="3215"/>
      <c r="I122" s="3216"/>
      <c r="AA122" s="733"/>
    </row>
    <row r="123" spans="1:27" ht="18.75" customHeight="1">
      <c r="A123" s="3213" t="s">
        <v>2138</v>
      </c>
      <c r="B123" s="3213"/>
      <c r="C123" s="3213"/>
      <c r="D123" s="3219" t="str">
        <f ca="1">NUMBERSTRING(INT(D122*10000),2)&amp;"元整"</f>
        <v>贰拾陆亿壹仟柒佰伍拾捌万元整</v>
      </c>
      <c r="E123" s="3221"/>
      <c r="F123" s="3221"/>
      <c r="G123" s="3221"/>
      <c r="H123" s="3221"/>
      <c r="I123" s="3220"/>
      <c r="AA123" s="733"/>
    </row>
    <row r="124" spans="1:27" ht="18.75" customHeight="1">
      <c r="A124" s="3225" t="str">
        <f>IF(项目基本情况!B9="房地产市场价值","",MID(E109,3,LEN(E109)-2))</f>
        <v/>
      </c>
      <c r="B124" s="3225"/>
      <c r="C124" s="3225"/>
      <c r="D124" s="3214" t="str">
        <f>H109</f>
        <v>——</v>
      </c>
      <c r="E124" s="3215"/>
      <c r="F124" s="3215"/>
      <c r="G124" s="3215"/>
      <c r="H124" s="3215"/>
      <c r="I124" s="3216"/>
      <c r="AA124" s="733"/>
    </row>
    <row r="125" spans="1:27" ht="18.75" customHeight="1">
      <c r="A125" s="3213" t="s">
        <v>2138</v>
      </c>
      <c r="B125" s="3213"/>
      <c r="C125" s="3213"/>
      <c r="D125" s="3219" t="e">
        <f>NUMBERSTRING(INT(D124*10000),2)&amp;"元整"</f>
        <v>#VALUE!</v>
      </c>
      <c r="E125" s="3221"/>
      <c r="F125" s="3221"/>
      <c r="G125" s="3221"/>
      <c r="H125" s="3221"/>
      <c r="I125" s="3220"/>
      <c r="AA125" s="733"/>
    </row>
    <row r="126" spans="1:27" ht="18.75" customHeight="1">
      <c r="A126" s="3225" t="str">
        <f>IF(项目基本情况!B9="房地产市场价值","",MID(E111,3,LEN(E111)-2))</f>
        <v/>
      </c>
      <c r="B126" s="3225"/>
      <c r="C126" s="3225"/>
      <c r="D126" s="3214" t="str">
        <f>H111</f>
        <v>——</v>
      </c>
      <c r="E126" s="3215"/>
      <c r="F126" s="3215"/>
      <c r="G126" s="3215"/>
      <c r="H126" s="3215"/>
      <c r="I126" s="3216"/>
      <c r="AA126" s="733"/>
    </row>
    <row r="127" spans="1:27" ht="18.75" customHeight="1">
      <c r="A127" s="3213" t="s">
        <v>2138</v>
      </c>
      <c r="B127" s="3213"/>
      <c r="C127" s="3213"/>
      <c r="D127" s="3219" t="e">
        <f>NUMBERSTRING(INT(D126*10000),2)&amp;"元整"</f>
        <v>#VALUE!</v>
      </c>
      <c r="E127" s="3221"/>
      <c r="F127" s="3221"/>
      <c r="G127" s="3221"/>
      <c r="H127" s="3221"/>
      <c r="I127" s="3220"/>
      <c r="AA127" s="733"/>
    </row>
    <row r="128" spans="1:27" ht="21.75" customHeight="1">
      <c r="A128" s="3222" t="s">
        <v>2139</v>
      </c>
      <c r="B128" s="3222"/>
      <c r="C128" s="3222"/>
      <c r="D128" s="3222"/>
      <c r="E128" s="3222"/>
      <c r="F128" s="3222"/>
      <c r="G128" s="3222"/>
      <c r="H128" s="3222"/>
      <c r="I128" s="3222"/>
      <c r="AA128" s="733"/>
    </row>
    <row r="129" spans="1:35" ht="21.75" customHeight="1">
      <c r="A129" s="2010" t="s">
        <v>2140</v>
      </c>
      <c r="B129" s="2011"/>
      <c r="C129" s="2012" t="s">
        <v>2141</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2142</v>
      </c>
      <c r="G135" s="2027"/>
      <c r="H135" s="2027"/>
      <c r="I135" s="2028" t="s">
        <v>2143</v>
      </c>
    </row>
    <row r="136" spans="1:35" ht="21.75" customHeight="1">
      <c r="A136" s="733"/>
      <c r="B136" s="2029"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2145</v>
      </c>
    </row>
    <row r="139" spans="1:35" ht="21.75" customHeight="1">
      <c r="A139" s="733"/>
      <c r="B139" s="2029" t="s">
        <v>2146</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2145</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94" t="str">
        <f>项目基本情况!B1</f>
        <v>北京市海淀区“海淀北部地区整体开发”永丰产业基地（新）HD00-0401-0158地块出让国有建设用地使用权及在建建筑物房地产抵押价值预评估</v>
      </c>
      <c r="C37" s="3094"/>
      <c r="D37" s="3094"/>
      <c r="E37" s="3094"/>
      <c r="F37" s="3094"/>
      <c r="G37" s="3094"/>
      <c r="H37" s="3094"/>
      <c r="I37" s="3094"/>
    </row>
    <row r="38" spans="1:9">
      <c r="A38" s="946"/>
      <c r="B38" s="946"/>
    </row>
    <row r="39" spans="1:9">
      <c r="A39" s="944" t="s">
        <v>818</v>
      </c>
      <c r="B39" s="944" t="s">
        <v>820</v>
      </c>
    </row>
    <row r="40" spans="1:9">
      <c r="A40" s="944"/>
      <c r="B40" s="1653" t="str">
        <f>项目基本情况!B5</f>
        <v>北京万永房地产开发有限公司</v>
      </c>
    </row>
    <row r="41" spans="1:9">
      <c r="A41" s="944"/>
      <c r="B41" s="944"/>
    </row>
    <row r="42" spans="1:9">
      <c r="A42" s="944" t="s">
        <v>818</v>
      </c>
      <c r="B42" s="944" t="s">
        <v>821</v>
      </c>
    </row>
    <row r="43" spans="1:9">
      <c r="A43" s="944"/>
      <c r="B43" s="1653" t="s">
        <v>822</v>
      </c>
    </row>
    <row r="44" spans="1:9">
      <c r="A44" s="944"/>
      <c r="B44" s="944"/>
    </row>
    <row r="45" spans="1:9">
      <c r="A45" s="944" t="s">
        <v>818</v>
      </c>
      <c r="B45" s="944" t="s">
        <v>823</v>
      </c>
    </row>
    <row r="46" spans="1:9" s="944" customFormat="1" ht="12.75">
      <c r="B46" s="1653" t="str">
        <f ca="1">项目基本情况!K4</f>
        <v>郑燚（注册号：1120070131)、崔锴（注册号：1120100036)</v>
      </c>
    </row>
    <row r="47" spans="1:9">
      <c r="A47" s="944"/>
      <c r="B47" s="944" t="str">
        <f>项目基本情况!K5</f>
        <v>（注册号：0)、（注册号：0)</v>
      </c>
    </row>
    <row r="48" spans="1:9">
      <c r="A48" s="944" t="s">
        <v>818</v>
      </c>
      <c r="B48" s="944"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48"/>
      <c r="C1" s="203"/>
      <c r="D1" s="203"/>
      <c r="E1" s="203"/>
      <c r="F1" s="203"/>
      <c r="G1" s="1281">
        <f>MATCH(B1,'数据-取费表'!A6:A16,0)+5</f>
        <v>9</v>
      </c>
    </row>
    <row r="2" spans="1:9" s="205" customFormat="1" ht="18" customHeight="1">
      <c r="A2" s="206" t="s">
        <v>2148</v>
      </c>
      <c r="B2" s="207">
        <f ca="1">IF(D2="——",C52,C52-E2)</f>
        <v>317224</v>
      </c>
      <c r="C2" s="204" t="s">
        <v>2149</v>
      </c>
      <c r="D2" s="2032" t="s">
        <v>70</v>
      </c>
      <c r="E2" s="1324" t="e">
        <f ca="1">SUMIF(INDIRECT("'"&amp;G2&amp;"'"&amp;"!A:A"),"承租人权益价值",INDIRECT("'"&amp;G2&amp;"'"&amp;"!c:c"))</f>
        <v>#REF!</v>
      </c>
      <c r="F2" s="2033" t="s">
        <v>2149</v>
      </c>
      <c r="G2" s="2034"/>
    </row>
    <row r="3" spans="1:9" s="205" customFormat="1" ht="18" customHeight="1" thickBot="1">
      <c r="A3" s="208" t="s">
        <v>2150</v>
      </c>
      <c r="B3" s="209">
        <f ca="1">ROUND(B2*10000/(IF(B1="",'数据-汇总表'!E3,INDIRECT("'数据-取费表'!k"&amp;$G$1))),0)</f>
        <v>31127</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229106</v>
      </c>
      <c r="D5" s="216" t="s">
        <v>2155</v>
      </c>
      <c r="E5" s="217" t="s">
        <v>2156</v>
      </c>
      <c r="F5" s="217" t="s">
        <v>2157</v>
      </c>
      <c r="G5" s="218"/>
    </row>
    <row r="6" spans="1:9" s="219" customFormat="1" ht="13.5" customHeight="1">
      <c r="A6" s="879" t="s">
        <v>2158</v>
      </c>
      <c r="B6" s="220" t="s">
        <v>2159</v>
      </c>
      <c r="C6" s="221">
        <f>'土地比较法-住宅、综合'!B2</f>
        <v>220572</v>
      </c>
      <c r="D6" s="222"/>
      <c r="E6" s="223"/>
      <c r="F6" s="223"/>
      <c r="G6" s="224"/>
    </row>
    <row r="7" spans="1:9" s="219" customFormat="1" ht="13.5" customHeight="1">
      <c r="A7" s="879" t="s">
        <v>2160</v>
      </c>
      <c r="B7" s="220" t="s">
        <v>2161</v>
      </c>
      <c r="C7" s="225">
        <f>ROUND(C6*F7,0)</f>
        <v>6727</v>
      </c>
      <c r="D7" s="225"/>
      <c r="E7" s="223"/>
      <c r="F7" s="226">
        <f>IF(项目基本情况!B8="出让",0,'数据-取费表'!B48+'数据-取费表'!B49)</f>
        <v>3.0499999999999999E-2</v>
      </c>
      <c r="G7" s="224"/>
    </row>
    <row r="8" spans="1:9" s="228" customFormat="1">
      <c r="A8" s="879" t="s">
        <v>2162</v>
      </c>
      <c r="B8" s="220" t="s">
        <v>2163</v>
      </c>
      <c r="C8" s="225">
        <f ca="1">IF(G8="已包含在土地购买价格中","0",IF(B1="",'数据-取费表'!B29,IF(G9="全部缴纳",C9+C10,H9)))</f>
        <v>1807</v>
      </c>
      <c r="D8" s="227"/>
      <c r="E8" s="225"/>
      <c r="F8" s="226"/>
      <c r="G8" s="2035" t="s">
        <v>3139</v>
      </c>
    </row>
    <row r="9" spans="1:9" s="219" customFormat="1" ht="13.5" customHeight="1">
      <c r="A9" s="880" t="s">
        <v>800</v>
      </c>
      <c r="B9" s="229" t="s">
        <v>2164</v>
      </c>
      <c r="C9" s="230">
        <f ca="1">ROUND(D9*E9/10000,0)</f>
        <v>928</v>
      </c>
      <c r="D9" s="947">
        <f ca="1">IF(B1="",'数据-汇总表'!E5,IF(INDIRECT("'数据-取费表'!c"&amp;$G$1)="住宅",INDIRECT("'数据-取费表'!k"&amp;$G$1),0))</f>
        <v>57972.040000000008</v>
      </c>
      <c r="E9" s="230">
        <f>'数据-取费表'!B27</f>
        <v>160</v>
      </c>
      <c r="F9" s="226"/>
      <c r="G9" s="2036" t="s">
        <v>3140</v>
      </c>
      <c r="H9" s="1292"/>
      <c r="I9" s="2037" t="s">
        <v>2165</v>
      </c>
    </row>
    <row r="10" spans="1:9" s="219" customFormat="1" ht="13.5" customHeight="1">
      <c r="A10" s="880" t="s">
        <v>801</v>
      </c>
      <c r="B10" s="229" t="s">
        <v>2166</v>
      </c>
      <c r="C10" s="230">
        <f ca="1">ROUND(D10*E10/10000,0)</f>
        <v>879</v>
      </c>
      <c r="D10" s="947">
        <f ca="1">IF(B1="",'数据-汇总表'!E6,IF(INDIRECT("'数据-取费表'!c"&amp;$G$1)="住宅",INDIRECT("'数据-取费表'!s"&amp;$G$1),INDIRECT("'数据-取费表'!k"&amp;$G$1)+INDIRECT("'数据-取费表'!s"&amp;$G$1)))</f>
        <v>43940</v>
      </c>
      <c r="E10" s="230">
        <f>'数据-取费表'!B28</f>
        <v>200</v>
      </c>
      <c r="F10" s="226"/>
      <c r="G10" s="231"/>
    </row>
    <row r="11" spans="1:9" s="219" customFormat="1" ht="13.5" hidden="1" customHeight="1">
      <c r="A11" s="232" t="s">
        <v>7</v>
      </c>
      <c r="B11" s="220" t="s">
        <v>2167</v>
      </c>
      <c r="C11" s="216"/>
      <c r="D11" s="949"/>
      <c r="E11" s="223"/>
      <c r="F11" s="223"/>
      <c r="G11" s="224"/>
    </row>
    <row r="12" spans="1:9" s="219" customFormat="1" ht="13.5" hidden="1" customHeight="1">
      <c r="A12" s="232" t="s">
        <v>8</v>
      </c>
      <c r="B12" s="220" t="s">
        <v>2168</v>
      </c>
      <c r="C12" s="216">
        <v>0</v>
      </c>
      <c r="D12" s="949"/>
      <c r="E12" s="233"/>
      <c r="F12" s="226">
        <v>3.0499999999999999E-2</v>
      </c>
      <c r="G12" s="224"/>
    </row>
    <row r="13" spans="1:9" s="219" customFormat="1" ht="13.5" hidden="1" customHeight="1">
      <c r="A13" s="232" t="s">
        <v>9</v>
      </c>
      <c r="B13" s="220" t="s">
        <v>2169</v>
      </c>
      <c r="C13" s="216"/>
      <c r="D13" s="949"/>
      <c r="E13" s="223"/>
      <c r="F13" s="223"/>
      <c r="G13" s="224"/>
    </row>
    <row r="14" spans="1:9" s="219" customFormat="1" ht="13.5" hidden="1" customHeight="1">
      <c r="A14" s="232" t="s">
        <v>10</v>
      </c>
      <c r="B14" s="220" t="s">
        <v>2170</v>
      </c>
      <c r="C14" s="216"/>
      <c r="D14" s="949"/>
      <c r="E14" s="223"/>
      <c r="F14" s="223"/>
      <c r="G14" s="224" t="s">
        <v>2171</v>
      </c>
    </row>
    <row r="15" spans="1:9" s="219" customFormat="1" ht="13.5" hidden="1" customHeight="1">
      <c r="A15" s="232" t="s">
        <v>11</v>
      </c>
      <c r="B15" s="220" t="s">
        <v>2172</v>
      </c>
      <c r="C15" s="225"/>
      <c r="D15" s="949"/>
      <c r="E15" s="223"/>
      <c r="F15" s="223"/>
      <c r="G15" s="224" t="s">
        <v>2173</v>
      </c>
    </row>
    <row r="16" spans="1:9" s="219" customFormat="1" ht="13.5" hidden="1" customHeight="1">
      <c r="A16" s="232" t="s">
        <v>12</v>
      </c>
      <c r="B16" s="220" t="s">
        <v>2170</v>
      </c>
      <c r="C16" s="225"/>
      <c r="D16" s="949"/>
      <c r="E16" s="223"/>
      <c r="F16" s="223"/>
      <c r="G16" s="224"/>
    </row>
    <row r="17" spans="1:7" s="219" customFormat="1" ht="13.5" hidden="1" customHeight="1">
      <c r="A17" s="232" t="s">
        <v>13</v>
      </c>
      <c r="B17" s="220" t="s">
        <v>2174</v>
      </c>
      <c r="C17" s="234"/>
      <c r="D17" s="950"/>
      <c r="E17" s="234"/>
      <c r="F17" s="234"/>
      <c r="G17" s="224" t="s">
        <v>2173</v>
      </c>
    </row>
    <row r="18" spans="1:7" s="219" customFormat="1" ht="13.5" hidden="1" customHeight="1">
      <c r="A18" s="232" t="s">
        <v>14</v>
      </c>
      <c r="B18" s="220" t="s">
        <v>2175</v>
      </c>
      <c r="C18" s="225">
        <v>0</v>
      </c>
      <c r="D18" s="949"/>
      <c r="E18" s="223"/>
      <c r="F18" s="226">
        <v>3.0499999999999999E-2</v>
      </c>
      <c r="G18" s="224" t="s">
        <v>2176</v>
      </c>
    </row>
    <row r="19" spans="1:7" s="228" customFormat="1" ht="13.5" customHeight="1">
      <c r="A19" s="260" t="s">
        <v>2177</v>
      </c>
      <c r="B19" s="215" t="s">
        <v>2178</v>
      </c>
      <c r="C19" s="216" t="str">
        <f>IF(G19="已包含在土地取得成本中","0",ROUND(D19*E19/10000,0))</f>
        <v>0</v>
      </c>
      <c r="D19" s="951">
        <f ca="1">D9+D10</f>
        <v>101912.04000000001</v>
      </c>
      <c r="E19" s="216">
        <f>'数据-取费表'!B31</f>
        <v>200</v>
      </c>
      <c r="F19" s="236"/>
      <c r="G19" s="2035" t="s">
        <v>3425</v>
      </c>
    </row>
    <row r="20" spans="1:7" s="219" customFormat="1" ht="13.5" customHeight="1">
      <c r="A20" s="260" t="s">
        <v>2179</v>
      </c>
      <c r="B20" s="215" t="s">
        <v>2180</v>
      </c>
      <c r="C20" s="237">
        <f ca="1">ROUND((C5+C19)*F20,0)</f>
        <v>4582</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57">
        <f ca="1">ROUND(SUM(C23:C25),0)</f>
        <v>20155</v>
      </c>
      <c r="D22" s="240">
        <f ca="1">C26</f>
        <v>8.9999999999999998E-4</v>
      </c>
      <c r="E22" s="241" t="s">
        <v>2184</v>
      </c>
      <c r="F22" s="242">
        <f ca="1">'数据-取费表'!B40</f>
        <v>4.7500000000000001E-2</v>
      </c>
      <c r="G22" s="239" t="str">
        <f>IF('数据-取费表'!B22&lt;=1,"单利计息","复利计息")</f>
        <v>复利计息</v>
      </c>
    </row>
    <row r="23" spans="1:7" s="219" customFormat="1" ht="13.5" customHeight="1">
      <c r="A23" s="881" t="s">
        <v>2188</v>
      </c>
      <c r="B23" s="220" t="s">
        <v>2189</v>
      </c>
      <c r="C23" s="1258">
        <f ca="1">ROUND(IF('数据-取费表'!B22&lt;=1,C5*F22*'数据-取费表'!B23,C5*(POWER((1+F22),'数据-取费表'!B23)-1)),0)</f>
        <v>19960</v>
      </c>
      <c r="D23" s="243"/>
      <c r="E23" s="243"/>
      <c r="F23" s="244"/>
      <c r="G23" s="245" t="s">
        <v>2190</v>
      </c>
    </row>
    <row r="24" spans="1:7" s="219" customFormat="1" ht="13.5" customHeight="1">
      <c r="A24" s="881" t="s">
        <v>2191</v>
      </c>
      <c r="B24" s="220" t="s">
        <v>2192</v>
      </c>
      <c r="C24" s="1258">
        <f ca="1">ROUND(IF('数据-取费表'!B22&lt;=1,C19*F22*('数据-取费表'!B19/2+'数据-取费表'!B21),C19*(POWER((1+F22),('数据-取费表'!B19/2+'数据-取费表'!B21))-1)),0)</f>
        <v>0</v>
      </c>
      <c r="D24" s="243"/>
      <c r="E24" s="243"/>
      <c r="F24" s="244"/>
      <c r="G24" s="245" t="s">
        <v>2193</v>
      </c>
    </row>
    <row r="25" spans="1:7" s="219" customFormat="1" ht="24">
      <c r="A25" s="881" t="s">
        <v>2194</v>
      </c>
      <c r="B25" s="220" t="s">
        <v>2195</v>
      </c>
      <c r="C25" s="1258">
        <f ca="1">ROUND(IF('数据-取费表'!B22&lt;=1,C20*F22*'数据-取费表'!B23/2,C20*(POWER((1+F22),'数据-取费表'!B23/2)-1)),0)</f>
        <v>195</v>
      </c>
      <c r="D25" s="243"/>
      <c r="E25" s="246"/>
      <c r="F25" s="244"/>
      <c r="G25" s="247" t="s">
        <v>2196</v>
      </c>
    </row>
    <row r="26" spans="1:7" s="219" customFormat="1">
      <c r="A26" s="881"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11217</v>
      </c>
      <c r="D27" s="240">
        <f ca="1">C29</f>
        <v>1E-3</v>
      </c>
      <c r="E27" s="241" t="s">
        <v>2200</v>
      </c>
      <c r="F27" s="251">
        <f ca="1">IF(B1="",'数据-取费表'!Q16,INDIRECT("'数据-取费表'!q"&amp;$G$1))</f>
        <v>0.08</v>
      </c>
      <c r="G27" s="252" t="s">
        <v>2201</v>
      </c>
    </row>
    <row r="28" spans="1:7" s="219" customFormat="1" ht="13.5" customHeight="1">
      <c r="A28" s="881" t="s">
        <v>791</v>
      </c>
      <c r="B28" s="253" t="s">
        <v>2202</v>
      </c>
      <c r="C28" s="254">
        <f ca="1">ROUND((C5+C19+C20)*F27*'数据-取费表'!B21/'数据-取费表'!B20,0)</f>
        <v>11217</v>
      </c>
      <c r="D28" s="240"/>
      <c r="E28" s="241"/>
      <c r="F28" s="251"/>
      <c r="G28" s="252"/>
    </row>
    <row r="29" spans="1:7" s="219" customFormat="1" ht="13.5" customHeight="1">
      <c r="A29" s="881" t="s">
        <v>792</v>
      </c>
      <c r="B29" s="253" t="s">
        <v>2203</v>
      </c>
      <c r="C29" s="243">
        <f ca="1">ROUND(C21*F27*'数据-取费表'!B21/'数据-取费表'!B20,4)</f>
        <v>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286613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24706</v>
      </c>
      <c r="D33" s="237"/>
      <c r="E33" s="217"/>
      <c r="F33" s="246"/>
      <c r="G33" s="239"/>
    </row>
    <row r="34" spans="1:7" s="263" customFormat="1" ht="13.5" customHeight="1">
      <c r="A34" s="881" t="s">
        <v>791</v>
      </c>
      <c r="B34" s="220" t="s">
        <v>2211</v>
      </c>
      <c r="C34" s="225">
        <f ca="1">IF(B1="",IF(F34=100%,'数据-取费表'!M16,'数据-取费表'!O16),IF(F34=100%,INDIRECT("'数据-取费表'!m"&amp;$G$1)+INDIRECT("'数据-取费表'!t"&amp;$G$1),INDIRECT("'数据-取费表'!o"&amp;$G$1)+INDIRECT("'数据-取费表'!aq"&amp;$G$1)))</f>
        <v>21658</v>
      </c>
      <c r="D34" s="222"/>
      <c r="E34" s="225"/>
      <c r="F34" s="262">
        <f ca="1">IF('数据-取费表'!B24=0,1,IF(B1="",'数据-取费表'!N16,INDIRECT("'数据-取费表'!n"&amp;$G$1)))</f>
        <v>0.6</v>
      </c>
      <c r="G34" s="224" t="s">
        <v>2212</v>
      </c>
    </row>
    <row r="35" spans="1:7" ht="13.5" customHeight="1">
      <c r="A35" s="881" t="s">
        <v>796</v>
      </c>
      <c r="B35" s="220" t="s">
        <v>2213</v>
      </c>
      <c r="C35" s="225">
        <f ca="1">ROUND(C34*F35,0)</f>
        <v>1083</v>
      </c>
      <c r="D35" s="225"/>
      <c r="E35" s="225"/>
      <c r="F35" s="264">
        <f>'数据-取费表'!B33</f>
        <v>0.05</v>
      </c>
      <c r="G35" s="224" t="s">
        <v>2214</v>
      </c>
    </row>
    <row r="36" spans="1:7" ht="24">
      <c r="A36" s="881" t="s">
        <v>797</v>
      </c>
      <c r="B36" s="220" t="s">
        <v>2215</v>
      </c>
      <c r="C36" s="225">
        <f ca="1">ROUND(IF(B1="",SUMIF('数据-取费表'!C:C,"住宅",IF(F34=100%,'数据-取费表'!M:M,'数据-取费表'!O:O))*F36,IF(INDIRECT("'数据-取费表'!c"&amp;$G$1)="住宅",IF(F34=100%,INDIRECT("'数据-取费表'!m"&amp;$G$1)*F36,INDIRECT("'数据-取费表'!o"&amp;$G$1)*F36),0)),0)</f>
        <v>417</v>
      </c>
      <c r="D36" s="225"/>
      <c r="E36" s="225"/>
      <c r="F36" s="264">
        <f>'数据-取费表'!B34</f>
        <v>0.03</v>
      </c>
      <c r="G36" s="265" t="s">
        <v>2216</v>
      </c>
    </row>
    <row r="37" spans="1:7" s="263" customFormat="1" ht="13.5" customHeight="1">
      <c r="A37" s="881" t="s">
        <v>798</v>
      </c>
      <c r="B37" s="220" t="s">
        <v>2217</v>
      </c>
      <c r="C37" s="254">
        <f ca="1">ROUND(E37*D37*F34/10000,0)</f>
        <v>1223</v>
      </c>
      <c r="D37" s="222">
        <f ca="1">D19</f>
        <v>101912.04000000001</v>
      </c>
      <c r="E37" s="254">
        <f>'数据-取费表'!B35</f>
        <v>200</v>
      </c>
      <c r="F37" s="264"/>
      <c r="G37" s="266" t="s">
        <v>2218</v>
      </c>
    </row>
    <row r="38" spans="1:7" ht="13.5" customHeight="1">
      <c r="A38" s="881" t="s">
        <v>799</v>
      </c>
      <c r="B38" s="220" t="s">
        <v>2219</v>
      </c>
      <c r="C38" s="225">
        <f ca="1">ROUND(C34*F38,0)</f>
        <v>325</v>
      </c>
      <c r="D38" s="225"/>
      <c r="E38" s="225"/>
      <c r="F38" s="264">
        <f>'数据-取费表'!B36</f>
        <v>1.4999999999999999E-2</v>
      </c>
      <c r="G38" s="224" t="s">
        <v>2214</v>
      </c>
    </row>
    <row r="39" spans="1:7" s="219" customFormat="1" ht="13.5" customHeight="1">
      <c r="A39" s="260" t="s">
        <v>2220</v>
      </c>
      <c r="B39" s="215" t="s">
        <v>2221</v>
      </c>
      <c r="C39" s="237">
        <f ca="1">ROUND(C33*F20,0)</f>
        <v>494</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1075</v>
      </c>
      <c r="D41" s="240">
        <f ca="1">C44</f>
        <v>8.9999999999999998E-4</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ROUND(IF('数据-取费表'!B22&lt;=1,C33*F22*'数据-取费表'!B21/2,C33*(POWER((1+F22),'数据-取费表'!B21/2)-1)),0)</f>
        <v>1054</v>
      </c>
      <c r="D42" s="243"/>
      <c r="E42" s="243"/>
      <c r="F42" s="244"/>
      <c r="G42" s="3295" t="s">
        <v>2230</v>
      </c>
    </row>
    <row r="43" spans="1:7" ht="13.5" customHeight="1">
      <c r="A43" s="881" t="s">
        <v>792</v>
      </c>
      <c r="B43" s="220" t="s">
        <v>2231</v>
      </c>
      <c r="C43" s="243">
        <f ca="1">ROUND(IF('数据-取费表'!B22&lt;=1,C39*F22*'数据-取费表'!B21/2,C39*(POWER((1+F22),'数据-取费表'!B21/2)-1)),0)</f>
        <v>21</v>
      </c>
      <c r="D43" s="243"/>
      <c r="E43" s="243"/>
      <c r="F43" s="244"/>
      <c r="G43" s="3296"/>
    </row>
    <row r="44" spans="1:7" ht="13.5" customHeight="1">
      <c r="A44" s="881" t="s">
        <v>793</v>
      </c>
      <c r="B44" s="220" t="s">
        <v>2232</v>
      </c>
      <c r="C44" s="243">
        <f ca="1">ROUND(IF('数据-取费表'!B22&lt;=1,C40*F22*'数据-取费表'!B21/2,C40*(POWER((1+F22),'数据-取费表'!B21/2)-1)),4)</f>
        <v>8.9999999999999998E-4</v>
      </c>
      <c r="D44" s="243"/>
      <c r="E44" s="243"/>
      <c r="F44" s="244"/>
      <c r="G44" s="3297"/>
    </row>
    <row r="45" spans="1:7" s="219" customFormat="1" ht="13.5" customHeight="1">
      <c r="A45" s="260" t="s">
        <v>2233</v>
      </c>
      <c r="B45" s="249" t="s">
        <v>2199</v>
      </c>
      <c r="C45" s="250">
        <f ca="1">C46</f>
        <v>2016</v>
      </c>
      <c r="D45" s="240">
        <f ca="1">C47</f>
        <v>1.6000000000000001E-3</v>
      </c>
      <c r="E45" s="241" t="s">
        <v>2225</v>
      </c>
      <c r="F45" s="2530">
        <f ca="1">F27</f>
        <v>0.08</v>
      </c>
      <c r="G45" s="252" t="s">
        <v>2234</v>
      </c>
    </row>
    <row r="46" spans="1:7" s="219" customFormat="1" ht="13.5" customHeight="1">
      <c r="A46" s="881" t="s">
        <v>791</v>
      </c>
      <c r="B46" s="253" t="s">
        <v>2235</v>
      </c>
      <c r="C46" s="254">
        <f ca="1">ROUND((C33+C39)*F27,0)</f>
        <v>2016</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1489">
        <f>ROUND(F30/(1+'数据-取费表'!C42),4)</f>
        <v>5.33E-2</v>
      </c>
      <c r="D48" s="241" t="s">
        <v>2225</v>
      </c>
      <c r="E48" s="237"/>
      <c r="F48" s="2529">
        <f>F30</f>
        <v>5.6000000000000001E-2</v>
      </c>
      <c r="G48" s="239" t="s">
        <v>2238</v>
      </c>
    </row>
    <row r="49" spans="1:7" ht="16.5" customHeight="1">
      <c r="A49" s="260" t="s">
        <v>2204</v>
      </c>
      <c r="B49" s="215" t="s">
        <v>2239</v>
      </c>
      <c r="C49" s="237">
        <f ca="1">ROUND((C33+C39+C41+C45)/(1-C40-D41-D45-C48),0)</f>
        <v>30611</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30611</v>
      </c>
      <c r="D51" s="237"/>
      <c r="E51" s="237"/>
      <c r="F51" s="269"/>
      <c r="G51" s="239" t="s">
        <v>2246</v>
      </c>
    </row>
    <row r="52" spans="1:7" s="213" customFormat="1" ht="16.5" thickBot="1">
      <c r="A52" s="270" t="s">
        <v>2247</v>
      </c>
      <c r="B52" s="271"/>
      <c r="C52" s="272">
        <f ca="1">C31+C51</f>
        <v>317224</v>
      </c>
      <c r="D52" s="271"/>
      <c r="E52" s="271"/>
      <c r="F52" s="271"/>
      <c r="G52" s="273"/>
    </row>
    <row r="55" spans="1:7" ht="15">
      <c r="B55" s="275" t="s">
        <v>2248</v>
      </c>
      <c r="C55" s="276"/>
    </row>
    <row r="56" spans="1:7">
      <c r="B56" s="278" t="s">
        <v>1478</v>
      </c>
      <c r="C56" s="280">
        <f ca="1">1-C57</f>
        <v>0.90400000000000003</v>
      </c>
    </row>
    <row r="57" spans="1:7">
      <c r="B57" s="278" t="s">
        <v>1479</v>
      </c>
      <c r="C57" s="279">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48"/>
      <c r="C1" s="2038" t="s">
        <v>2249</v>
      </c>
      <c r="D1" s="203"/>
      <c r="E1" s="203"/>
      <c r="F1" s="203"/>
      <c r="G1" s="1281">
        <f>MATCH(B1,'数据-取费表'!A6:A16,0)+5</f>
        <v>9</v>
      </c>
      <c r="H1" s="1185" t="str">
        <f>IF(ISERROR(FIND("住宅",B1)),"非住宅","住宅")</f>
        <v>非住宅</v>
      </c>
    </row>
    <row r="2" spans="1:8" s="205" customFormat="1" ht="18" customHeight="1">
      <c r="A2" s="206" t="s">
        <v>2148</v>
      </c>
      <c r="B2" s="207">
        <f ca="1">ROUND(IF(D2="——",C52/10000,C52/10000-E2),0)</f>
        <v>57600</v>
      </c>
      <c r="C2" s="204" t="s">
        <v>2149</v>
      </c>
      <c r="D2" s="2032" t="s">
        <v>70</v>
      </c>
      <c r="E2" s="1324" t="e">
        <f ca="1">SUMIF(INDIRECT("'"&amp;G2&amp;"'"&amp;"!A:A"),"承租人权益价值",INDIRECT("'"&amp;G2&amp;"'"&amp;"!c:c"))</f>
        <v>#REF!</v>
      </c>
      <c r="F2" s="2033" t="s">
        <v>2149</v>
      </c>
      <c r="G2" s="2034"/>
    </row>
    <row r="3" spans="1:8" s="205" customFormat="1" ht="18" customHeight="1" thickBot="1">
      <c r="A3" s="208" t="s">
        <v>2150</v>
      </c>
      <c r="B3" s="209">
        <f ca="1">ROUND(B2*10000/(IF(B1="",'数据-汇总表'!E3,INDIRECT("'数据-取费表'!k"&amp;$G$1))),0)</f>
        <v>5652</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18063526</v>
      </c>
      <c r="D5" s="216" t="s">
        <v>2155</v>
      </c>
      <c r="E5" s="217" t="s">
        <v>2156</v>
      </c>
      <c r="F5" s="217" t="s">
        <v>2157</v>
      </c>
      <c r="G5" s="218"/>
    </row>
    <row r="6" spans="1:8" s="219" customFormat="1" ht="13.5" customHeight="1">
      <c r="A6" s="879" t="s">
        <v>2158</v>
      </c>
      <c r="B6" s="220" t="s">
        <v>2159</v>
      </c>
      <c r="C6" s="221"/>
      <c r="D6" s="222"/>
      <c r="E6" s="223"/>
      <c r="F6" s="223"/>
      <c r="G6" s="224"/>
    </row>
    <row r="7" spans="1:8" s="219" customFormat="1" ht="13.5" customHeight="1">
      <c r="A7" s="879" t="s">
        <v>2160</v>
      </c>
      <c r="B7" s="220" t="s">
        <v>2161</v>
      </c>
      <c r="C7" s="225">
        <f>ROUND(C6*F7,0)</f>
        <v>0</v>
      </c>
      <c r="D7" s="225"/>
      <c r="E7" s="223"/>
      <c r="F7" s="226">
        <f>IF(项目基本情况!B8="出让",0,'数据-取费表'!B48+'数据-取费表'!B49)</f>
        <v>3.0499999999999999E-2</v>
      </c>
      <c r="G7" s="224"/>
    </row>
    <row r="8" spans="1:8" s="228" customFormat="1">
      <c r="A8" s="879" t="s">
        <v>2162</v>
      </c>
      <c r="B8" s="220" t="s">
        <v>2163</v>
      </c>
      <c r="C8" s="225">
        <f ca="1">IF(G8="已包含在土地购买价格中",0,C9+C10)</f>
        <v>18063526</v>
      </c>
      <c r="D8" s="227"/>
      <c r="E8" s="225"/>
      <c r="F8" s="226"/>
      <c r="G8" s="2035"/>
    </row>
    <row r="9" spans="1:8" s="219" customFormat="1" ht="13.5" customHeight="1">
      <c r="A9" s="880" t="s">
        <v>800</v>
      </c>
      <c r="B9" s="229" t="s">
        <v>2164</v>
      </c>
      <c r="C9" s="230">
        <f ca="1">ROUND(D9*E9,0)</f>
        <v>9275526</v>
      </c>
      <c r="D9" s="947">
        <f ca="1">IF(B1="",'数据-汇总表'!E5,IF(INDIRECT("'数据-取费表'!c"&amp;$G$1)="住宅",INDIRECT("'数据-取费表'!k"&amp;$G$1),0))</f>
        <v>57972.040000000008</v>
      </c>
      <c r="E9" s="230">
        <f>'数据-取费表'!B27</f>
        <v>160</v>
      </c>
      <c r="F9" s="226"/>
      <c r="G9" s="231"/>
    </row>
    <row r="10" spans="1:8" s="219" customFormat="1" ht="13.5" customHeight="1">
      <c r="A10" s="880" t="s">
        <v>801</v>
      </c>
      <c r="B10" s="229" t="s">
        <v>2166</v>
      </c>
      <c r="C10" s="230">
        <f ca="1">ROUND(D10*E10,0)</f>
        <v>8788000</v>
      </c>
      <c r="D10" s="947">
        <f ca="1">IF(B1="",'数据-汇总表'!E6,IF(INDIRECT("'数据-取费表'!c"&amp;$G$1)="住宅",INDIRECT("'数据-取费表'!s"&amp;$G$1),INDIRECT("'数据-取费表'!k"&amp;$G$1)+INDIRECT("'数据-取费表'!s"&amp;$G$1)))</f>
        <v>43940</v>
      </c>
      <c r="E10" s="230">
        <f>'数据-取费表'!B28</f>
        <v>200</v>
      </c>
      <c r="F10" s="226"/>
      <c r="G10" s="231"/>
    </row>
    <row r="11" spans="1:8" s="219" customFormat="1" ht="13.5" hidden="1" customHeight="1">
      <c r="A11" s="232" t="s">
        <v>7</v>
      </c>
      <c r="B11" s="220" t="s">
        <v>2167</v>
      </c>
      <c r="C11" s="216"/>
      <c r="D11" s="949"/>
      <c r="E11" s="223"/>
      <c r="F11" s="223"/>
      <c r="G11" s="224"/>
    </row>
    <row r="12" spans="1:8" s="219" customFormat="1" ht="13.5" hidden="1" customHeight="1">
      <c r="A12" s="232" t="s">
        <v>8</v>
      </c>
      <c r="B12" s="220" t="s">
        <v>2250</v>
      </c>
      <c r="C12" s="216">
        <v>0</v>
      </c>
      <c r="D12" s="949"/>
      <c r="E12" s="233"/>
      <c r="F12" s="226">
        <v>3.0499999999999999E-2</v>
      </c>
      <c r="G12" s="224"/>
    </row>
    <row r="13" spans="1:8" s="219" customFormat="1" ht="13.5" hidden="1" customHeight="1">
      <c r="A13" s="232" t="s">
        <v>9</v>
      </c>
      <c r="B13" s="220" t="s">
        <v>2251</v>
      </c>
      <c r="C13" s="216"/>
      <c r="D13" s="949"/>
      <c r="E13" s="223"/>
      <c r="F13" s="223"/>
      <c r="G13" s="224"/>
    </row>
    <row r="14" spans="1:8" s="219" customFormat="1" ht="13.5" hidden="1" customHeight="1">
      <c r="A14" s="232" t="s">
        <v>10</v>
      </c>
      <c r="B14" s="220" t="s">
        <v>2163</v>
      </c>
      <c r="C14" s="216"/>
      <c r="D14" s="949"/>
      <c r="E14" s="223"/>
      <c r="F14" s="223"/>
      <c r="G14" s="224" t="s">
        <v>2252</v>
      </c>
    </row>
    <row r="15" spans="1:8" s="219" customFormat="1" ht="13.5" hidden="1" customHeight="1">
      <c r="A15" s="232" t="s">
        <v>11</v>
      </c>
      <c r="B15" s="220" t="s">
        <v>2253</v>
      </c>
      <c r="C15" s="225"/>
      <c r="D15" s="949"/>
      <c r="E15" s="223"/>
      <c r="F15" s="223"/>
      <c r="G15" s="224" t="s">
        <v>2254</v>
      </c>
    </row>
    <row r="16" spans="1:8" s="219" customFormat="1" ht="13.5" hidden="1" customHeight="1">
      <c r="A16" s="232" t="s">
        <v>12</v>
      </c>
      <c r="B16" s="220" t="s">
        <v>2163</v>
      </c>
      <c r="C16" s="225"/>
      <c r="D16" s="949"/>
      <c r="E16" s="223"/>
      <c r="F16" s="223"/>
      <c r="G16" s="224"/>
    </row>
    <row r="17" spans="1:7" s="219" customFormat="1" ht="13.5" hidden="1" customHeight="1">
      <c r="A17" s="232" t="s">
        <v>13</v>
      </c>
      <c r="B17" s="220" t="s">
        <v>2255</v>
      </c>
      <c r="C17" s="234"/>
      <c r="D17" s="950"/>
      <c r="E17" s="234"/>
      <c r="F17" s="234"/>
      <c r="G17" s="224" t="s">
        <v>2254</v>
      </c>
    </row>
    <row r="18" spans="1:7" s="219" customFormat="1" ht="13.5" hidden="1" customHeight="1">
      <c r="A18" s="232" t="s">
        <v>14</v>
      </c>
      <c r="B18" s="220" t="s">
        <v>2256</v>
      </c>
      <c r="C18" s="225">
        <v>0</v>
      </c>
      <c r="D18" s="949"/>
      <c r="E18" s="223"/>
      <c r="F18" s="226">
        <v>3.0499999999999999E-2</v>
      </c>
      <c r="G18" s="224" t="s">
        <v>2257</v>
      </c>
    </row>
    <row r="19" spans="1:7" s="228" customFormat="1" ht="13.5" customHeight="1">
      <c r="A19" s="260" t="s">
        <v>2258</v>
      </c>
      <c r="B19" s="215" t="s">
        <v>2259</v>
      </c>
      <c r="C19" s="216">
        <f ca="1">IF(G19="已包含在土地取得成本中","0",ROUND(D19*E19,0))</f>
        <v>20382408</v>
      </c>
      <c r="D19" s="951">
        <f ca="1">D9+D10</f>
        <v>101912.04000000001</v>
      </c>
      <c r="E19" s="216">
        <f>'数据-取费表'!B31</f>
        <v>200</v>
      </c>
      <c r="F19" s="236"/>
      <c r="G19" s="2035"/>
    </row>
    <row r="20" spans="1:7" s="219" customFormat="1" ht="13.5" customHeight="1">
      <c r="A20" s="260" t="s">
        <v>2260</v>
      </c>
      <c r="B20" s="215" t="s">
        <v>2261</v>
      </c>
      <c r="C20" s="237">
        <f ca="1">ROUND((C5+C19)*F20,0)</f>
        <v>768919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2">
        <f ca="1">ROUND(SUM(C23:C25),0)</f>
        <v>5798328</v>
      </c>
      <c r="D22" s="240">
        <f ca="1">C26</f>
        <v>1.4E-3</v>
      </c>
      <c r="E22" s="241" t="s">
        <v>2265</v>
      </c>
      <c r="F22" s="242">
        <f ca="1">'数据-取费表'!B40</f>
        <v>4.7500000000000001E-2</v>
      </c>
      <c r="G22" s="239" t="str">
        <f>IF('数据-取费表'!B22&lt;=1,"单利计息","复利计息")</f>
        <v>复利计息</v>
      </c>
    </row>
    <row r="23" spans="1:7" s="219" customFormat="1" ht="13.5" customHeight="1">
      <c r="A23" s="881" t="s">
        <v>2158</v>
      </c>
      <c r="B23" s="220" t="s">
        <v>2269</v>
      </c>
      <c r="C23" s="1283">
        <f ca="1">ROUND(IF('数据-取费表'!B22&lt;=1,C5*F22*'数据-取费表'!B22,C5*(POWER((1+F22),'数据-取费表'!B22)-1)),0)</f>
        <v>2698256</v>
      </c>
      <c r="D23" s="243"/>
      <c r="E23" s="243"/>
      <c r="F23" s="244"/>
      <c r="G23" s="245" t="s">
        <v>2270</v>
      </c>
    </row>
    <row r="24" spans="1:7" s="219" customFormat="1" ht="13.5" customHeight="1">
      <c r="A24" s="881" t="s">
        <v>2160</v>
      </c>
      <c r="B24" s="220" t="s">
        <v>2271</v>
      </c>
      <c r="C24" s="1283">
        <f ca="1">ROUND(IF('数据-取费表'!B22&lt;=1,C19*F22*('数据-取费表'!B19/2+'数据-取费表'!B20),C19*(POWER((1+F22),('数据-取费表'!B19/2+'数据-取费表'!B20))-1)),0)</f>
        <v>3044641</v>
      </c>
      <c r="D24" s="243"/>
      <c r="E24" s="243"/>
      <c r="F24" s="244"/>
      <c r="G24" s="245" t="s">
        <v>2272</v>
      </c>
    </row>
    <row r="25" spans="1:7" s="219" customFormat="1" ht="24">
      <c r="A25" s="881" t="s">
        <v>2162</v>
      </c>
      <c r="B25" s="220" t="s">
        <v>2273</v>
      </c>
      <c r="C25" s="1283">
        <f ca="1">ROUND(IF('数据-取费表'!B22&lt;=1,C20*F22*'数据-取费表'!B22/2,C20*(POWER((1+F22),'数据-取费表'!B22/2)-1)),0)</f>
        <v>55431</v>
      </c>
      <c r="D25" s="243"/>
      <c r="E25" s="246"/>
      <c r="F25" s="244"/>
      <c r="G25" s="247" t="s">
        <v>2274</v>
      </c>
    </row>
    <row r="26" spans="1:7" s="219" customFormat="1">
      <c r="A26" s="881" t="s">
        <v>795</v>
      </c>
      <c r="B26" s="220" t="s">
        <v>2197</v>
      </c>
      <c r="C26" s="243">
        <f ca="1">ROUND(IF('数据-取费表'!B22&lt;=1,F21*F22*'数据-取费表'!B22/2,F21*(POWER((1+F22),'数据-取费表'!B22/2)-1)),4)</f>
        <v>1.4E-3</v>
      </c>
      <c r="D26" s="243"/>
      <c r="E26" s="246"/>
      <c r="F26" s="244"/>
      <c r="G26" s="248"/>
    </row>
    <row r="27" spans="1:7" s="219" customFormat="1" ht="24.75">
      <c r="A27" s="260" t="s">
        <v>2198</v>
      </c>
      <c r="B27" s="249" t="s">
        <v>2199</v>
      </c>
      <c r="C27" s="250">
        <f ca="1">C28</f>
        <v>3137188</v>
      </c>
      <c r="D27" s="240">
        <f ca="1">C29</f>
        <v>1.6000000000000001E-3</v>
      </c>
      <c r="E27" s="241" t="s">
        <v>2200</v>
      </c>
      <c r="F27" s="251">
        <f ca="1">IF(B1="",'数据-取费表'!Q16,INDIRECT("'数据-取费表'!q"&amp;$G$1))</f>
        <v>0.08</v>
      </c>
      <c r="G27" s="252" t="s">
        <v>2201</v>
      </c>
    </row>
    <row r="28" spans="1:7" s="219" customFormat="1" ht="13.5" customHeight="1">
      <c r="A28" s="881" t="s">
        <v>791</v>
      </c>
      <c r="B28" s="253" t="s">
        <v>2202</v>
      </c>
      <c r="C28" s="254">
        <f ca="1">ROUND((C5+C19+C20)*F27,0)</f>
        <v>3137188</v>
      </c>
      <c r="D28" s="240"/>
      <c r="E28" s="241"/>
      <c r="F28" s="251"/>
      <c r="G28" s="252"/>
    </row>
    <row r="29" spans="1:7" s="219" customFormat="1" ht="13.5" customHeight="1">
      <c r="A29" s="881" t="s">
        <v>792</v>
      </c>
      <c r="B29" s="253" t="s">
        <v>2203</v>
      </c>
      <c r="C29" s="243">
        <f ca="1">ROUND(C21*F27,4)</f>
        <v>1.6000000000000001E-3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52127714</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411780793</v>
      </c>
      <c r="D33" s="237"/>
      <c r="E33" s="217"/>
      <c r="F33" s="246"/>
      <c r="G33" s="239"/>
    </row>
    <row r="34" spans="1:7" s="263" customFormat="1" ht="13.5" customHeight="1">
      <c r="A34" s="881" t="s">
        <v>791</v>
      </c>
      <c r="B34" s="220" t="s">
        <v>2211</v>
      </c>
      <c r="C34" s="225">
        <f ca="1">ROUND(IF(B1="",SUMPRODUCT('数据-取费表'!K6:K14,'数据-取费表'!L6:L14),INDIRECT("'数据-取费表'!l"&amp;$G$1)*INDIRECT("'数据-取费表'!k"&amp;$G$1)+'数据-取费表'!L14*INDIRECT("'数据-取费表'!S"&amp;$G$1)),0)</f>
        <v>360978160</v>
      </c>
      <c r="D34" s="222"/>
      <c r="E34" s="225"/>
      <c r="F34" s="262"/>
      <c r="G34" s="224"/>
    </row>
    <row r="35" spans="1:7" ht="13.5" customHeight="1">
      <c r="A35" s="881" t="s">
        <v>796</v>
      </c>
      <c r="B35" s="220" t="s">
        <v>2213</v>
      </c>
      <c r="C35" s="225">
        <f ca="1">ROUND(C34*F35,0)</f>
        <v>18048908</v>
      </c>
      <c r="D35" s="225"/>
      <c r="E35" s="225"/>
      <c r="F35" s="264">
        <f>'数据-取费表'!B33</f>
        <v>0.05</v>
      </c>
      <c r="G35" s="224" t="s">
        <v>2214</v>
      </c>
    </row>
    <row r="36" spans="1:7" ht="24">
      <c r="A36" s="881" t="s">
        <v>797</v>
      </c>
      <c r="B36" s="220" t="s">
        <v>2215</v>
      </c>
      <c r="C36" s="225">
        <f ca="1">ROUND(IF(B1="",SUM('数据-取费表'!AP6:AP13)*F36,IF(INDIRECT("'数据-取费表'!c"&amp;$G$1)="住宅",INDIRECT("'数据-取费表'!k"&amp;$G$1)*INDIRECT("'数据-取费表'!l"&amp;$G$1)*F36,0)),0)</f>
        <v>6956645</v>
      </c>
      <c r="D36" s="225"/>
      <c r="E36" s="225"/>
      <c r="F36" s="264">
        <f>'数据-取费表'!B34</f>
        <v>0.03</v>
      </c>
      <c r="G36" s="265" t="s">
        <v>2216</v>
      </c>
    </row>
    <row r="37" spans="1:7" s="263" customFormat="1" ht="13.5" customHeight="1">
      <c r="A37" s="881" t="s">
        <v>798</v>
      </c>
      <c r="B37" s="220" t="s">
        <v>2217</v>
      </c>
      <c r="C37" s="254">
        <f ca="1">ROUND(E37*D37,0)</f>
        <v>20382408</v>
      </c>
      <c r="D37" s="222">
        <f ca="1">D19</f>
        <v>101912.04000000001</v>
      </c>
      <c r="E37" s="254">
        <f>'数据-取费表'!B35</f>
        <v>200</v>
      </c>
      <c r="F37" s="264"/>
      <c r="G37" s="266"/>
    </row>
    <row r="38" spans="1:7" ht="13.5" customHeight="1">
      <c r="A38" s="881" t="s">
        <v>799</v>
      </c>
      <c r="B38" s="220" t="s">
        <v>2219</v>
      </c>
      <c r="C38" s="225">
        <f ca="1">ROUND(C34*F38,0)</f>
        <v>5414672</v>
      </c>
      <c r="D38" s="225"/>
      <c r="E38" s="225"/>
      <c r="F38" s="264">
        <f>'数据-取费表'!B36</f>
        <v>1.4999999999999999E-2</v>
      </c>
      <c r="G38" s="224" t="s">
        <v>2214</v>
      </c>
    </row>
    <row r="39" spans="1:7" s="219" customFormat="1" ht="13.5" customHeight="1">
      <c r="A39" s="260" t="s">
        <v>2220</v>
      </c>
      <c r="B39" s="215" t="s">
        <v>2221</v>
      </c>
      <c r="C39" s="237">
        <f ca="1">ROUND(C33*F20,0)</f>
        <v>8235616</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30278778</v>
      </c>
      <c r="D41" s="240">
        <f ca="1">C44</f>
        <v>1.4E-3</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ROUND(IF('数据-取费表'!B22&lt;=1,C33*F22*'数据-取费表'!B20/2,C33*(POWER((1+F22),'数据-取费表'!B20/2)-1)),0)</f>
        <v>29685076</v>
      </c>
      <c r="D42" s="243"/>
      <c r="E42" s="243"/>
      <c r="F42" s="244"/>
      <c r="G42" s="3295" t="s">
        <v>2277</v>
      </c>
    </row>
    <row r="43" spans="1:7" ht="13.5" customHeight="1">
      <c r="A43" s="881" t="s">
        <v>792</v>
      </c>
      <c r="B43" s="220" t="s">
        <v>2231</v>
      </c>
      <c r="C43" s="243">
        <f ca="1">ROUND(IF('数据-取费表'!B22&lt;=1,C39*F22*'数据-取费表'!B20/2,C39*(POWER((1+F22),'数据-取费表'!B20/2)-1)),0)</f>
        <v>593702</v>
      </c>
      <c r="D43" s="243"/>
      <c r="E43" s="243"/>
      <c r="F43" s="244"/>
      <c r="G43" s="3296"/>
    </row>
    <row r="44" spans="1:7" ht="13.5" customHeight="1">
      <c r="A44" s="881" t="s">
        <v>793</v>
      </c>
      <c r="B44" s="220" t="s">
        <v>2232</v>
      </c>
      <c r="C44" s="243">
        <f ca="1">ROUND(IF('数据-取费表'!B22&lt;=1,C40*F22*'数据-取费表'!B20/2,C40*(POWER((1+F22),'数据-取费表'!B20/2)-1)),4)</f>
        <v>1.4E-3</v>
      </c>
      <c r="D44" s="243"/>
      <c r="E44" s="243"/>
      <c r="F44" s="244"/>
      <c r="G44" s="3297"/>
    </row>
    <row r="45" spans="1:7" s="219" customFormat="1" ht="13.5" customHeight="1">
      <c r="A45" s="260" t="s">
        <v>2233</v>
      </c>
      <c r="B45" s="249" t="s">
        <v>2199</v>
      </c>
      <c r="C45" s="250">
        <f ca="1">C46</f>
        <v>33601313</v>
      </c>
      <c r="D45" s="240">
        <f ca="1">C47</f>
        <v>1.6000000000000001E-3</v>
      </c>
      <c r="E45" s="241" t="s">
        <v>2225</v>
      </c>
      <c r="F45" s="2530">
        <f ca="1">F27</f>
        <v>0.08</v>
      </c>
      <c r="G45" s="252" t="s">
        <v>2234</v>
      </c>
    </row>
    <row r="46" spans="1:7" s="219" customFormat="1" ht="13.5" customHeight="1">
      <c r="A46" s="881" t="s">
        <v>791</v>
      </c>
      <c r="B46" s="253" t="s">
        <v>2235</v>
      </c>
      <c r="C46" s="254">
        <f ca="1">ROUND((C33+C39)*F27,0)</f>
        <v>33601313</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267">
        <f>ROUND(F30/(1+'数据-取费表'!C42),4)</f>
        <v>5.33E-2</v>
      </c>
      <c r="D48" s="241" t="s">
        <v>2225</v>
      </c>
      <c r="E48" s="237"/>
      <c r="F48" s="2529">
        <f>F30</f>
        <v>5.6000000000000001E-2</v>
      </c>
      <c r="G48" s="239" t="s">
        <v>2238</v>
      </c>
    </row>
    <row r="49" spans="1:7" ht="16.5" customHeight="1">
      <c r="A49" s="260" t="s">
        <v>2204</v>
      </c>
      <c r="B49" s="215" t="s">
        <v>2278</v>
      </c>
      <c r="C49" s="237">
        <f ca="1">ROUND((C33+C39+C41+C45)/(1-C40-D41-D45-C48),0)</f>
        <v>523867598</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523867598</v>
      </c>
      <c r="D51" s="237"/>
      <c r="E51" s="237"/>
      <c r="F51" s="269"/>
      <c r="G51" s="239" t="s">
        <v>2246</v>
      </c>
    </row>
    <row r="52" spans="1:7" s="213" customFormat="1" ht="16.5" thickBot="1">
      <c r="A52" s="270" t="s">
        <v>2247</v>
      </c>
      <c r="B52" s="271"/>
      <c r="C52" s="272">
        <f ca="1">C31+C51</f>
        <v>575995312</v>
      </c>
      <c r="D52" s="271"/>
      <c r="E52" s="271"/>
      <c r="F52" s="271"/>
      <c r="G52" s="273"/>
    </row>
    <row r="55" spans="1:7" ht="15">
      <c r="B55" s="275" t="s">
        <v>2248</v>
      </c>
      <c r="C55" s="276"/>
    </row>
    <row r="56" spans="1:7">
      <c r="B56" s="278" t="s">
        <v>1478</v>
      </c>
      <c r="C56" s="280">
        <f ca="1">1-C57</f>
        <v>9.099999999999997E-2</v>
      </c>
    </row>
    <row r="57" spans="1:7">
      <c r="B57" s="278" t="s">
        <v>1479</v>
      </c>
      <c r="C57" s="279">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H48" sqref="H48"/>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9.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2280</v>
      </c>
      <c r="B1" s="1345"/>
      <c r="C1" s="1346"/>
      <c r="D1" s="1344"/>
      <c r="E1" s="3027"/>
      <c r="F1" s="3027"/>
      <c r="G1" s="2890"/>
      <c r="H1" s="3027"/>
      <c r="I1" s="3027"/>
      <c r="J1" s="3027"/>
      <c r="K1" s="3028">
        <f>MATCH(C1,'数据-取费表'!A6:A16,0)+5</f>
        <v>9</v>
      </c>
    </row>
    <row r="2" spans="1:33" ht="18" customHeight="1">
      <c r="A2" s="206" t="s">
        <v>2148</v>
      </c>
      <c r="B2" s="209">
        <f ca="1">C32</f>
        <v>224781</v>
      </c>
      <c r="C2" s="281" t="s">
        <v>2281</v>
      </c>
      <c r="D2" s="281"/>
      <c r="E2" s="3027"/>
      <c r="F2" s="3027"/>
      <c r="G2" s="3027"/>
      <c r="H2" s="3027"/>
      <c r="I2" s="3027"/>
      <c r="J2" s="3027"/>
      <c r="K2" s="3027"/>
    </row>
    <row r="3" spans="1:33" ht="18" customHeight="1" thickBot="1">
      <c r="A3" s="208" t="s">
        <v>2150</v>
      </c>
      <c r="B3" s="209">
        <f ca="1">ROUND(B2*10000/IF(C1="",'数据-汇总表'!E3,INDIRECT("'数据-取费表'!K"&amp;$K$1)),0)</f>
        <v>22056</v>
      </c>
      <c r="C3" s="281" t="s">
        <v>2282</v>
      </c>
      <c r="D3" s="281"/>
      <c r="E3" s="3027"/>
      <c r="F3" s="3027"/>
      <c r="G3" s="3027"/>
      <c r="H3" s="3027"/>
      <c r="I3" s="3027"/>
      <c r="J3" s="3027"/>
      <c r="K3" s="3027"/>
    </row>
    <row r="4" spans="1:33" s="886" customFormat="1" ht="16.5" customHeight="1">
      <c r="A4" s="883" t="s">
        <v>2283</v>
      </c>
      <c r="B4" s="884"/>
      <c r="C4" s="926">
        <f ca="1">SUM(C8:K8)</f>
        <v>288500</v>
      </c>
      <c r="D4" s="884"/>
      <c r="E4" s="884"/>
      <c r="F4" s="884"/>
      <c r="G4" s="884"/>
      <c r="H4" s="884"/>
      <c r="I4" s="884"/>
      <c r="J4" s="884"/>
      <c r="K4" s="885"/>
    </row>
    <row r="5" spans="1:33" s="890" customFormat="1" ht="15">
      <c r="A5" s="887" t="s">
        <v>2284</v>
      </c>
      <c r="B5" s="888" t="s">
        <v>2285</v>
      </c>
      <c r="C5" s="2039" t="s">
        <v>3090</v>
      </c>
      <c r="D5" s="2039" t="s">
        <v>3131</v>
      </c>
      <c r="E5" s="2039" t="s">
        <v>3135</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2286</v>
      </c>
      <c r="C6" s="892">
        <f ca="1">'收益法-住宅'!B3</f>
        <v>40938</v>
      </c>
      <c r="D6" s="892">
        <f ca="1">'收益法-仓储'!B3</f>
        <v>16555</v>
      </c>
      <c r="E6" s="892">
        <f ca="1">'收益法-车库'!B3</f>
        <v>3862</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2287</v>
      </c>
      <c r="B7" s="135" t="s">
        <v>2288</v>
      </c>
      <c r="C7" s="282">
        <f>SUMIF('数据-汇总表'!$C19:$C33,假设开发法!C5,'数据-汇总表'!$E19:$E33)</f>
        <v>57972.040000000008</v>
      </c>
      <c r="D7" s="282">
        <f>SUMIF('数据-汇总表'!$C19:$C33,假设开发法!D5,'数据-汇总表'!$E19:$E33)</f>
        <v>27530</v>
      </c>
      <c r="E7" s="282">
        <f>SUMIF('数据-汇总表'!$C19:$C33,假设开发法!E5,'数据-汇总表'!$E19:$E33)</f>
        <v>14500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2289</v>
      </c>
      <c r="B8" s="168" t="s">
        <v>2290</v>
      </c>
      <c r="C8" s="927">
        <f ca="1">'收益法-住宅'!B2</f>
        <v>237325</v>
      </c>
      <c r="D8" s="927">
        <f ca="1">'收益法-仓储'!B2</f>
        <v>45575</v>
      </c>
      <c r="E8" s="927">
        <f ca="1">'收益法-车库'!B2</f>
        <v>5600</v>
      </c>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2291</v>
      </c>
      <c r="B9" s="884"/>
      <c r="C9" s="884"/>
      <c r="D9" s="884"/>
      <c r="E9" s="884"/>
      <c r="F9" s="884"/>
      <c r="G9" s="884"/>
      <c r="H9" s="884"/>
      <c r="I9" s="884"/>
      <c r="J9" s="884"/>
      <c r="K9" s="885"/>
    </row>
    <row r="10" spans="1:33" s="900" customFormat="1" ht="13.5" customHeight="1">
      <c r="A10" s="887" t="s">
        <v>2292</v>
      </c>
      <c r="B10" s="8" t="s">
        <v>2293</v>
      </c>
      <c r="C10" s="896" t="s">
        <v>2294</v>
      </c>
      <c r="D10" s="897" t="s">
        <v>2295</v>
      </c>
      <c r="E10" s="897" t="s">
        <v>2296</v>
      </c>
      <c r="F10" s="897" t="s">
        <v>2297</v>
      </c>
      <c r="G10" s="8"/>
      <c r="H10" s="898"/>
      <c r="I10" s="898"/>
      <c r="J10" s="898"/>
      <c r="K10" s="899"/>
    </row>
    <row r="11" spans="1:33" s="905" customFormat="1" ht="13.5" customHeight="1">
      <c r="A11" s="901" t="s">
        <v>1300</v>
      </c>
      <c r="B11" s="902" t="s">
        <v>2298</v>
      </c>
      <c r="C11" s="284">
        <f ca="1">IF(C1="",'数据-取费表'!P16,INDIRECT("'数据-取费表'!p"&amp;$K$1)+INDIRECT("'数据-取费表'!ar"&amp;$K$1))</f>
        <v>14440</v>
      </c>
      <c r="D11" s="903"/>
      <c r="E11" s="334"/>
      <c r="F11" s="904">
        <f ca="1">1-IF('数据-取费表'!B24=0,1,IF(C1="",'数据-取费表'!N16,INDIRECT("'数据-取费表'!n"&amp;$K$1)))</f>
        <v>0.4</v>
      </c>
      <c r="G11" s="8"/>
      <c r="H11" s="898"/>
      <c r="I11" s="898"/>
      <c r="J11" s="898"/>
      <c r="K11" s="899"/>
    </row>
    <row r="12" spans="1:33" s="905" customFormat="1" ht="13.5" customHeight="1">
      <c r="A12" s="901" t="s">
        <v>1301</v>
      </c>
      <c r="B12" s="902" t="s">
        <v>2299</v>
      </c>
      <c r="C12" s="24">
        <f ca="1">ROUND(C11*F12,0)</f>
        <v>722</v>
      </c>
      <c r="D12" s="903"/>
      <c r="E12" s="334"/>
      <c r="F12" s="906">
        <f>'数据-取费表'!B33</f>
        <v>0.05</v>
      </c>
      <c r="G12" s="8" t="s">
        <v>2300</v>
      </c>
      <c r="H12" s="898"/>
      <c r="I12" s="898"/>
      <c r="J12" s="898"/>
      <c r="K12" s="899"/>
    </row>
    <row r="13" spans="1:33" s="905" customFormat="1" ht="13.5" customHeight="1">
      <c r="A13" s="901" t="s">
        <v>1302</v>
      </c>
      <c r="B13" s="902" t="s">
        <v>2301</v>
      </c>
      <c r="C13" s="24">
        <f ca="1">ROUND(IF(C1="",SUMIF('数据-取费表'!C:C,"住宅",'数据-取费表'!P:P)*F13,IF(INDIRECT("'数据-取费表'!c"&amp;$K$1)="住宅",INDIRECT("'数据-取费表'!P"&amp;$K$1)*F13,0)),0)</f>
        <v>278</v>
      </c>
      <c r="D13" s="948"/>
      <c r="E13" s="334"/>
      <c r="F13" s="906">
        <f>'数据-取费表'!B34</f>
        <v>0.03</v>
      </c>
      <c r="G13" s="8" t="s">
        <v>2302</v>
      </c>
      <c r="H13" s="898"/>
      <c r="I13" s="898"/>
      <c r="J13" s="898"/>
      <c r="K13" s="899"/>
    </row>
    <row r="14" spans="1:33" s="907" customFormat="1" ht="13.5" customHeight="1">
      <c r="A14" s="901" t="s">
        <v>1303</v>
      </c>
      <c r="B14" s="902" t="s">
        <v>2303</v>
      </c>
      <c r="C14" s="24">
        <f ca="1">ROUND(D14*E14*F11/10000,0)</f>
        <v>815</v>
      </c>
      <c r="D14" s="948">
        <f ca="1">IF(C1="",'数据-汇总表'!E3,INDIRECT("'数据-取费表'!K"&amp;$K$1)+INDIRECT("'数据-取费表'!S"&amp;$K$1))</f>
        <v>101912.04000000001</v>
      </c>
      <c r="E14" s="24">
        <f>'数据-取费表'!B35</f>
        <v>200</v>
      </c>
      <c r="F14" s="906"/>
      <c r="G14" s="8" t="s">
        <v>2304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2305</v>
      </c>
      <c r="C15" s="913">
        <f ca="1">ROUND(C11*F15,0)</f>
        <v>217</v>
      </c>
      <c r="D15" s="908"/>
      <c r="E15" s="913"/>
      <c r="F15" s="914">
        <f>'数据-取费表'!B36</f>
        <v>1.4999999999999999E-2</v>
      </c>
      <c r="G15" s="135" t="s">
        <v>2306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2307</v>
      </c>
      <c r="C16" s="913">
        <f ca="1">SUM(C11:C15)</f>
        <v>16472</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2308</v>
      </c>
      <c r="C17" s="24">
        <f ca="1">ROUND(D17*E17/10000,0)</f>
        <v>0</v>
      </c>
      <c r="D17" s="948">
        <f ca="1">D14</f>
        <v>101912.04000000001</v>
      </c>
      <c r="E17" s="24">
        <f>'数据-取费表'!B32</f>
        <v>0</v>
      </c>
      <c r="F17" s="908"/>
      <c r="G17" s="135" t="s">
        <v>2309</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2310</v>
      </c>
      <c r="C18" s="24">
        <f ca="1">C19+C20-IF(C1="",'数据-取费表'!B29,IF(G18="已全部缴纳",C19+C20,H18))</f>
        <v>0</v>
      </c>
      <c r="D18" s="948"/>
      <c r="E18" s="24"/>
      <c r="F18" s="906"/>
      <c r="G18" s="2041"/>
      <c r="H18" s="1341"/>
      <c r="I18" s="2042" t="s">
        <v>2311</v>
      </c>
      <c r="J18" s="909"/>
      <c r="K18" s="910"/>
    </row>
    <row r="19" spans="1:33" s="905" customFormat="1" ht="13.5" customHeight="1">
      <c r="A19" s="901" t="s">
        <v>805</v>
      </c>
      <c r="B19" s="902" t="s">
        <v>2312</v>
      </c>
      <c r="C19" s="24">
        <f ca="1">ROUND(D19*E19/10000,0)</f>
        <v>928</v>
      </c>
      <c r="D19" s="948">
        <f ca="1">IF(C1="",'数据-汇总表'!E5,IF(INDIRECT("'数据-取费表'!c"&amp;$K$1)="住宅",INDIRECT("'数据-取费表'!k"&amp;$K$1),0))</f>
        <v>57972.040000000008</v>
      </c>
      <c r="E19" s="24">
        <f>'数据-取费表'!B27</f>
        <v>160</v>
      </c>
      <c r="F19" s="906"/>
      <c r="G19" s="15"/>
      <c r="H19" s="1343"/>
      <c r="I19" s="911"/>
      <c r="J19" s="911"/>
      <c r="K19" s="912"/>
    </row>
    <row r="20" spans="1:33" s="905" customFormat="1" ht="13.5" customHeight="1">
      <c r="A20" s="901" t="s">
        <v>806</v>
      </c>
      <c r="B20" s="902" t="s">
        <v>2313</v>
      </c>
      <c r="C20" s="24">
        <f ca="1">ROUND(D20*E20/10000,0)</f>
        <v>879</v>
      </c>
      <c r="D20" s="948">
        <f ca="1">IF(C1="",'数据-汇总表'!E6,IF(INDIRECT("'数据-取费表'!c"&amp;$K$1)="住宅",INDIRECT("'数据-取费表'!s"&amp;$K$1),INDIRECT("'数据-取费表'!k"&amp;$K$1)+INDIRECT("'数据-取费表'!s"&amp;$K$1)))</f>
        <v>43940</v>
      </c>
      <c r="E20" s="24">
        <f>'数据-取费表'!B28</f>
        <v>200</v>
      </c>
      <c r="F20" s="906"/>
      <c r="G20" s="15"/>
      <c r="H20" s="911"/>
      <c r="I20" s="911"/>
      <c r="J20" s="911"/>
      <c r="K20" s="912"/>
    </row>
    <row r="21" spans="1:33" s="905" customFormat="1" ht="13.5" customHeight="1">
      <c r="A21" s="891" t="s">
        <v>802</v>
      </c>
      <c r="B21" s="915" t="s">
        <v>2314</v>
      </c>
      <c r="C21" s="916">
        <f ca="1">C16+C17+C18</f>
        <v>16472</v>
      </c>
      <c r="D21" s="917"/>
      <c r="E21" s="286"/>
      <c r="F21" s="286"/>
      <c r="G21" s="135" t="s">
        <v>2315</v>
      </c>
      <c r="H21" s="909"/>
      <c r="I21" s="909"/>
      <c r="J21" s="909"/>
      <c r="K21" s="910"/>
    </row>
    <row r="22" spans="1:33" s="905" customFormat="1" ht="13.5" customHeight="1">
      <c r="A22" s="891" t="s">
        <v>2287</v>
      </c>
      <c r="B22" s="915" t="s">
        <v>2316</v>
      </c>
      <c r="C22" s="916">
        <f ca="1">ROUND(C21*F22,0)</f>
        <v>329</v>
      </c>
      <c r="D22" s="286"/>
      <c r="E22" s="286"/>
      <c r="F22" s="918">
        <f>'数据-取费表'!B37</f>
        <v>0.02</v>
      </c>
      <c r="G22" s="8" t="s">
        <v>2317</v>
      </c>
      <c r="H22" s="898"/>
      <c r="I22" s="898"/>
      <c r="J22" s="898"/>
      <c r="K22" s="899"/>
    </row>
    <row r="23" spans="1:33" s="905" customFormat="1" ht="13.5" customHeight="1">
      <c r="A23" s="891" t="s">
        <v>2289</v>
      </c>
      <c r="B23" s="915" t="s">
        <v>2318</v>
      </c>
      <c r="C23" s="916">
        <f ca="1">ROUND(C4*F23*F11,0)</f>
        <v>2308</v>
      </c>
      <c r="D23" s="286"/>
      <c r="E23" s="286"/>
      <c r="F23" s="918">
        <f>'数据-取费表'!B38</f>
        <v>0.02</v>
      </c>
      <c r="G23" s="8" t="s">
        <v>2319</v>
      </c>
      <c r="H23" s="898"/>
      <c r="I23" s="898"/>
      <c r="J23" s="898"/>
      <c r="K23" s="899"/>
    </row>
    <row r="24" spans="1:33" s="905" customFormat="1" ht="13.5" customHeight="1">
      <c r="A24" s="891" t="s">
        <v>2320</v>
      </c>
      <c r="B24" s="915" t="s">
        <v>2321</v>
      </c>
      <c r="C24" s="285">
        <f>ROUND(F24/(1+'数据-取费表'!C42),4)</f>
        <v>2.9000000000000001E-2</v>
      </c>
      <c r="D24" s="286" t="s">
        <v>15</v>
      </c>
      <c r="E24" s="286"/>
      <c r="F24" s="918">
        <f>IF(项目基本情况!B8="出让",0,'数据-取费表'!B48+'数据-取费表'!B49)</f>
        <v>3.0499999999999999E-2</v>
      </c>
      <c r="G24" s="8" t="s">
        <v>2322</v>
      </c>
      <c r="H24" s="920"/>
      <c r="I24" s="920"/>
      <c r="J24" s="920"/>
      <c r="K24" s="921"/>
    </row>
    <row r="25" spans="1:33" s="905" customFormat="1" ht="13.5" customHeight="1">
      <c r="A25" s="891" t="s">
        <v>2323</v>
      </c>
      <c r="B25" s="917" t="s">
        <v>2324</v>
      </c>
      <c r="C25" s="1259">
        <f ca="1">C27</f>
        <v>540</v>
      </c>
      <c r="D25" s="285">
        <f ca="1">C26</f>
        <v>5.8900000000000001E-2</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2325</v>
      </c>
      <c r="C26" s="1260">
        <f ca="1">ROUND(IF('数据-取费表'!B22&lt;=1,(1+C24)*F25*'数据-取费表'!B24,(1+C24)*(POWER((1+F25),'数据-取费表'!B24)-1)),4)</f>
        <v>5.8900000000000001E-2</v>
      </c>
      <c r="D26" s="289"/>
      <c r="E26" s="290"/>
      <c r="F26" s="291"/>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2326</v>
      </c>
      <c r="C27" s="1261">
        <f ca="1">ROUND(IF('数据-取费表'!B22&lt;=1,(C21+C22+C23)*F25*'数据-取费表'!B24/2,(C21+C22+C23)*(POWER((1+F25),'数据-取费表'!B24/2)-1)),0)</f>
        <v>540</v>
      </c>
      <c r="D27" s="289"/>
      <c r="E27" s="290"/>
      <c r="F27" s="291"/>
      <c r="G27" s="2043" t="str">
        <f>IF('数据-取费表'!B22&lt;=1,"（1）-（3）项×年利率×建设期÷2","（1）-（3）项×((1+年利率)^(建设期÷2)-1)")</f>
        <v>（1）-（3）项×((1+年利率)^(建设期÷2)-1)</v>
      </c>
      <c r="H27" s="909"/>
      <c r="I27" s="909"/>
      <c r="J27" s="909"/>
      <c r="K27" s="910"/>
    </row>
    <row r="28" spans="1:33" s="294" customFormat="1" ht="13.5" customHeight="1">
      <c r="A28" s="891" t="s">
        <v>2327</v>
      </c>
      <c r="B28" s="2044" t="s">
        <v>2328</v>
      </c>
      <c r="C28" s="292">
        <f ca="1">C30</f>
        <v>1529</v>
      </c>
      <c r="D28" s="285">
        <f ca="1">C29</f>
        <v>3.2899999999999999E-2</v>
      </c>
      <c r="E28" s="287" t="s">
        <v>15</v>
      </c>
      <c r="F28" s="293">
        <f ca="1">IF(C1="",'数据-取费表'!Q16,INDIRECT("'数据-取费表'!q"&amp;$K$1))</f>
        <v>0.08</v>
      </c>
      <c r="G28" s="919"/>
      <c r="H28" s="920"/>
      <c r="I28" s="920"/>
      <c r="J28" s="920"/>
      <c r="K28" s="921"/>
    </row>
    <row r="29" spans="1:33" s="296" customFormat="1" ht="13.5" customHeight="1">
      <c r="A29" s="901" t="s">
        <v>803</v>
      </c>
      <c r="B29" s="924" t="s">
        <v>2329</v>
      </c>
      <c r="C29" s="289">
        <f ca="1">ROUND((1+C24)*F28*'数据-取费表'!B24/'数据-取费表'!B20,4)</f>
        <v>3.2899999999999999E-2</v>
      </c>
      <c r="D29" s="289"/>
      <c r="E29" s="290"/>
      <c r="F29" s="295"/>
      <c r="G29" s="135" t="s">
        <v>2330</v>
      </c>
      <c r="H29" s="909"/>
      <c r="I29" s="909"/>
      <c r="J29" s="909"/>
      <c r="K29" s="910"/>
    </row>
    <row r="30" spans="1:33" s="296" customFormat="1" ht="13.5" customHeight="1">
      <c r="A30" s="901" t="s">
        <v>804</v>
      </c>
      <c r="B30" s="924" t="s">
        <v>2331</v>
      </c>
      <c r="C30" s="297">
        <f ca="1">ROUND((C21+C22+C23)*F28,0)</f>
        <v>1529</v>
      </c>
      <c r="D30" s="289"/>
      <c r="E30" s="290"/>
      <c r="F30" s="295"/>
      <c r="G30" s="135"/>
      <c r="H30" s="909"/>
      <c r="I30" s="909"/>
      <c r="J30" s="909"/>
      <c r="K30" s="910"/>
    </row>
    <row r="31" spans="1:33" s="905" customFormat="1" ht="13.5" customHeight="1" thickBot="1">
      <c r="A31" s="2045" t="s">
        <v>2332</v>
      </c>
      <c r="B31" s="935" t="s">
        <v>2333</v>
      </c>
      <c r="C31" s="936">
        <f ca="1">ROUND(C4*F31/(1+'数据-取费表'!C42),0)</f>
        <v>15387</v>
      </c>
      <c r="D31" s="937"/>
      <c r="E31" s="938"/>
      <c r="F31" s="939">
        <f>'数据-取费表'!B41</f>
        <v>5.6000000000000001E-2</v>
      </c>
      <c r="G31" s="940" t="s">
        <v>2334</v>
      </c>
      <c r="H31" s="941"/>
      <c r="I31" s="941"/>
      <c r="J31" s="941"/>
      <c r="K31" s="942"/>
    </row>
    <row r="32" spans="1:33" s="900" customFormat="1" ht="13.5" customHeight="1" thickBot="1">
      <c r="A32" s="930" t="s">
        <v>2335</v>
      </c>
      <c r="B32" s="931"/>
      <c r="C32" s="932">
        <f ca="1">ROUND((C4-C21-C22-C23-C25-C28-C31)/(1+C24+D25+D28),0)</f>
        <v>224781</v>
      </c>
      <c r="D32" s="931"/>
      <c r="E32" s="931"/>
      <c r="F32" s="931"/>
      <c r="G32" s="933" t="s">
        <v>2336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42" sqref="J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3133</v>
      </c>
      <c r="D1" s="1540" t="s">
        <v>3141</v>
      </c>
      <c r="E1" s="1541" t="s">
        <v>1352</v>
      </c>
      <c r="F1" s="1186" t="e">
        <f ca="1">J53</f>
        <v>#N/A</v>
      </c>
      <c r="G1" s="1556" t="e">
        <f>MATCH(C1,'数据-取费表'!A6:A16,0)+5</f>
        <v>#N/A</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t="e">
        <f ca="1">C40+J29+L46</f>
        <v>#N/A</v>
      </c>
      <c r="C2" s="1565" t="s">
        <v>1481</v>
      </c>
      <c r="D2" s="1565"/>
      <c r="E2" s="1566"/>
      <c r="F2" s="1567"/>
      <c r="G2" s="2925"/>
      <c r="H2" s="2914"/>
      <c r="I2" s="2914"/>
      <c r="J2" s="2914"/>
      <c r="K2" s="2915"/>
      <c r="L2" s="2914"/>
      <c r="M2" s="2914"/>
    </row>
    <row r="3" spans="1:37" ht="18" customHeight="1" thickBot="1">
      <c r="A3" s="1568" t="s">
        <v>1482</v>
      </c>
      <c r="B3" s="1569">
        <f ca="1">IF(ISERROR(B2*10000/F43),0,ROUND(B2*10000/F43,0))</f>
        <v>0</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t="e">
        <f ca="1">C6+C10+C12</f>
        <v>#N/A</v>
      </c>
      <c r="D5" s="1542" t="s">
        <v>1367</v>
      </c>
      <c r="E5" s="1196"/>
      <c r="F5" s="1197"/>
      <c r="G5" s="1562"/>
      <c r="H5" s="304">
        <v>1</v>
      </c>
      <c r="I5" s="305" t="s">
        <v>1366</v>
      </c>
      <c r="J5" s="1195" t="e">
        <f ca="1">J6+J10+J12</f>
        <v>#N/A</v>
      </c>
      <c r="K5" s="1542" t="s">
        <v>1367</v>
      </c>
      <c r="L5" s="1196"/>
      <c r="M5" s="1197"/>
    </row>
    <row r="6" spans="1:37" ht="18" customHeight="1">
      <c r="A6" s="1194" t="s">
        <v>1003</v>
      </c>
      <c r="B6" s="3298" t="s">
        <v>1368</v>
      </c>
      <c r="C6" s="1199" t="e">
        <f ca="1">ROUND(F6*F8*F7*(1-F9)/10000,0)</f>
        <v>#N/A</v>
      </c>
      <c r="D6" s="159" t="s">
        <v>2848</v>
      </c>
      <c r="E6" s="307" t="s">
        <v>1370</v>
      </c>
      <c r="F6" s="308" t="e">
        <f ca="1">INDIRECT("'数据-取费表'!u"&amp;$G$1)</f>
        <v>#N/A</v>
      </c>
      <c r="G6" s="1562"/>
      <c r="H6" s="1194" t="s">
        <v>1003</v>
      </c>
      <c r="I6" s="3298" t="s">
        <v>1368</v>
      </c>
      <c r="J6" s="306" t="e">
        <f ca="1">ROUND(M6*M8*M7*(1-M9)/10000,0)</f>
        <v>#N/A</v>
      </c>
      <c r="K6" s="159" t="s">
        <v>2847</v>
      </c>
      <c r="L6" s="307" t="s">
        <v>1370</v>
      </c>
      <c r="M6" s="308" t="e">
        <f ca="1">INDIRECT("'数据-取费表'!z"&amp;$G$1)</f>
        <v>#N/A</v>
      </c>
    </row>
    <row r="7" spans="1:37" ht="18" customHeight="1">
      <c r="A7" s="1198"/>
      <c r="B7" s="3299"/>
      <c r="C7" s="1200"/>
      <c r="D7" s="312"/>
      <c r="E7" s="3036" t="s">
        <v>1371</v>
      </c>
      <c r="F7" s="308" t="e">
        <f ca="1">IF(INDIRECT("'数据-取费表'!ah"&amp;$G$1)="",INDIRECT("'数据-取费表'!k"&amp;$G$1),INDIRECT("'数据-取费表'!ah"&amp;$G$1))</f>
        <v>#N/A</v>
      </c>
      <c r="G7" s="1562"/>
      <c r="H7" s="309"/>
      <c r="I7" s="3299"/>
      <c r="J7" s="311"/>
      <c r="K7" s="312"/>
      <c r="L7" s="307" t="s">
        <v>1371</v>
      </c>
      <c r="M7" s="308" t="e">
        <f ca="1">F7</f>
        <v>#N/A</v>
      </c>
    </row>
    <row r="8" spans="1:37" ht="18" customHeight="1">
      <c r="A8" s="309"/>
      <c r="B8" s="3299"/>
      <c r="C8" s="311"/>
      <c r="D8" s="312"/>
      <c r="E8" s="307" t="s">
        <v>1372</v>
      </c>
      <c r="F8" s="308" t="e">
        <f ca="1">INDIRECT("'数据-取费表'!ai"&amp;$G$1)</f>
        <v>#N/A</v>
      </c>
      <c r="G8" s="1562"/>
      <c r="H8" s="309"/>
      <c r="I8" s="3299"/>
      <c r="J8" s="311"/>
      <c r="K8" s="312"/>
      <c r="L8" s="307" t="s">
        <v>1372</v>
      </c>
      <c r="M8" s="308" t="e">
        <f ca="1">INDIRECT("'数据-取费表'!ai"&amp;$G$1)</f>
        <v>#N/A</v>
      </c>
    </row>
    <row r="9" spans="1:37" ht="18" customHeight="1">
      <c r="A9" s="309"/>
      <c r="B9" s="3300"/>
      <c r="C9" s="311"/>
      <c r="D9" s="312"/>
      <c r="E9" s="307" t="s">
        <v>1373</v>
      </c>
      <c r="F9" s="317" t="e">
        <f ca="1">INDIRECT("'数据-取费表'!w"&amp;$G$1)</f>
        <v>#N/A</v>
      </c>
      <c r="G9" s="1562"/>
      <c r="H9" s="309"/>
      <c r="I9" s="3300"/>
      <c r="J9" s="311"/>
      <c r="K9" s="312"/>
      <c r="L9" s="318" t="s">
        <v>1373</v>
      </c>
      <c r="M9" s="319" t="e">
        <f ca="1">INDIRECT("'数据-取费表'!ab"&amp;$G$1)</f>
        <v>#N/A</v>
      </c>
    </row>
    <row r="10" spans="1:37" ht="18" customHeight="1">
      <c r="A10" s="1194" t="s">
        <v>1007</v>
      </c>
      <c r="B10" s="1543" t="s">
        <v>1374</v>
      </c>
      <c r="C10" s="321">
        <f ca="1">ROUND(IF(F10="押一",C6/12*F11,IF(F10="押二",C6/12*2*F11,IF(F10="押三",C6/12*3*F11,C11*F11))),0)</f>
        <v>0</v>
      </c>
      <c r="D10" s="1544" t="s">
        <v>2855</v>
      </c>
      <c r="E10" s="318" t="s">
        <v>1375</v>
      </c>
      <c r="F10" s="1269" t="s">
        <v>3153</v>
      </c>
      <c r="G10" s="1562"/>
      <c r="H10" s="1194" t="s">
        <v>1007</v>
      </c>
      <c r="I10" s="1543" t="s">
        <v>1374</v>
      </c>
      <c r="J10" s="306" t="e">
        <f ca="1">ROUND(IF(M10="押一",J6/12*M11,IF(M10="押二",J6/12*2*M11,IF(M10="押三",J6/12*3*M11,J11*M11))),0)</f>
        <v>#N/A</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t="e">
        <f ca="1">ROUND(C29*F13,0)</f>
        <v>#N/A</v>
      </c>
      <c r="D13" s="3033" t="s">
        <v>1380</v>
      </c>
      <c r="E13" s="3033" t="s">
        <v>1381</v>
      </c>
      <c r="F13" s="1235" t="e">
        <f ca="1">INDIRECT("'数据-取费表'!y"&amp;$G$1)</f>
        <v>#N/A</v>
      </c>
      <c r="G13" s="1562"/>
      <c r="H13" s="1232">
        <v>2</v>
      </c>
      <c r="I13" s="1233" t="s">
        <v>1379</v>
      </c>
      <c r="J13" s="1193" t="e">
        <f ca="1">ROUND(J14*J15,0)</f>
        <v>#N/A</v>
      </c>
      <c r="K13" s="1240" t="s">
        <v>1380</v>
      </c>
      <c r="L13" s="1570"/>
      <c r="M13" s="1571"/>
    </row>
    <row r="14" spans="1:37" ht="18" customHeight="1">
      <c r="A14" s="1106" t="s">
        <v>1002</v>
      </c>
      <c r="B14" s="307" t="s">
        <v>1382</v>
      </c>
      <c r="C14" s="323" t="e">
        <f ca="1">INDIRECT("'数据-取费表'!m"&amp;$G$1)+INDIRECT("'数据-取费表'!t"&amp;$G$1)</f>
        <v>#N/A</v>
      </c>
      <c r="D14" s="3039" t="s">
        <v>1383</v>
      </c>
      <c r="E14" s="3038"/>
      <c r="F14" s="324"/>
      <c r="G14" s="1562"/>
      <c r="H14" s="1106" t="s">
        <v>1003</v>
      </c>
      <c r="I14" s="307" t="s">
        <v>1384</v>
      </c>
      <c r="J14" s="24" t="e">
        <f ca="1">C29</f>
        <v>#N/A</v>
      </c>
      <c r="K14" s="3035"/>
      <c r="L14" s="909"/>
      <c r="M14" s="910"/>
    </row>
    <row r="15" spans="1:37" s="1575" customFormat="1" ht="18" customHeight="1" thickBot="1">
      <c r="A15" s="1106" t="s">
        <v>1004</v>
      </c>
      <c r="B15" s="307" t="s">
        <v>1385</v>
      </c>
      <c r="C15" s="24" t="e">
        <f ca="1">ROUND(C14*F15,0)</f>
        <v>#N/A</v>
      </c>
      <c r="D15" s="3034" t="s">
        <v>1386</v>
      </c>
      <c r="E15" s="3034" t="s">
        <v>1387</v>
      </c>
      <c r="F15" s="326">
        <f>'数据-取费表'!B33</f>
        <v>0.05</v>
      </c>
      <c r="G15" s="1574"/>
      <c r="H15" s="1242" t="s">
        <v>1007</v>
      </c>
      <c r="I15" s="1243" t="s">
        <v>1381</v>
      </c>
      <c r="J15" s="1252" t="e">
        <f ca="1">INDIRECT("'数据-取费表'!ad"&amp;$G$1)</f>
        <v>#N/A</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t="e">
        <f ca="1">ROUND(INDIRECT("'数据-取费表'!m"&amp;$G$1)*F16,0)</f>
        <v>#N/A</v>
      </c>
      <c r="D16" s="307" t="s">
        <v>1386</v>
      </c>
      <c r="E16" s="307" t="s">
        <v>1387</v>
      </c>
      <c r="F16" s="327" t="e">
        <f ca="1">IF(INDIRECT("'数据-取费表'!c"&amp;$G$1)="住宅",'数据-取费表'!B34,0)</f>
        <v>#N/A</v>
      </c>
      <c r="G16" s="1562"/>
      <c r="H16" s="1232" t="s">
        <v>998</v>
      </c>
      <c r="I16" s="1233" t="s">
        <v>1389</v>
      </c>
      <c r="J16" s="315" t="e">
        <f ca="1">ROUND(J17+J22+J23+J24,0)</f>
        <v>#N/A</v>
      </c>
      <c r="K16" s="1240" t="s">
        <v>1390</v>
      </c>
      <c r="L16" s="3041"/>
      <c r="M16" s="1197"/>
    </row>
    <row r="17" spans="1:37" s="1575" customFormat="1" ht="18" customHeight="1">
      <c r="A17" s="1106" t="s">
        <v>1355</v>
      </c>
      <c r="B17" s="307" t="s">
        <v>1391</v>
      </c>
      <c r="C17" s="24" t="e">
        <f ca="1">ROUND(F17*(F43+INDIRECT("'数据-取费表'!S"&amp;$G$1))/10000,0)</f>
        <v>#N/A</v>
      </c>
      <c r="D17" s="307" t="s">
        <v>1392</v>
      </c>
      <c r="E17" s="307" t="s">
        <v>1393</v>
      </c>
      <c r="F17" s="26">
        <f>'数据-取费表'!B35</f>
        <v>200</v>
      </c>
      <c r="G17" s="1574"/>
      <c r="H17" s="1106" t="s">
        <v>1003</v>
      </c>
      <c r="I17" s="307" t="s">
        <v>1394</v>
      </c>
      <c r="J17" s="2527" t="e">
        <f ca="1">ROUND(IF(AND(项目基本情况!B11="自然人",项目基本情况!B10="北京市"),J6*M17/(1+'数据-取费表'!C42),J18+J19+J20),0)</f>
        <v>#N/A</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t="e">
        <f ca="1">ROUND(C14*F18,0)</f>
        <v>#N/A</v>
      </c>
      <c r="D18" s="307" t="s">
        <v>1386</v>
      </c>
      <c r="E18" s="307" t="s">
        <v>1387</v>
      </c>
      <c r="F18" s="327">
        <f>'数据-取费表'!B36</f>
        <v>1.4999999999999999E-2</v>
      </c>
      <c r="G18" s="1574"/>
      <c r="H18" s="1106" t="s">
        <v>1002</v>
      </c>
      <c r="I18" s="307" t="s">
        <v>1398</v>
      </c>
      <c r="J18" s="24" t="e">
        <f ca="1">ROUND(J6*M18/(1+'数据-取费表'!C42),2)</f>
        <v>#N/A</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t="e">
        <f ca="1">SUM(C14:C18)</f>
        <v>#N/A</v>
      </c>
      <c r="D19" s="135" t="s">
        <v>1401</v>
      </c>
      <c r="E19" s="3043"/>
      <c r="F19" s="26"/>
      <c r="G19" s="1562"/>
      <c r="H19" s="1106" t="s">
        <v>1004</v>
      </c>
      <c r="I19" s="307" t="s">
        <v>1402</v>
      </c>
      <c r="J19" s="24" t="e">
        <f ca="1">IF(K19="按租金收入计税",ROUND(J6*M19/(1+'数据-取费表'!C42),2),ROUND(C29*M19*0.7,2))</f>
        <v>#N/A</v>
      </c>
      <c r="K19" s="1548" t="s">
        <v>1403</v>
      </c>
      <c r="L19" s="307" t="s">
        <v>1387</v>
      </c>
      <c r="M19" s="327">
        <f>IF(K19="按租金收入计税",'数据-取费表'!B51,'数据-取费表'!B50)</f>
        <v>1.2E-2</v>
      </c>
    </row>
    <row r="20" spans="1:37" s="1575" customFormat="1" ht="18" customHeight="1">
      <c r="A20" s="1106" t="s">
        <v>1007</v>
      </c>
      <c r="B20" s="307" t="s">
        <v>1404</v>
      </c>
      <c r="C20" s="24" t="e">
        <f ca="1">ROUND(C19*F20,0)</f>
        <v>#N/A</v>
      </c>
      <c r="D20" s="328" t="s">
        <v>1405</v>
      </c>
      <c r="E20" s="307" t="s">
        <v>1387</v>
      </c>
      <c r="F20" s="327">
        <f>'数据-取费表'!B37</f>
        <v>0.02</v>
      </c>
      <c r="G20" s="1574"/>
      <c r="H20" s="1106" t="s">
        <v>1354</v>
      </c>
      <c r="I20" s="159" t="s">
        <v>1406</v>
      </c>
      <c r="J20" s="25" t="e">
        <f ca="1">ROUND(M20*M21/10000,2)</f>
        <v>#N/A</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t="e">
        <f ca="1">INDIRECT("'数据-取费表'!r"&amp;$G$1)</f>
        <v>#N/A</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t="e">
        <f ca="1">ROUND(J14*M22,1)</f>
        <v>#N/A</v>
      </c>
      <c r="K22" s="3040" t="s">
        <v>1415</v>
      </c>
      <c r="L22" s="307" t="s">
        <v>1387</v>
      </c>
      <c r="M22" s="333" t="e">
        <f ca="1">INDIRECT("'数据-取费表'!Ak"&amp;$G$1)</f>
        <v>#N/A</v>
      </c>
    </row>
    <row r="23" spans="1:37" s="1575" customFormat="1" ht="18" customHeight="1">
      <c r="A23" s="1106"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t="e">
        <f ca="1">ROUND(J13*M23,1)</f>
        <v>#N/A</v>
      </c>
      <c r="K23" s="3040" t="s">
        <v>1419</v>
      </c>
      <c r="L23" s="307" t="s">
        <v>1387</v>
      </c>
      <c r="M23" s="335" t="e">
        <f ca="1">INDIRECT("'数据-取费表'!Al"&amp;$G$1)</f>
        <v>#N/A</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t="e">
        <f ca="1">ROUND(J5*M24,1)</f>
        <v>#N/A</v>
      </c>
      <c r="K24" s="1245" t="s">
        <v>1424</v>
      </c>
      <c r="L24" s="1243" t="s">
        <v>1387</v>
      </c>
      <c r="M24" s="1239" t="e">
        <f ca="1">INDIRECT("'数据-取费表'!Am"&amp;$G$1)</f>
        <v>#N/A</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t="e">
        <f ca="1">J5-J16</f>
        <v>#N/A</v>
      </c>
      <c r="K25" s="1248" t="s">
        <v>1429</v>
      </c>
      <c r="L25" s="1249"/>
      <c r="M25" s="1250"/>
    </row>
    <row r="26" spans="1:37">
      <c r="A26" s="1106" t="s">
        <v>1002</v>
      </c>
      <c r="B26" s="307" t="s">
        <v>1430</v>
      </c>
      <c r="C26" s="24" t="e">
        <f ca="1">ROUND((C19+C20)*F26,0)</f>
        <v>#N/A</v>
      </c>
      <c r="D26" s="328" t="s">
        <v>1431</v>
      </c>
      <c r="E26" s="318" t="s">
        <v>1432</v>
      </c>
      <c r="F26" s="317" t="e">
        <f ca="1">INDIRECT("'数据-取费表'!q"&amp;$G$1)</f>
        <v>#N/A</v>
      </c>
      <c r="G26" s="1562"/>
      <c r="H26" s="304" t="s">
        <v>1000</v>
      </c>
      <c r="I26" s="305" t="s">
        <v>1433</v>
      </c>
      <c r="J26" s="306" t="e">
        <f ca="1">IF(J5&lt;&gt;0,ROUND(J25*(1-((1+M28)/(1+M26))^M27)/(M26-M28),0),0)</f>
        <v>#N/A</v>
      </c>
      <c r="K26" s="329" t="s">
        <v>1434</v>
      </c>
      <c r="L26" s="307" t="s">
        <v>1435</v>
      </c>
      <c r="M26" s="317" t="e">
        <f ca="1">INDIRECT("'数据-取费表'!I"&amp;$G$1)</f>
        <v>#N/A</v>
      </c>
    </row>
    <row r="27" spans="1:37" ht="18" customHeight="1">
      <c r="A27" s="1106" t="s">
        <v>1004</v>
      </c>
      <c r="B27" s="307" t="s">
        <v>1436</v>
      </c>
      <c r="C27" s="24" t="e">
        <f ca="1">ROUND(F21*F26,4)</f>
        <v>#N/A</v>
      </c>
      <c r="D27" s="328" t="s">
        <v>1437</v>
      </c>
      <c r="E27" s="3034"/>
      <c r="F27" s="326"/>
      <c r="G27" s="1562"/>
      <c r="H27" s="309"/>
      <c r="I27" s="310"/>
      <c r="J27" s="311"/>
      <c r="K27" s="337" t="s">
        <v>1438</v>
      </c>
      <c r="L27" s="307" t="s">
        <v>1439</v>
      </c>
      <c r="M27" s="338" t="e">
        <f ca="1">INDIRECT("'数据-取费表'!ag"&amp;$G$1)</f>
        <v>#N/A</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t="e">
        <f ca="1">INDIRECT("'数据-取费表'!aa"&amp;$G$1)</f>
        <v>#N/A</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t="e">
        <f ca="1">ROUND((C19+C20+C23+C26)/(1-F21-C24-C27-C28),0)</f>
        <v>#N/A</v>
      </c>
      <c r="D29" s="1245"/>
      <c r="E29" s="1243"/>
      <c r="F29" s="1246"/>
      <c r="G29" s="1574"/>
      <c r="H29" s="339" t="s">
        <v>1001</v>
      </c>
      <c r="I29" s="340" t="s">
        <v>1444</v>
      </c>
      <c r="J29" s="341" t="e">
        <f ca="1">ROUND(J26/(1+F40)^F41,0)</f>
        <v>#N/A</v>
      </c>
      <c r="K29" s="342" t="s">
        <v>1445</v>
      </c>
      <c r="L29" s="343"/>
      <c r="M29" s="344" t="e">
        <f ca="1">INDIRECT("'数据-取费表'!k"&amp;$G$1)</f>
        <v>#N/A</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t="e">
        <f ca="1">ROUND(C31+C36+C37+C38,0)</f>
        <v>#N/A</v>
      </c>
      <c r="D30" s="1240" t="s">
        <v>1390</v>
      </c>
      <c r="E30" s="3041"/>
      <c r="F30" s="1197"/>
      <c r="G30" s="1562"/>
      <c r="H30" s="2916"/>
      <c r="I30" s="1576"/>
      <c r="J30" s="1577"/>
      <c r="K30" s="2691"/>
      <c r="L30" s="2917"/>
      <c r="M30" s="2918"/>
    </row>
    <row r="31" spans="1:37" ht="18" customHeight="1">
      <c r="A31" s="1106" t="s">
        <v>1003</v>
      </c>
      <c r="B31" s="307" t="s">
        <v>1394</v>
      </c>
      <c r="C31" s="2527" t="e">
        <f ca="1">ROUND(IF(AND(项目基本情况!B11="自然人",项目基本情况!B10="北京市"),C6*F31/(1+'数据-取费表'!C42),C32+C33+C34),0)</f>
        <v>#N/A</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t="e">
        <f ca="1">IF(项目基本情况!B11="自然人","——",ROUND(C6*F32/(1+'数据-取费表'!C42),2))</f>
        <v>#N/A</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t="e">
        <f ca="1">IF(项目基本情况!B11="自然人","——",IF(D33="按租金收入计税",ROUND(C6*F33/(1+'数据-取费表'!C42),2),IF(D33="按房产原值计税",ROUND(C29*F33*0.7,2),INDIRECT("'数据-取费表'!Aj"&amp;$G$1))))</f>
        <v>#N/A</v>
      </c>
      <c r="D33" s="1548" t="s">
        <v>3150</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t="e">
        <f ca="1">IF(项目基本情况!B11="自然人","——",ROUND(F34*F35/10000,2))</f>
        <v>#N/A</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t="e">
        <f ca="1">INDIRECT("'数据-取费表'!r"&amp;$G$1)</f>
        <v>#N/A</v>
      </c>
      <c r="G35" s="1562"/>
      <c r="H35" s="2916"/>
      <c r="I35" s="1576"/>
      <c r="J35" s="1577"/>
      <c r="K35" s="2920"/>
      <c r="L35" s="2919"/>
      <c r="M35" s="2919"/>
    </row>
    <row r="36" spans="1:18" ht="18" customHeight="1">
      <c r="A36" s="1255" t="s">
        <v>1007</v>
      </c>
      <c r="B36" s="307" t="s">
        <v>1414</v>
      </c>
      <c r="C36" s="24" t="e">
        <f ca="1">ROUND(C29*F36,1)</f>
        <v>#N/A</v>
      </c>
      <c r="D36" s="3040" t="s">
        <v>1447</v>
      </c>
      <c r="E36" s="307" t="s">
        <v>1387</v>
      </c>
      <c r="F36" s="333" t="e">
        <f ca="1">INDIRECT("'数据-取费表'!Ak"&amp;$G$1)</f>
        <v>#N/A</v>
      </c>
      <c r="G36" s="1562"/>
      <c r="H36" s="2919"/>
      <c r="I36" s="1576"/>
      <c r="J36" s="1577"/>
      <c r="K36" s="2760"/>
      <c r="L36" s="2919"/>
      <c r="M36" s="2919"/>
    </row>
    <row r="37" spans="1:18" ht="18" customHeight="1">
      <c r="A37" s="1106" t="s">
        <v>1043</v>
      </c>
      <c r="B37" s="307" t="s">
        <v>1418</v>
      </c>
      <c r="C37" s="24" t="e">
        <f ca="1">ROUND(C13*F37,1)</f>
        <v>#N/A</v>
      </c>
      <c r="D37" s="3040" t="s">
        <v>1419</v>
      </c>
      <c r="E37" s="307" t="s">
        <v>1387</v>
      </c>
      <c r="F37" s="335" t="e">
        <f ca="1">INDIRECT("'数据-取费表'!Al"&amp;$G$1)</f>
        <v>#N/A</v>
      </c>
      <c r="G37" s="1562"/>
      <c r="H37" s="2919"/>
      <c r="I37" s="1576"/>
      <c r="J37" s="1577"/>
      <c r="K37" s="2760"/>
      <c r="L37" s="2919"/>
      <c r="M37" s="2919"/>
    </row>
    <row r="38" spans="1:18" ht="18" customHeight="1" thickBot="1">
      <c r="A38" s="1242" t="s">
        <v>1357</v>
      </c>
      <c r="B38" s="1243" t="s">
        <v>1404</v>
      </c>
      <c r="C38" s="1244" t="e">
        <f ca="1">ROUND(C5*F38,1)</f>
        <v>#N/A</v>
      </c>
      <c r="D38" s="1245" t="s">
        <v>1424</v>
      </c>
      <c r="E38" s="1243" t="s">
        <v>1387</v>
      </c>
      <c r="F38" s="1239" t="e">
        <f ca="1">INDIRECT("'数据-取费表'!Am"&amp;$G$1)</f>
        <v>#N/A</v>
      </c>
      <c r="G38" s="1562"/>
      <c r="H38" s="2919"/>
      <c r="I38" s="1576"/>
      <c r="J38" s="1577"/>
      <c r="K38" s="2923"/>
      <c r="L38" s="2919"/>
      <c r="M38" s="2919"/>
    </row>
    <row r="39" spans="1:18" ht="24.6" customHeight="1" thickTop="1">
      <c r="A39" s="1232" t="s">
        <v>999</v>
      </c>
      <c r="B39" s="1247" t="s">
        <v>1428</v>
      </c>
      <c r="C39" s="315" t="e">
        <f ca="1">C5-C30</f>
        <v>#N/A</v>
      </c>
      <c r="D39" s="1248" t="s">
        <v>1429</v>
      </c>
      <c r="E39" s="1249"/>
      <c r="F39" s="1250"/>
      <c r="G39" s="1562"/>
      <c r="H39" s="2919"/>
      <c r="I39" s="1576"/>
      <c r="J39" s="1577"/>
      <c r="K39" s="2923"/>
      <c r="L39" s="2919"/>
      <c r="M39" s="2919"/>
    </row>
    <row r="40" spans="1:18" ht="18" customHeight="1">
      <c r="A40" s="304" t="s">
        <v>1000</v>
      </c>
      <c r="B40" s="305" t="s">
        <v>1450</v>
      </c>
      <c r="C40" s="306" t="e">
        <f ca="1">ROUND(C39*(1-((1+F42)/(1+F40))^F41)/(F40-F42),0)</f>
        <v>#N/A</v>
      </c>
      <c r="D40" s="329" t="s">
        <v>1434</v>
      </c>
      <c r="E40" s="307" t="s">
        <v>1435</v>
      </c>
      <c r="F40" s="317" t="e">
        <f ca="1">INDIRECT("'数据-取费表'!I"&amp;$G$1)</f>
        <v>#N/A</v>
      </c>
      <c r="G40" s="1562"/>
      <c r="H40" s="1639"/>
      <c r="I40" s="1576"/>
      <c r="J40" s="1577"/>
      <c r="K40" s="2923"/>
      <c r="L40" s="1639"/>
      <c r="M40" s="1639"/>
    </row>
    <row r="41" spans="1:18" ht="18" customHeight="1">
      <c r="A41" s="309"/>
      <c r="B41" s="310"/>
      <c r="C41" s="311"/>
      <c r="D41" s="337" t="s">
        <v>1451</v>
      </c>
      <c r="E41" s="307" t="s">
        <v>1439</v>
      </c>
      <c r="F41" s="338" t="e">
        <f ca="1">IF(INDIRECT("'数据-取费表'!af"&amp;$G$1)=0,INDIRECT("'数据-取费表'!ae"&amp;$G$1),INDIRECT("'数据-取费表'!af"&amp;$G$1))</f>
        <v>#N/A</v>
      </c>
      <c r="G41" s="1562"/>
      <c r="H41" s="1345"/>
      <c r="I41" s="1576"/>
      <c r="J41" s="1577"/>
      <c r="K41" s="2760"/>
      <c r="L41" s="1345"/>
      <c r="M41" s="1345"/>
    </row>
    <row r="42" spans="1:18" ht="18" customHeight="1">
      <c r="A42" s="313"/>
      <c r="B42" s="314"/>
      <c r="C42" s="315"/>
      <c r="D42" s="332"/>
      <c r="E42" s="307" t="s">
        <v>1442</v>
      </c>
      <c r="F42" s="317" t="e">
        <f ca="1">INDIRECT("'数据-取费表'!v"&amp;$G$1)</f>
        <v>#N/A</v>
      </c>
      <c r="G42" s="1562"/>
      <c r="H42" s="1345"/>
      <c r="I42" s="1576"/>
      <c r="J42" s="1577"/>
      <c r="K42" s="2760"/>
      <c r="L42" s="1345"/>
      <c r="M42" s="1345"/>
    </row>
    <row r="43" spans="1:18" ht="18" customHeight="1" thickBot="1">
      <c r="A43" s="339" t="s">
        <v>1001</v>
      </c>
      <c r="B43" s="340" t="s">
        <v>1452</v>
      </c>
      <c r="C43" s="341" t="e">
        <f ca="1">ROUND(C40*10000/F43,0)</f>
        <v>#N/A</v>
      </c>
      <c r="D43" s="342" t="s">
        <v>1453</v>
      </c>
      <c r="E43" s="343" t="s">
        <v>1454</v>
      </c>
      <c r="F43" s="344" t="e">
        <f ca="1">INDIRECT("'数据-取费表'!k"&amp;$G$1)</f>
        <v>#N/A</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t="e">
        <f ca="1">C68-C40</f>
        <v>#N/A</v>
      </c>
      <c r="D46" s="1584" t="str">
        <f>C2</f>
        <v>万元</v>
      </c>
      <c r="E46" s="1578"/>
      <c r="F46" s="1578"/>
      <c r="I46" s="1585" t="s">
        <v>1486</v>
      </c>
      <c r="J46" s="1586"/>
      <c r="K46" s="1587"/>
      <c r="L46" s="1588" t="e">
        <f ca="1">IF(M47="住宅",0,IF(L48&gt;J51,L60,J60))</f>
        <v>#N/A</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3151</v>
      </c>
      <c r="K47" s="1594" t="s">
        <v>1492</v>
      </c>
      <c r="L47" s="1595" t="e">
        <f ca="1">INDIRECT("'数据-取费表'!d"&amp;$G$1)</f>
        <v>#N/A</v>
      </c>
      <c r="M47" s="1558" t="str">
        <f>IF(ISNUMBER(FIND("住宅",C1)),"住宅","非住宅")</f>
        <v>非住宅</v>
      </c>
      <c r="O47" s="1596" t="s">
        <v>1008</v>
      </c>
      <c r="P47" s="1597" t="s">
        <v>1493</v>
      </c>
      <c r="Q47" s="1598" t="e">
        <f ca="1">C40+J29</f>
        <v>#N/A</v>
      </c>
      <c r="R47" s="1598" t="s">
        <v>1494</v>
      </c>
    </row>
    <row r="48" spans="1:18" s="1562" customFormat="1" ht="28.5" thickBot="1">
      <c r="A48" s="1263" t="s">
        <v>1103</v>
      </c>
      <c r="B48" s="305" t="s">
        <v>1366</v>
      </c>
      <c r="C48" s="3042" t="e">
        <f ca="1">C49+C53+C55</f>
        <v>#N/A</v>
      </c>
      <c r="D48" s="1265"/>
      <c r="E48" s="1266"/>
      <c r="F48" s="1086"/>
      <c r="G48" s="730"/>
      <c r="H48" s="731"/>
      <c r="I48" s="1599" t="s">
        <v>1495</v>
      </c>
      <c r="J48" s="1600" t="s">
        <v>3152</v>
      </c>
      <c r="K48" s="1601" t="s">
        <v>1496</v>
      </c>
      <c r="L48" s="1602" t="e">
        <f ca="1">INDIRECT("'数据-取费表'!f"&amp;$G$1)</f>
        <v>#N/A</v>
      </c>
      <c r="O48" s="1596" t="s">
        <v>1009</v>
      </c>
      <c r="P48" s="1597" t="s">
        <v>1497</v>
      </c>
      <c r="Q48" s="1598" t="e">
        <f ca="1">J60</f>
        <v>#N/A</v>
      </c>
      <c r="R48" s="1598" t="s">
        <v>1498</v>
      </c>
    </row>
    <row r="49" spans="1:18" s="1562" customFormat="1" ht="13.5" thickBot="1">
      <c r="A49" s="1099" t="s">
        <v>1104</v>
      </c>
      <c r="B49" s="1549" t="s">
        <v>1455</v>
      </c>
      <c r="C49" s="1267" t="e">
        <f ca="1">ROUND(F49*F51*F50*(1-F52)/10000,0)</f>
        <v>#N/A</v>
      </c>
      <c r="D49" s="1179" t="s">
        <v>2847</v>
      </c>
      <c r="E49" s="1550" t="s">
        <v>1456</v>
      </c>
      <c r="F49" s="1184"/>
      <c r="G49" s="1603"/>
      <c r="H49" s="731"/>
      <c r="I49" s="1599" t="s">
        <v>1499</v>
      </c>
      <c r="J49" s="1604">
        <v>2021</v>
      </c>
      <c r="K49" s="1601" t="s">
        <v>1500</v>
      </c>
      <c r="L49" s="1605"/>
      <c r="O49" s="1606" t="s">
        <v>1010</v>
      </c>
      <c r="P49" s="1597" t="s">
        <v>1501</v>
      </c>
      <c r="Q49" s="1598" t="e">
        <f ca="1">C29</f>
        <v>#N/A</v>
      </c>
      <c r="R49" s="1598" t="s">
        <v>1494</v>
      </c>
    </row>
    <row r="50" spans="1:18" s="1562" customFormat="1" ht="13.5" thickBot="1">
      <c r="A50" s="1100"/>
      <c r="B50" s="1103"/>
      <c r="C50" s="1271"/>
      <c r="D50" s="1077"/>
      <c r="E50" s="1180" t="s">
        <v>1371</v>
      </c>
      <c r="F50" s="1181" t="e">
        <f ca="1">F7</f>
        <v>#N/A</v>
      </c>
      <c r="H50" s="731"/>
      <c r="I50" s="1599" t="s">
        <v>1502</v>
      </c>
      <c r="J50" s="1607">
        <f>SUMPRODUCT((I63:I65=J47)*(J62:L62=J48)*(J63:L65))</f>
        <v>60</v>
      </c>
      <c r="K50" s="1601" t="s">
        <v>1503</v>
      </c>
      <c r="L50" s="1605"/>
      <c r="M50" s="1608"/>
      <c r="O50" s="1606" t="s">
        <v>1011</v>
      </c>
      <c r="P50" s="1597" t="s">
        <v>1504</v>
      </c>
      <c r="Q50" s="1609" t="e">
        <f ca="1">J58</f>
        <v>#N/A</v>
      </c>
      <c r="R50" s="1598"/>
    </row>
    <row r="51" spans="1:18" s="1562" customFormat="1" ht="13.5" thickBot="1">
      <c r="A51" s="1101"/>
      <c r="B51" s="1103"/>
      <c r="C51" s="1104"/>
      <c r="D51" s="1077"/>
      <c r="E51" s="1105" t="s">
        <v>1372</v>
      </c>
      <c r="F51" s="308" t="e">
        <f ca="1">F8</f>
        <v>#N/A</v>
      </c>
      <c r="I51" s="1610" t="s">
        <v>1505</v>
      </c>
      <c r="J51" s="1611">
        <f>IF(J49="",J50,J49+J50-YEAR('数据-取费表'!B2))</f>
        <v>61</v>
      </c>
      <c r="K51" s="1612" t="s">
        <v>1506</v>
      </c>
      <c r="L51" s="1613" t="e">
        <f ca="1">ROUND(-PV(INDIRECT("'数据-取费表'!h"&amp;$G$1),J51,(C39-C13*C76),0),0)</f>
        <v>#N/A</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t="e">
        <f ca="1">J53</f>
        <v>#N/A</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t="e">
        <f ca="1">IF(M47="住宅",IF(D1="——",MAX(J51,L48),MAX(J51,L48-'数据-取费表'!B24)),IF(D1="——",MIN(J51,L48),MIN(J51,L48-'数据-取费表'!B24)))</f>
        <v>#N/A</v>
      </c>
      <c r="K53" s="3301" t="s">
        <v>1513</v>
      </c>
      <c r="L53" s="3302"/>
      <c r="O53" s="1596" t="s">
        <v>1014</v>
      </c>
      <c r="P53" s="1597" t="s">
        <v>1514</v>
      </c>
      <c r="Q53" s="1598" t="e">
        <f ca="1">Q47+Q48</f>
        <v>#N/A</v>
      </c>
      <c r="R53" s="1598" t="s">
        <v>1015</v>
      </c>
    </row>
    <row r="54" spans="1:18" s="1562" customFormat="1" ht="13.5" thickBot="1">
      <c r="A54" s="1308"/>
      <c r="B54" s="1545" t="s">
        <v>1353</v>
      </c>
      <c r="C54" s="1083"/>
      <c r="D54" s="1544"/>
      <c r="E54" s="3037"/>
      <c r="F54" s="1618"/>
      <c r="I54" s="16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#N/A</v>
      </c>
      <c r="K55" s="1623" t="s">
        <v>1517</v>
      </c>
      <c r="L55" s="1624" t="s">
        <v>1518</v>
      </c>
      <c r="O55" s="1589" t="s">
        <v>1487</v>
      </c>
      <c r="P55" s="1590" t="s">
        <v>1488</v>
      </c>
      <c r="Q55" s="1591" t="s">
        <v>1489</v>
      </c>
      <c r="R55" s="1591" t="s">
        <v>1490</v>
      </c>
    </row>
    <row r="56" spans="1:18" s="1562" customFormat="1" ht="25.5" thickTop="1" thickBot="1">
      <c r="A56" s="1081">
        <v>2</v>
      </c>
      <c r="B56" s="1082" t="s">
        <v>1379</v>
      </c>
      <c r="C56" s="237" t="e">
        <f ca="1">C13</f>
        <v>#N/A</v>
      </c>
      <c r="D56" s="1625"/>
      <c r="E56" s="1626"/>
      <c r="F56" s="1618"/>
      <c r="I56" s="1627" t="s">
        <v>1519</v>
      </c>
      <c r="J56" s="1628" t="s">
        <v>3066</v>
      </c>
      <c r="K56" s="1599" t="s">
        <v>1520</v>
      </c>
      <c r="L56" s="1602" t="e">
        <f ca="1">IF(L48&lt;J51,"——",L48-J53)</f>
        <v>#N/A</v>
      </c>
      <c r="O56" s="1596" t="s">
        <v>1008</v>
      </c>
      <c r="P56" s="1597" t="s">
        <v>1493</v>
      </c>
      <c r="Q56" s="1598" t="e">
        <f ca="1">C40+J29</f>
        <v>#N/A</v>
      </c>
      <c r="R56" s="1598" t="s">
        <v>1494</v>
      </c>
    </row>
    <row r="57" spans="1:18" s="1562" customFormat="1" ht="24.75" thickBot="1">
      <c r="A57" s="1629"/>
      <c r="B57" s="1074" t="s">
        <v>1443</v>
      </c>
      <c r="C57" s="243" t="e">
        <f ca="1">C29</f>
        <v>#N/A</v>
      </c>
      <c r="D57" s="1630"/>
      <c r="E57" s="1631"/>
      <c r="F57" s="1632"/>
      <c r="I57" s="1633" t="s">
        <v>1521</v>
      </c>
      <c r="J57" s="1634" t="e">
        <f ca="1">IF(OR(M47="住宅",J51&lt;L48,J56="是"),"——",J51-L48)</f>
        <v>#N/A</v>
      </c>
      <c r="K57" s="1599" t="s">
        <v>1522</v>
      </c>
      <c r="L57" s="1602" t="e">
        <f ca="1">IF(L48&lt;J51,"——",IF(L55="比较法",L49,IF(L55="基准地价",L50,L51)))</f>
        <v>#N/A</v>
      </c>
      <c r="O57" s="1596" t="s">
        <v>1009</v>
      </c>
      <c r="P57" s="1597" t="s">
        <v>1523</v>
      </c>
      <c r="Q57" s="1598" t="e">
        <f ca="1">L60</f>
        <v>#N/A</v>
      </c>
      <c r="R57" s="1598" t="s">
        <v>1524</v>
      </c>
    </row>
    <row r="58" spans="1:18" s="1562" customFormat="1" ht="24.75" thickBot="1">
      <c r="A58" s="320" t="s">
        <v>998</v>
      </c>
      <c r="B58" s="1082" t="s">
        <v>1389</v>
      </c>
      <c r="C58" s="321" t="e">
        <f ca="1">ROUND(C59+C64+C65+C66,0)</f>
        <v>#N/A</v>
      </c>
      <c r="D58" s="1084" t="s">
        <v>1390</v>
      </c>
      <c r="E58" s="1085"/>
      <c r="F58" s="1086"/>
      <c r="I58" s="1633" t="s">
        <v>1525</v>
      </c>
      <c r="J58" s="1635" t="e">
        <f ca="1">IF(J55&lt;0.4,0.4,J55)</f>
        <v>#N/A</v>
      </c>
      <c r="K58" s="1612" t="s">
        <v>1526</v>
      </c>
      <c r="L58" s="1602" t="e">
        <f ca="1">ROUND(POWER(1+L52,L47-L48)*(POWER(1+L52,L48)-1)/(POWER(1+L52,L47)-1),4)</f>
        <v>#N/A</v>
      </c>
      <c r="O58" s="1606" t="s">
        <v>1010</v>
      </c>
      <c r="P58" s="1597" t="s">
        <v>1527</v>
      </c>
      <c r="Q58" s="1598">
        <f>IF(L55="比较法",L49,IF(L55="基准地价",L50,0))</f>
        <v>0</v>
      </c>
      <c r="R58" s="1598" t="s">
        <v>1494</v>
      </c>
    </row>
    <row r="59" spans="1:18" s="1562" customFormat="1" ht="24.75" thickBot="1">
      <c r="A59" s="1106" t="s">
        <v>1003</v>
      </c>
      <c r="B59" s="1074" t="s">
        <v>1394</v>
      </c>
      <c r="C59" s="2527" t="e">
        <f ca="1">ROUND(IF(AND(项目基本情况!B11="自然人",项目基本情况!B10="北京市"),C49*F59/(1+'数据-取费表'!C42),C60+C61+C62),0)</f>
        <v>#N/A</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6" t="s">
        <v>1011</v>
      </c>
      <c r="P59" s="1597" t="s">
        <v>1529</v>
      </c>
      <c r="Q59" s="1609">
        <f>L52</f>
        <v>0</v>
      </c>
      <c r="R59" s="1598"/>
    </row>
    <row r="60" spans="1:18" s="1562" customFormat="1" ht="16.5" thickBot="1">
      <c r="A60" s="1106" t="s">
        <v>1002</v>
      </c>
      <c r="B60" s="1074" t="s">
        <v>1398</v>
      </c>
      <c r="C60" s="24" t="e">
        <f ca="1">IF(项目基本情况!B11="自然人","——",ROUND(C48*F60/(1+'数据-取费表'!C42),2))</f>
        <v>#N/A</v>
      </c>
      <c r="D60" s="1088" t="s">
        <v>1399</v>
      </c>
      <c r="E60" s="1074" t="s">
        <v>1387</v>
      </c>
      <c r="F60" s="336">
        <f t="shared" ref="F60:F66" si="0">F32</f>
        <v>5.6000000000000001E-2</v>
      </c>
      <c r="I60" s="1636" t="s">
        <v>1530</v>
      </c>
      <c r="J60" s="1637" t="e">
        <f ca="1">IF(OR(M47="住宅",J51&lt;L48,J56="是"),"0",ROUND(J59/(1+J52)^J53,0))</f>
        <v>#N/A</v>
      </c>
      <c r="K60" s="1638" t="s">
        <v>1531</v>
      </c>
      <c r="L60" s="1637" t="e">
        <f ca="1">IF(OR(M47="住宅",L48&lt;J51),0,ROUND(L57*(L58/L59-1),0))</f>
        <v>#N/A</v>
      </c>
      <c r="O60" s="1606" t="s">
        <v>1012</v>
      </c>
      <c r="P60" s="1597" t="s">
        <v>1532</v>
      </c>
      <c r="Q60" s="1598" t="e">
        <f ca="1">L58</f>
        <v>#N/A</v>
      </c>
      <c r="R60" s="1598" t="s">
        <v>1533</v>
      </c>
    </row>
    <row r="61" spans="1:18" s="1562" customFormat="1" ht="13.5" thickBot="1">
      <c r="A61" s="1106" t="s">
        <v>1457</v>
      </c>
      <c r="B61" s="1074" t="s">
        <v>1402</v>
      </c>
      <c r="C61" s="24" t="e">
        <f ca="1">IF(项目基本情况!B11="自然人","——",IF(D61="按租金收入计税",ROUND(C48*F61,2),IF(D61="按房产原值计税",ROUND(C57*F61*0.7,2),INDIRECT("'数据-取费表'!Aj"&amp;$G$1))))</f>
        <v>#N/A</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#N/A</v>
      </c>
      <c r="R61" s="1598" t="s">
        <v>1534</v>
      </c>
    </row>
    <row r="62" spans="1:18" s="1562" customFormat="1" ht="13.5" thickBot="1">
      <c r="A62" s="1106" t="s">
        <v>1460</v>
      </c>
      <c r="B62" s="1073" t="s">
        <v>1406</v>
      </c>
      <c r="C62" s="25" t="e">
        <f ca="1">IF(项目基本情况!B11="自然人","——",ROUND(F62*F63/10000,2))</f>
        <v>#N/A</v>
      </c>
      <c r="D62" s="1089" t="s">
        <v>1407</v>
      </c>
      <c r="E62" s="1074" t="s">
        <v>1408</v>
      </c>
      <c r="F62" s="330">
        <f t="shared" si="0"/>
        <v>3</v>
      </c>
      <c r="I62" s="1640" t="s">
        <v>1535</v>
      </c>
      <c r="J62" s="1641" t="s">
        <v>1536</v>
      </c>
      <c r="K62" s="1641" t="s">
        <v>1537</v>
      </c>
      <c r="L62" s="1641" t="s">
        <v>1538</v>
      </c>
      <c r="M62" s="1642" t="s">
        <v>1539</v>
      </c>
      <c r="O62" s="1596" t="s">
        <v>1014</v>
      </c>
      <c r="P62" s="1597" t="s">
        <v>1514</v>
      </c>
      <c r="Q62" s="1598" t="e">
        <f ca="1">Q56+Q57</f>
        <v>#N/A</v>
      </c>
      <c r="R62" s="1598" t="s">
        <v>1015</v>
      </c>
    </row>
    <row r="63" spans="1:18" s="1562" customFormat="1" ht="13.5" thickBot="1">
      <c r="A63" s="331"/>
      <c r="B63" s="1080"/>
      <c r="C63" s="29"/>
      <c r="D63" s="1090"/>
      <c r="E63" s="1074" t="s">
        <v>1412</v>
      </c>
      <c r="F63" s="308" t="e">
        <f t="shared" ca="1" si="0"/>
        <v>#N/A</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t="e">
        <f ca="1">ROUND(C57*F64,1)</f>
        <v>#N/A</v>
      </c>
      <c r="D64" s="1088" t="s">
        <v>1447</v>
      </c>
      <c r="E64" s="1074" t="s">
        <v>1387</v>
      </c>
      <c r="F64" s="333" t="e">
        <f t="shared" ca="1" si="0"/>
        <v>#N/A</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t="e">
        <f ca="1">ROUND(C56*F65,1)</f>
        <v>#N/A</v>
      </c>
      <c r="D65" s="1088" t="s">
        <v>1419</v>
      </c>
      <c r="E65" s="1074" t="s">
        <v>1387</v>
      </c>
      <c r="F65" s="335" t="e">
        <f t="shared" ca="1" si="0"/>
        <v>#N/A</v>
      </c>
      <c r="I65" s="1640" t="s">
        <v>1544</v>
      </c>
      <c r="J65" s="1641">
        <v>40</v>
      </c>
      <c r="K65" s="1641">
        <v>30</v>
      </c>
      <c r="L65" s="1641">
        <v>50</v>
      </c>
      <c r="M65" s="1643">
        <v>0.02</v>
      </c>
      <c r="O65" s="1596" t="s">
        <v>1008</v>
      </c>
      <c r="P65" s="1597" t="s">
        <v>1493</v>
      </c>
      <c r="Q65" s="1598" t="e">
        <f ca="1">C40+J29</f>
        <v>#N/A</v>
      </c>
      <c r="R65" s="1598" t="s">
        <v>1494</v>
      </c>
    </row>
    <row r="66" spans="1:18" s="1562" customFormat="1" ht="16.5" thickBot="1">
      <c r="A66" s="1106" t="s">
        <v>1469</v>
      </c>
      <c r="B66" s="1074" t="s">
        <v>1404</v>
      </c>
      <c r="C66" s="24" t="e">
        <f ca="1">ROUND(C48*F66,1)</f>
        <v>#N/A</v>
      </c>
      <c r="D66" s="1088" t="s">
        <v>1424</v>
      </c>
      <c r="E66" s="1074" t="s">
        <v>1387</v>
      </c>
      <c r="F66" s="317" t="e">
        <f t="shared" ca="1" si="0"/>
        <v>#N/A</v>
      </c>
      <c r="O66" s="1596" t="s">
        <v>1009</v>
      </c>
      <c r="P66" s="1597" t="s">
        <v>1523</v>
      </c>
      <c r="Q66" s="1598" t="e">
        <f ca="1">L60</f>
        <v>#N/A</v>
      </c>
      <c r="R66" s="1598" t="s">
        <v>1546</v>
      </c>
    </row>
    <row r="67" spans="1:18" s="1562" customFormat="1" ht="16.5" thickBot="1">
      <c r="A67" s="1081" t="s">
        <v>999</v>
      </c>
      <c r="B67" s="1091" t="s">
        <v>1428</v>
      </c>
      <c r="C67" s="321" t="e">
        <f ca="1">C48-C58</f>
        <v>#N/A</v>
      </c>
      <c r="D67" s="1087" t="s">
        <v>1429</v>
      </c>
      <c r="E67" s="1092"/>
      <c r="F67" s="1093"/>
      <c r="O67" s="1606" t="s">
        <v>1010</v>
      </c>
      <c r="P67" s="1597" t="s">
        <v>1527</v>
      </c>
      <c r="Q67" s="1644" t="e">
        <f ca="1">L51</f>
        <v>#N/A</v>
      </c>
      <c r="R67" s="1598" t="s">
        <v>1547</v>
      </c>
    </row>
    <row r="68" spans="1:18" s="1562" customFormat="1" ht="16.5" thickBot="1">
      <c r="A68" s="1071" t="s">
        <v>1000</v>
      </c>
      <c r="B68" s="1072" t="s">
        <v>1450</v>
      </c>
      <c r="C68" s="306" t="e">
        <f ca="1">ROUND(C67*(1-((1+F70)/(1+F68))^F69)/(F68-F70),0)</f>
        <v>#N/A</v>
      </c>
      <c r="D68" s="1089" t="s">
        <v>1434</v>
      </c>
      <c r="E68" s="1074" t="s">
        <v>1435</v>
      </c>
      <c r="F68" s="317" t="e">
        <f ca="1">F40</f>
        <v>#N/A</v>
      </c>
      <c r="O68" s="1606" t="s">
        <v>1011</v>
      </c>
      <c r="P68" s="1645" t="s">
        <v>1548</v>
      </c>
      <c r="Q68" s="1598" t="e">
        <f ca="1">ROUND(Q69-Q70*Q71,0)</f>
        <v>#N/A</v>
      </c>
      <c r="R68" s="1598" t="s">
        <v>1019</v>
      </c>
    </row>
    <row r="69" spans="1:18" s="1562" customFormat="1" ht="13.5" thickBot="1">
      <c r="A69" s="1075"/>
      <c r="B69" s="1076"/>
      <c r="C69" s="311"/>
      <c r="D69" s="1094" t="s">
        <v>1438</v>
      </c>
      <c r="E69" s="1074" t="s">
        <v>1439</v>
      </c>
      <c r="F69" s="338" t="e">
        <f ca="1">F41</f>
        <v>#N/A</v>
      </c>
      <c r="O69" s="1606" t="s">
        <v>1016</v>
      </c>
      <c r="P69" s="1645" t="s">
        <v>1549</v>
      </c>
      <c r="Q69" s="1598" t="e">
        <f ca="1">C39</f>
        <v>#N/A</v>
      </c>
      <c r="R69" s="1598" t="s">
        <v>1494</v>
      </c>
    </row>
    <row r="70" spans="1:18" s="1562" customFormat="1" ht="13.5" thickBot="1">
      <c r="A70" s="1078"/>
      <c r="B70" s="1079"/>
      <c r="C70" s="315"/>
      <c r="D70" s="1090"/>
      <c r="E70" s="1074" t="s">
        <v>1442</v>
      </c>
      <c r="F70" s="1178"/>
      <c r="O70" s="1606" t="s">
        <v>1017</v>
      </c>
      <c r="P70" s="1645" t="s">
        <v>1550</v>
      </c>
      <c r="Q70" s="1598" t="e">
        <f ca="1">C13</f>
        <v>#N/A</v>
      </c>
      <c r="R70" s="1598" t="s">
        <v>1494</v>
      </c>
    </row>
    <row r="71" spans="1:18" s="1562" customFormat="1" ht="13.5" thickBot="1">
      <c r="A71" s="1095" t="s">
        <v>1001</v>
      </c>
      <c r="B71" s="1096" t="s">
        <v>1452</v>
      </c>
      <c r="C71" s="341" t="e">
        <f ca="1">ROUND(C68*10000/F71,0)</f>
        <v>#N/A</v>
      </c>
      <c r="D71" s="1097" t="s">
        <v>1453</v>
      </c>
      <c r="E71" s="1098" t="s">
        <v>1454</v>
      </c>
      <c r="F71" s="344" t="e">
        <f ca="1">F43</f>
        <v>#N/A</v>
      </c>
      <c r="O71" s="1606" t="s">
        <v>1018</v>
      </c>
      <c r="P71" s="1645" t="s">
        <v>1551</v>
      </c>
      <c r="Q71" s="1609" t="e">
        <f ca="1">C76</f>
        <v>#N/A</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#N/A</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#N/A</v>
      </c>
      <c r="R74" s="1598" t="s">
        <v>1534</v>
      </c>
    </row>
    <row r="75" spans="1:18" ht="13.5" thickBot="1">
      <c r="A75" s="1562"/>
      <c r="B75" s="345" t="s">
        <v>1471</v>
      </c>
      <c r="C75" s="346" t="e">
        <f ca="1">ROUND(C13*C76,0)</f>
        <v>#N/A</v>
      </c>
      <c r="D75" s="1562"/>
      <c r="E75" s="1562"/>
      <c r="F75" s="1562"/>
      <c r="K75" s="1580"/>
      <c r="L75" s="1562"/>
      <c r="O75" s="1596" t="s">
        <v>1014</v>
      </c>
      <c r="P75" s="1597" t="s">
        <v>1514</v>
      </c>
      <c r="Q75" s="1598" t="e">
        <f ca="1">Q65+Q66</f>
        <v>#N/A</v>
      </c>
      <c r="R75" s="1598" t="s">
        <v>1015</v>
      </c>
    </row>
    <row r="76" spans="1:18">
      <c r="B76" s="347" t="s">
        <v>1472</v>
      </c>
      <c r="C76" s="348" t="e">
        <f ca="1">INDIRECT("'数据-取费表'!j"&amp;$G$1)</f>
        <v>#N/A</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3135</v>
      </c>
      <c r="D1" s="1540" t="s">
        <v>3141</v>
      </c>
      <c r="E1" s="1541" t="s">
        <v>1352</v>
      </c>
      <c r="F1" s="1186">
        <f ca="1">J53</f>
        <v>44.83</v>
      </c>
      <c r="G1" s="1556">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5600</v>
      </c>
      <c r="C2" s="1565" t="s">
        <v>1481</v>
      </c>
      <c r="D2" s="1565"/>
      <c r="E2" s="1566"/>
      <c r="F2" s="1567"/>
      <c r="G2" s="2925"/>
      <c r="H2" s="2914"/>
      <c r="I2" s="2914"/>
      <c r="J2" s="2914"/>
      <c r="K2" s="2915"/>
      <c r="L2" s="2914"/>
      <c r="M2" s="2914"/>
    </row>
    <row r="3" spans="1:37" ht="18" customHeight="1" thickBot="1">
      <c r="A3" s="1568" t="s">
        <v>1482</v>
      </c>
      <c r="B3" s="1569">
        <f ca="1">IF(ISERROR(B2*10000/F43),0,ROUND(B2*10000/F43,0))</f>
        <v>3862</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369</v>
      </c>
      <c r="D5" s="1542" t="s">
        <v>1367</v>
      </c>
      <c r="E5" s="1196"/>
      <c r="F5" s="1197"/>
      <c r="G5" s="1562"/>
      <c r="H5" s="304">
        <v>1</v>
      </c>
      <c r="I5" s="305" t="s">
        <v>1366</v>
      </c>
      <c r="J5" s="1195">
        <f ca="1">J6+J10+J12</f>
        <v>0</v>
      </c>
      <c r="K5" s="1542" t="s">
        <v>1367</v>
      </c>
      <c r="L5" s="1196"/>
      <c r="M5" s="1197"/>
    </row>
    <row r="6" spans="1:37" ht="18" customHeight="1">
      <c r="A6" s="1194" t="s">
        <v>1003</v>
      </c>
      <c r="B6" s="3298" t="s">
        <v>1368</v>
      </c>
      <c r="C6" s="1199">
        <f ca="1">ROUND(F6*F8*F7*(1-F9)/10000,0)</f>
        <v>369</v>
      </c>
      <c r="D6" s="159" t="s">
        <v>2848</v>
      </c>
      <c r="E6" s="307" t="s">
        <v>1370</v>
      </c>
      <c r="F6" s="308">
        <f ca="1">INDIRECT("'数据-取费表'!u"&amp;$G$1)</f>
        <v>1000</v>
      </c>
      <c r="G6" s="1562"/>
      <c r="H6" s="1194" t="s">
        <v>1003</v>
      </c>
      <c r="I6" s="3298" t="s">
        <v>1368</v>
      </c>
      <c r="J6" s="306">
        <f ca="1">ROUND(M6*M8*M7*(1-M9)/10000,0)</f>
        <v>0</v>
      </c>
      <c r="K6" s="159" t="s">
        <v>2847</v>
      </c>
      <c r="L6" s="307" t="s">
        <v>1370</v>
      </c>
      <c r="M6" s="308">
        <f ca="1">INDIRECT("'数据-取费表'!z"&amp;$G$1)</f>
        <v>0</v>
      </c>
    </row>
    <row r="7" spans="1:37" ht="18" customHeight="1">
      <c r="A7" s="1198"/>
      <c r="B7" s="3299"/>
      <c r="C7" s="1200"/>
      <c r="D7" s="312"/>
      <c r="E7" s="3036" t="s">
        <v>1371</v>
      </c>
      <c r="F7" s="308">
        <f ca="1">IF(INDIRECT("'数据-取费表'!ah"&amp;$G$1)="",INDIRECT("'数据-取费表'!k"&amp;$G$1),INDIRECT("'数据-取费表'!ah"&amp;$G$1))</f>
        <v>342</v>
      </c>
      <c r="G7" s="1562"/>
      <c r="H7" s="309"/>
      <c r="I7" s="3299"/>
      <c r="J7" s="311"/>
      <c r="K7" s="312"/>
      <c r="L7" s="307" t="s">
        <v>1371</v>
      </c>
      <c r="M7" s="308">
        <f ca="1">F7</f>
        <v>342</v>
      </c>
    </row>
    <row r="8" spans="1:37" ht="18" customHeight="1">
      <c r="A8" s="309"/>
      <c r="B8" s="3299"/>
      <c r="C8" s="311"/>
      <c r="D8" s="312"/>
      <c r="E8" s="307" t="s">
        <v>1372</v>
      </c>
      <c r="F8" s="308">
        <f ca="1">INDIRECT("'数据-取费表'!ai"&amp;$G$1)</f>
        <v>12</v>
      </c>
      <c r="G8" s="1562"/>
      <c r="H8" s="309"/>
      <c r="I8" s="3299"/>
      <c r="J8" s="311"/>
      <c r="K8" s="312"/>
      <c r="L8" s="307" t="s">
        <v>1372</v>
      </c>
      <c r="M8" s="308">
        <f ca="1">INDIRECT("'数据-取费表'!ai"&amp;$G$1)</f>
        <v>12</v>
      </c>
    </row>
    <row r="9" spans="1:37" ht="18" customHeight="1">
      <c r="A9" s="309"/>
      <c r="B9" s="3300"/>
      <c r="C9" s="311"/>
      <c r="D9" s="312"/>
      <c r="E9" s="307" t="s">
        <v>1373</v>
      </c>
      <c r="F9" s="317">
        <f ca="1">INDIRECT("'数据-取费表'!w"&amp;$G$1)</f>
        <v>0.1</v>
      </c>
      <c r="G9" s="1562"/>
      <c r="H9" s="309"/>
      <c r="I9" s="3300"/>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3153</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6158</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4394</v>
      </c>
      <c r="D14" s="3039" t="s">
        <v>1383</v>
      </c>
      <c r="E14" s="3038"/>
      <c r="F14" s="324"/>
      <c r="G14" s="1562"/>
      <c r="H14" s="1106" t="s">
        <v>1003</v>
      </c>
      <c r="I14" s="307" t="s">
        <v>1384</v>
      </c>
      <c r="J14" s="24">
        <f ca="1">C29</f>
        <v>6158</v>
      </c>
      <c r="K14" s="3035"/>
      <c r="L14" s="909"/>
      <c r="M14" s="910"/>
    </row>
    <row r="15" spans="1:37" s="1575" customFormat="1" ht="18" customHeight="1" thickBot="1">
      <c r="A15" s="1106" t="s">
        <v>1004</v>
      </c>
      <c r="B15" s="307" t="s">
        <v>1385</v>
      </c>
      <c r="C15" s="24">
        <f ca="1">ROUND(C14*F15,0)</f>
        <v>220</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115</v>
      </c>
      <c r="K16" s="1240" t="s">
        <v>1390</v>
      </c>
      <c r="L16" s="3041"/>
      <c r="M16" s="1197"/>
    </row>
    <row r="17" spans="1:37" s="1575" customFormat="1" ht="18" customHeight="1">
      <c r="A17" s="1106" t="s">
        <v>1355</v>
      </c>
      <c r="B17" s="307" t="s">
        <v>1391</v>
      </c>
      <c r="C17" s="24">
        <f ca="1">ROUND(F17*(F43+INDIRECT("'数据-取费表'!S"&amp;$G$1))/10000,0)</f>
        <v>293</v>
      </c>
      <c r="D17" s="307" t="s">
        <v>1392</v>
      </c>
      <c r="E17" s="307" t="s">
        <v>1393</v>
      </c>
      <c r="F17" s="26">
        <f>'数据-取费表'!B35</f>
        <v>200</v>
      </c>
      <c r="G17" s="1574"/>
      <c r="H17" s="1106" t="s">
        <v>1003</v>
      </c>
      <c r="I17" s="307" t="s">
        <v>1394</v>
      </c>
      <c r="J17" s="2527">
        <f ca="1">ROUND(IF(AND(项目基本情况!B11="自然人",项目基本情况!B10="北京市"),J6*M17/(1+'数据-取费表'!C42),J18+J19+J20),0)</f>
        <v>53</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66</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4973</v>
      </c>
      <c r="D19" s="135" t="s">
        <v>1401</v>
      </c>
      <c r="E19" s="3043"/>
      <c r="F19" s="26"/>
      <c r="G19" s="1562"/>
      <c r="H19" s="1106" t="s">
        <v>1004</v>
      </c>
      <c r="I19" s="307" t="s">
        <v>1402</v>
      </c>
      <c r="J19" s="24">
        <f ca="1">IF(K19="按租金收入计税",ROUND(J6*M19/(1+'数据-取费表'!C42),2),ROUND(C29*M19*0.7,2))</f>
        <v>51.73</v>
      </c>
      <c r="K19" s="1548" t="s">
        <v>1403</v>
      </c>
      <c r="L19" s="307" t="s">
        <v>1387</v>
      </c>
      <c r="M19" s="327">
        <f>IF(K19="按租金收入计税",'数据-取费表'!B51,'数据-取费表'!B50)</f>
        <v>1.2E-2</v>
      </c>
    </row>
    <row r="20" spans="1:37" s="1575" customFormat="1" ht="18" customHeight="1">
      <c r="A20" s="1106" t="s">
        <v>1007</v>
      </c>
      <c r="B20" s="307" t="s">
        <v>1404</v>
      </c>
      <c r="C20" s="24">
        <f ca="1">ROUND(C19*F20,0)</f>
        <v>99</v>
      </c>
      <c r="D20" s="328" t="s">
        <v>1405</v>
      </c>
      <c r="E20" s="307" t="s">
        <v>1387</v>
      </c>
      <c r="F20" s="327">
        <f>'数据-取费表'!B37</f>
        <v>0.02</v>
      </c>
      <c r="G20" s="1574"/>
      <c r="H20" s="1106" t="s">
        <v>1354</v>
      </c>
      <c r="I20" s="159" t="s">
        <v>1406</v>
      </c>
      <c r="J20" s="25">
        <f ca="1">ROUND(M20*M21/10000,2)</f>
        <v>1.38</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4594.17</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61.6</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366</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-115</v>
      </c>
      <c r="K25" s="1248" t="s">
        <v>1429</v>
      </c>
      <c r="L25" s="1249"/>
      <c r="M25" s="1250"/>
    </row>
    <row r="26" spans="1:37">
      <c r="A26" s="1106" t="s">
        <v>1002</v>
      </c>
      <c r="B26" s="307" t="s">
        <v>1430</v>
      </c>
      <c r="C26" s="24">
        <f ca="1">ROUND((C19+C20)*F26,0)</f>
        <v>254</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6158</v>
      </c>
      <c r="D29" s="1245"/>
      <c r="E29" s="1243"/>
      <c r="F29" s="1246"/>
      <c r="G29" s="1574"/>
      <c r="H29" s="339" t="s">
        <v>1001</v>
      </c>
      <c r="I29" s="340" t="s">
        <v>1444</v>
      </c>
      <c r="J29" s="341">
        <f ca="1">ROUND(J26/(1+F40)^F41,0)</f>
        <v>0</v>
      </c>
      <c r="K29" s="342" t="s">
        <v>1445</v>
      </c>
      <c r="L29" s="343"/>
      <c r="M29" s="344">
        <f ca="1">INDIRECT("'数据-取费表'!k"&amp;$G$1)</f>
        <v>14500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138</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63</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19.68</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42.17</v>
      </c>
      <c r="D33" s="1548" t="s">
        <v>3150</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1.38</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4594.17</v>
      </c>
      <c r="G35" s="1562"/>
      <c r="H35" s="2916"/>
      <c r="I35" s="1576"/>
      <c r="J35" s="1577"/>
      <c r="K35" s="2920"/>
      <c r="L35" s="2919"/>
      <c r="M35" s="2919"/>
    </row>
    <row r="36" spans="1:18" ht="18" customHeight="1">
      <c r="A36" s="1255" t="s">
        <v>1007</v>
      </c>
      <c r="B36" s="307" t="s">
        <v>1414</v>
      </c>
      <c r="C36" s="24">
        <f ca="1">ROUND(C29*F36,1)</f>
        <v>61.6</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9.1999999999999993</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3.7</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231</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5600</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3862</v>
      </c>
      <c r="D43" s="342" t="s">
        <v>1453</v>
      </c>
      <c r="E43" s="343" t="s">
        <v>1454</v>
      </c>
      <c r="F43" s="344">
        <f ca="1">INDIRECT("'数据-取费表'!k"&amp;$G$1)</f>
        <v>14500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-16076</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3151</v>
      </c>
      <c r="K47" s="1594" t="s">
        <v>1492</v>
      </c>
      <c r="L47" s="1595">
        <f ca="1">INDIRECT("'数据-取费表'!d"&amp;$G$1)</f>
        <v>50</v>
      </c>
      <c r="M47" s="1558" t="str">
        <f>IF(ISNUMBER(FIND("住宅",C1)),"住宅","非住宅")</f>
        <v>非住宅</v>
      </c>
      <c r="O47" s="1596" t="s">
        <v>1008</v>
      </c>
      <c r="P47" s="1597" t="s">
        <v>1493</v>
      </c>
      <c r="Q47" s="1598">
        <f ca="1">C40+J29</f>
        <v>5600</v>
      </c>
      <c r="R47" s="1598" t="s">
        <v>1494</v>
      </c>
    </row>
    <row r="48" spans="1:18" s="1562" customFormat="1" ht="28.5" thickBot="1">
      <c r="A48" s="1263" t="s">
        <v>1103</v>
      </c>
      <c r="B48" s="305" t="s">
        <v>1366</v>
      </c>
      <c r="C48" s="3042">
        <f ca="1">C49+C53+C55</f>
        <v>0</v>
      </c>
      <c r="D48" s="1265"/>
      <c r="E48" s="1266"/>
      <c r="F48" s="1086"/>
      <c r="G48" s="730"/>
      <c r="H48" s="731"/>
      <c r="I48" s="1599" t="s">
        <v>1495</v>
      </c>
      <c r="J48" s="1600" t="s">
        <v>3152</v>
      </c>
      <c r="K48" s="1601" t="s">
        <v>1496</v>
      </c>
      <c r="L48" s="1602">
        <f ca="1">INDIRECT("'数据-取费表'!f"&amp;$G$1)</f>
        <v>46.03</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6158</v>
      </c>
      <c r="R49" s="1598" t="s">
        <v>1494</v>
      </c>
    </row>
    <row r="50" spans="1:18" s="1562" customFormat="1" ht="13.5" thickBot="1">
      <c r="A50" s="1100"/>
      <c r="B50" s="1103"/>
      <c r="C50" s="1271"/>
      <c r="D50" s="1077"/>
      <c r="E50" s="1180" t="s">
        <v>1371</v>
      </c>
      <c r="F50" s="1181">
        <f ca="1">F7</f>
        <v>342</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-6055</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v>
      </c>
      <c r="K53" s="3301" t="s">
        <v>1513</v>
      </c>
      <c r="L53" s="3302"/>
      <c r="O53" s="1596" t="s">
        <v>1014</v>
      </c>
      <c r="P53" s="1597" t="s">
        <v>1514</v>
      </c>
      <c r="Q53" s="1598">
        <f ca="1">Q47+Q48</f>
        <v>5600</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6158</v>
      </c>
      <c r="D56" s="1625"/>
      <c r="E56" s="1626"/>
      <c r="F56" s="1618"/>
      <c r="I56" s="1627" t="s">
        <v>1519</v>
      </c>
      <c r="J56" s="1628" t="s">
        <v>3066</v>
      </c>
      <c r="K56" s="1599" t="s">
        <v>1520</v>
      </c>
      <c r="L56" s="1602" t="str">
        <f ca="1">IF(L48&lt;J51,"——",L48-J53)</f>
        <v>——</v>
      </c>
      <c r="O56" s="1596" t="s">
        <v>1008</v>
      </c>
      <c r="P56" s="1597" t="s">
        <v>1493</v>
      </c>
      <c r="Q56" s="1598">
        <f ca="1">C40+J29</f>
        <v>5600</v>
      </c>
      <c r="R56" s="1598" t="s">
        <v>1494</v>
      </c>
    </row>
    <row r="57" spans="1:18" s="1562" customFormat="1" ht="24.75" thickBot="1">
      <c r="A57" s="1629"/>
      <c r="B57" s="1074" t="s">
        <v>1443</v>
      </c>
      <c r="C57" s="243">
        <f ca="1">C29</f>
        <v>6158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590</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519</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517.27</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1.38</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5600</v>
      </c>
      <c r="R62" s="1598" t="s">
        <v>1015</v>
      </c>
    </row>
    <row r="63" spans="1:18" s="1562" customFormat="1" ht="13.5" thickBot="1">
      <c r="A63" s="331"/>
      <c r="B63" s="1080"/>
      <c r="C63" s="29"/>
      <c r="D63" s="1090"/>
      <c r="E63" s="1074" t="s">
        <v>1412</v>
      </c>
      <c r="F63" s="308">
        <f t="shared" ca="1" si="0"/>
        <v>4594.17</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61.6</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9.1999999999999993</v>
      </c>
      <c r="D65" s="1088" t="s">
        <v>1419</v>
      </c>
      <c r="E65" s="1074" t="s">
        <v>1387</v>
      </c>
      <c r="F65" s="335">
        <f t="shared" ca="1" si="0"/>
        <v>1.5E-3</v>
      </c>
      <c r="I65" s="1640" t="s">
        <v>1544</v>
      </c>
      <c r="J65" s="1641">
        <v>40</v>
      </c>
      <c r="K65" s="1641">
        <v>30</v>
      </c>
      <c r="L65" s="1641">
        <v>50</v>
      </c>
      <c r="M65" s="1643">
        <v>0.02</v>
      </c>
      <c r="O65" s="1596" t="s">
        <v>1008</v>
      </c>
      <c r="P65" s="1597" t="s">
        <v>1493</v>
      </c>
      <c r="Q65" s="1598">
        <f ca="1">C40+J29</f>
        <v>5600</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-590</v>
      </c>
      <c r="D67" s="1087" t="s">
        <v>1429</v>
      </c>
      <c r="E67" s="1092"/>
      <c r="F67" s="1093"/>
      <c r="O67" s="1606" t="s">
        <v>1010</v>
      </c>
      <c r="P67" s="1597" t="s">
        <v>1527</v>
      </c>
      <c r="Q67" s="1644">
        <f ca="1">L51</f>
        <v>-6055</v>
      </c>
      <c r="R67" s="1598" t="s">
        <v>1547</v>
      </c>
    </row>
    <row r="68" spans="1:18" s="1562" customFormat="1" ht="16.5" thickBot="1">
      <c r="A68" s="1071" t="s">
        <v>1000</v>
      </c>
      <c r="B68" s="1072" t="s">
        <v>1450</v>
      </c>
      <c r="C68" s="306">
        <f ca="1">ROUND(C67*(1-((1+F70)/(1+F68))^F69)/(F68-F70),0)</f>
        <v>-10476</v>
      </c>
      <c r="D68" s="1089" t="s">
        <v>1434</v>
      </c>
      <c r="E68" s="1074" t="s">
        <v>1435</v>
      </c>
      <c r="F68" s="317">
        <f ca="1">F40</f>
        <v>0.05</v>
      </c>
      <c r="O68" s="1606" t="s">
        <v>1011</v>
      </c>
      <c r="P68" s="1645" t="s">
        <v>1548</v>
      </c>
      <c r="Q68" s="1598">
        <f ca="1">ROUND(Q69-Q70*Q71,0)</f>
        <v>-292</v>
      </c>
      <c r="R68" s="1598" t="s">
        <v>1019</v>
      </c>
    </row>
    <row r="69" spans="1:18" s="1562" customFormat="1" ht="13.5" thickBot="1">
      <c r="A69" s="1075"/>
      <c r="B69" s="1076"/>
      <c r="C69" s="311"/>
      <c r="D69" s="1094" t="s">
        <v>1438</v>
      </c>
      <c r="E69" s="1074" t="s">
        <v>1439</v>
      </c>
      <c r="F69" s="338">
        <f ca="1">F41</f>
        <v>44.83</v>
      </c>
      <c r="O69" s="1606" t="s">
        <v>1016</v>
      </c>
      <c r="P69" s="1645" t="s">
        <v>1549</v>
      </c>
      <c r="Q69" s="1598">
        <f ca="1">C39</f>
        <v>231</v>
      </c>
      <c r="R69" s="1598" t="s">
        <v>1494</v>
      </c>
    </row>
    <row r="70" spans="1:18" s="1562" customFormat="1" ht="13.5" thickBot="1">
      <c r="A70" s="1078"/>
      <c r="B70" s="1079"/>
      <c r="C70" s="315"/>
      <c r="D70" s="1090"/>
      <c r="E70" s="1074" t="s">
        <v>1442</v>
      </c>
      <c r="F70" s="1178"/>
      <c r="O70" s="1606" t="s">
        <v>1017</v>
      </c>
      <c r="P70" s="1645" t="s">
        <v>1550</v>
      </c>
      <c r="Q70" s="1598">
        <f ca="1">C13</f>
        <v>6158</v>
      </c>
      <c r="R70" s="1598" t="s">
        <v>1494</v>
      </c>
    </row>
    <row r="71" spans="1:18" s="1562" customFormat="1" ht="13.5" thickBot="1">
      <c r="A71" s="1095" t="s">
        <v>1001</v>
      </c>
      <c r="B71" s="1096" t="s">
        <v>1452</v>
      </c>
      <c r="C71" s="341">
        <f ca="1">ROUND(C68*10000/F71,0)</f>
        <v>-7225</v>
      </c>
      <c r="D71" s="1097" t="s">
        <v>1453</v>
      </c>
      <c r="E71" s="1098" t="s">
        <v>1454</v>
      </c>
      <c r="F71" s="344">
        <f ca="1">F43</f>
        <v>14500</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523</v>
      </c>
      <c r="D75" s="1562"/>
      <c r="E75" s="1562"/>
      <c r="F75" s="1562"/>
      <c r="K75" s="1580"/>
      <c r="L75" s="1562"/>
      <c r="O75" s="1596" t="s">
        <v>1014</v>
      </c>
      <c r="P75" s="1597" t="s">
        <v>1514</v>
      </c>
      <c r="Q75" s="1598">
        <f ca="1">Q65+Q66</f>
        <v>5600</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-1.2639999999999998</v>
      </c>
    </row>
    <row r="80" spans="1:18">
      <c r="B80" s="345" t="s">
        <v>1476</v>
      </c>
      <c r="C80" s="279">
        <f ca="1">ROUND(C75/C39,3)</f>
        <v>2.2639999999999998</v>
      </c>
    </row>
    <row r="81" spans="2:3">
      <c r="B81" s="275" t="s">
        <v>1477</v>
      </c>
      <c r="C81" s="243"/>
    </row>
    <row r="82" spans="2:3">
      <c r="B82" s="278" t="s">
        <v>1478</v>
      </c>
      <c r="C82" s="280">
        <f ca="1">1-C83</f>
        <v>-0.10000000000000009</v>
      </c>
    </row>
    <row r="83" spans="2:3">
      <c r="B83" s="278" t="s">
        <v>1479</v>
      </c>
      <c r="C83" s="279">
        <f ca="1">ROUND(C13/C40,3)</f>
        <v>1.1000000000000001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3131</v>
      </c>
      <c r="D1" s="1540" t="s">
        <v>3141</v>
      </c>
      <c r="E1" s="1541" t="s">
        <v>1352</v>
      </c>
      <c r="F1" s="1186">
        <f ca="1">J53</f>
        <v>44.83</v>
      </c>
      <c r="G1" s="1556">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45575</v>
      </c>
      <c r="C2" s="1565" t="s">
        <v>1481</v>
      </c>
      <c r="D2" s="1565"/>
      <c r="E2" s="1566"/>
      <c r="F2" s="1567"/>
      <c r="G2" s="2925"/>
      <c r="H2" s="2914"/>
      <c r="I2" s="2914"/>
      <c r="J2" s="2914"/>
      <c r="K2" s="2915"/>
      <c r="L2" s="2914"/>
      <c r="M2" s="2914"/>
    </row>
    <row r="3" spans="1:37" ht="18" customHeight="1" thickBot="1">
      <c r="A3" s="1568" t="s">
        <v>1482</v>
      </c>
      <c r="B3" s="1569">
        <f ca="1">IF(ISERROR(B2*10000/F43),0,ROUND(B2*10000/F43,0))</f>
        <v>16555</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2264</v>
      </c>
      <c r="D5" s="1542" t="s">
        <v>1367</v>
      </c>
      <c r="E5" s="1196"/>
      <c r="F5" s="1197"/>
      <c r="G5" s="1562"/>
      <c r="H5" s="304">
        <v>1</v>
      </c>
      <c r="I5" s="305" t="s">
        <v>1366</v>
      </c>
      <c r="J5" s="1195">
        <f ca="1">J6+J10+J12</f>
        <v>0</v>
      </c>
      <c r="K5" s="1542" t="s">
        <v>1367</v>
      </c>
      <c r="L5" s="1196"/>
      <c r="M5" s="1197"/>
    </row>
    <row r="6" spans="1:37" ht="18" customHeight="1">
      <c r="A6" s="1194" t="s">
        <v>1003</v>
      </c>
      <c r="B6" s="3298" t="s">
        <v>1368</v>
      </c>
      <c r="C6" s="1199">
        <f ca="1">ROUND(F6*F8*F7*(1-F9)/10000,0)</f>
        <v>2261</v>
      </c>
      <c r="D6" s="159" t="s">
        <v>2848</v>
      </c>
      <c r="E6" s="307" t="s">
        <v>1370</v>
      </c>
      <c r="F6" s="308">
        <f ca="1">INDIRECT("'数据-取费表'!u"&amp;$G$1)</f>
        <v>2.5</v>
      </c>
      <c r="G6" s="1562"/>
      <c r="H6" s="1194" t="s">
        <v>1003</v>
      </c>
      <c r="I6" s="3298" t="s">
        <v>1368</v>
      </c>
      <c r="J6" s="306">
        <f ca="1">ROUND(M6*M8*M7*(1-M9)/10000,0)</f>
        <v>0</v>
      </c>
      <c r="K6" s="159" t="s">
        <v>2847</v>
      </c>
      <c r="L6" s="307" t="s">
        <v>1370</v>
      </c>
      <c r="M6" s="308">
        <f ca="1">INDIRECT("'数据-取费表'!z"&amp;$G$1)</f>
        <v>0</v>
      </c>
    </row>
    <row r="7" spans="1:37" ht="18" customHeight="1">
      <c r="A7" s="1198"/>
      <c r="B7" s="3299"/>
      <c r="C7" s="1200"/>
      <c r="D7" s="312"/>
      <c r="E7" s="3036" t="s">
        <v>1371</v>
      </c>
      <c r="F7" s="308">
        <f ca="1">IF(INDIRECT("'数据-取费表'!ah"&amp;$G$1)="",INDIRECT("'数据-取费表'!k"&amp;$G$1),INDIRECT("'数据-取费表'!ah"&amp;$G$1))</f>
        <v>27530</v>
      </c>
      <c r="G7" s="1562"/>
      <c r="H7" s="309"/>
      <c r="I7" s="3299"/>
      <c r="J7" s="311"/>
      <c r="K7" s="312"/>
      <c r="L7" s="307" t="s">
        <v>1371</v>
      </c>
      <c r="M7" s="308">
        <f ca="1">F7</f>
        <v>27530</v>
      </c>
    </row>
    <row r="8" spans="1:37" ht="18" customHeight="1">
      <c r="A8" s="309"/>
      <c r="B8" s="3299"/>
      <c r="C8" s="311"/>
      <c r="D8" s="312"/>
      <c r="E8" s="307" t="s">
        <v>1372</v>
      </c>
      <c r="F8" s="308">
        <f ca="1">INDIRECT("'数据-取费表'!ai"&amp;$G$1)</f>
        <v>365</v>
      </c>
      <c r="G8" s="1562"/>
      <c r="H8" s="309"/>
      <c r="I8" s="3299"/>
      <c r="J8" s="311"/>
      <c r="K8" s="312"/>
      <c r="L8" s="307" t="s">
        <v>1372</v>
      </c>
      <c r="M8" s="308">
        <f ca="1">INDIRECT("'数据-取费表'!ai"&amp;$G$1)</f>
        <v>365</v>
      </c>
    </row>
    <row r="9" spans="1:37" ht="18" customHeight="1">
      <c r="A9" s="309"/>
      <c r="B9" s="3300"/>
      <c r="C9" s="311"/>
      <c r="D9" s="312"/>
      <c r="E9" s="307" t="s">
        <v>1373</v>
      </c>
      <c r="F9" s="317">
        <f ca="1">INDIRECT("'数据-取费表'!w"&amp;$G$1)</f>
        <v>0.1</v>
      </c>
      <c r="G9" s="1562"/>
      <c r="H9" s="309"/>
      <c r="I9" s="3300"/>
      <c r="J9" s="311"/>
      <c r="K9" s="312"/>
      <c r="L9" s="318" t="s">
        <v>1373</v>
      </c>
      <c r="M9" s="319">
        <f ca="1">INDIRECT("'数据-取费表'!ab"&amp;$G$1)</f>
        <v>0</v>
      </c>
    </row>
    <row r="10" spans="1:37" ht="18" customHeight="1">
      <c r="A10" s="1194" t="s">
        <v>1007</v>
      </c>
      <c r="B10" s="1543" t="s">
        <v>1374</v>
      </c>
      <c r="C10" s="321">
        <f ca="1">ROUND(IF(F10="押一",C6/12*F11,IF(F10="押二",C6/12*2*F11,IF(F10="押三",C6/12*3*F11,C11*F11))),0)</f>
        <v>3</v>
      </c>
      <c r="D10" s="1544" t="s">
        <v>2855</v>
      </c>
      <c r="E10" s="318" t="s">
        <v>1375</v>
      </c>
      <c r="F10" s="1269" t="s">
        <v>3149</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11690</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8342</v>
      </c>
      <c r="D14" s="3039" t="s">
        <v>1383</v>
      </c>
      <c r="E14" s="3038"/>
      <c r="F14" s="324"/>
      <c r="G14" s="1562"/>
      <c r="H14" s="1106" t="s">
        <v>1003</v>
      </c>
      <c r="I14" s="307" t="s">
        <v>1384</v>
      </c>
      <c r="J14" s="24">
        <f ca="1">C29</f>
        <v>11690</v>
      </c>
      <c r="K14" s="3035"/>
      <c r="L14" s="909"/>
      <c r="M14" s="910"/>
    </row>
    <row r="15" spans="1:37" s="1575" customFormat="1" ht="18" customHeight="1" thickBot="1">
      <c r="A15" s="1106" t="s">
        <v>1004</v>
      </c>
      <c r="B15" s="307" t="s">
        <v>1385</v>
      </c>
      <c r="C15" s="24">
        <f ca="1">ROUND(C14*F15,0)</f>
        <v>417</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218</v>
      </c>
      <c r="K16" s="1240" t="s">
        <v>1390</v>
      </c>
      <c r="L16" s="3041"/>
      <c r="M16" s="1197"/>
    </row>
    <row r="17" spans="1:37" s="1575" customFormat="1" ht="18" customHeight="1">
      <c r="A17" s="1106" t="s">
        <v>1355</v>
      </c>
      <c r="B17" s="307" t="s">
        <v>1391</v>
      </c>
      <c r="C17" s="24">
        <f ca="1">ROUND(F17*(F43+INDIRECT("'数据-取费表'!S"&amp;$G$1))/10000,0)</f>
        <v>556</v>
      </c>
      <c r="D17" s="307" t="s">
        <v>1392</v>
      </c>
      <c r="E17" s="307" t="s">
        <v>1393</v>
      </c>
      <c r="F17" s="26">
        <f>'数据-取费表'!B35</f>
        <v>200</v>
      </c>
      <c r="G17" s="1574"/>
      <c r="H17" s="1106" t="s">
        <v>1003</v>
      </c>
      <c r="I17" s="307" t="s">
        <v>1394</v>
      </c>
      <c r="J17" s="2527">
        <f ca="1">ROUND(IF(AND(项目基本情况!B11="自然人",项目基本情况!B10="北京市"),J6*M17/(1+'数据-取费表'!C42),J18+J19+J20),0)</f>
        <v>101</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125</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9440</v>
      </c>
      <c r="D19" s="135" t="s">
        <v>1401</v>
      </c>
      <c r="E19" s="3043"/>
      <c r="F19" s="26"/>
      <c r="G19" s="1562"/>
      <c r="H19" s="1106" t="s">
        <v>1004</v>
      </c>
      <c r="I19" s="307" t="s">
        <v>1402</v>
      </c>
      <c r="J19" s="24">
        <f ca="1">IF(K19="按租金收入计税",ROUND(J6*M19/(1+'数据-取费表'!C42),2),ROUND(C29*M19*0.7,2))</f>
        <v>98.2</v>
      </c>
      <c r="K19" s="1548" t="s">
        <v>1403</v>
      </c>
      <c r="L19" s="307" t="s">
        <v>1387</v>
      </c>
      <c r="M19" s="327">
        <f>IF(K19="按租金收入计税",'数据-取费表'!B51,'数据-取费表'!B50)</f>
        <v>1.2E-2</v>
      </c>
    </row>
    <row r="20" spans="1:37" s="1575" customFormat="1" ht="18" customHeight="1">
      <c r="A20" s="1106" t="s">
        <v>1007</v>
      </c>
      <c r="B20" s="307" t="s">
        <v>1404</v>
      </c>
      <c r="C20" s="24">
        <f ca="1">ROUND(C19*F20,0)</f>
        <v>189</v>
      </c>
      <c r="D20" s="328" t="s">
        <v>1405</v>
      </c>
      <c r="E20" s="307" t="s">
        <v>1387</v>
      </c>
      <c r="F20" s="327">
        <f>'数据-取费表'!B37</f>
        <v>0.02</v>
      </c>
      <c r="G20" s="1574"/>
      <c r="H20" s="1106" t="s">
        <v>1354</v>
      </c>
      <c r="I20" s="159" t="s">
        <v>1406</v>
      </c>
      <c r="J20" s="25">
        <f ca="1">ROUND(M20*M21/10000,2)</f>
        <v>2.62</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8722.57</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116.9</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695</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-218</v>
      </c>
      <c r="K25" s="1248" t="s">
        <v>1429</v>
      </c>
      <c r="L25" s="1249"/>
      <c r="M25" s="1250"/>
    </row>
    <row r="26" spans="1:37">
      <c r="A26" s="1106" t="s">
        <v>1002</v>
      </c>
      <c r="B26" s="307" t="s">
        <v>1430</v>
      </c>
      <c r="C26" s="24">
        <f ca="1">ROUND((C19+C20)*F26,0)</f>
        <v>481</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11690</v>
      </c>
      <c r="D29" s="1245"/>
      <c r="E29" s="1243"/>
      <c r="F29" s="1246"/>
      <c r="G29" s="1574"/>
      <c r="H29" s="339" t="s">
        <v>1001</v>
      </c>
      <c r="I29" s="340" t="s">
        <v>1444</v>
      </c>
      <c r="J29" s="341">
        <f ca="1">ROUND(J26/(1+F40)^F41,0)</f>
        <v>0</v>
      </c>
      <c r="K29" s="342" t="s">
        <v>1445</v>
      </c>
      <c r="L29" s="343"/>
      <c r="M29" s="344">
        <f ca="1">INDIRECT("'数据-取费表'!k"&amp;$G$1)</f>
        <v>27530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539</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382</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120.59</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258.39999999999998</v>
      </c>
      <c r="D33" s="1548" t="s">
        <v>3150</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2.62</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8722.57</v>
      </c>
      <c r="G35" s="1562"/>
      <c r="H35" s="2916"/>
      <c r="I35" s="1576"/>
      <c r="J35" s="1577"/>
      <c r="K35" s="2920"/>
      <c r="L35" s="2919"/>
      <c r="M35" s="2919"/>
    </row>
    <row r="36" spans="1:18" ht="18" customHeight="1">
      <c r="A36" s="1255" t="s">
        <v>1007</v>
      </c>
      <c r="B36" s="307" t="s">
        <v>1414</v>
      </c>
      <c r="C36" s="24">
        <f ca="1">ROUND(C29*F36,1)</f>
        <v>116.9</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17.5</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22.6</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1725</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45575</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16555</v>
      </c>
      <c r="D43" s="342" t="s">
        <v>1453</v>
      </c>
      <c r="E43" s="343" t="s">
        <v>1454</v>
      </c>
      <c r="F43" s="344">
        <f ca="1">INDIRECT("'数据-取费表'!k"&amp;$G$1)</f>
        <v>27530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-65443</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3151</v>
      </c>
      <c r="K47" s="1594" t="s">
        <v>1492</v>
      </c>
      <c r="L47" s="1595">
        <f ca="1">INDIRECT("'数据-取费表'!d"&amp;$G$1)</f>
        <v>50</v>
      </c>
      <c r="M47" s="1558" t="str">
        <f>IF(ISNUMBER(FIND("住宅",C1)),"住宅","非住宅")</f>
        <v>非住宅</v>
      </c>
      <c r="O47" s="1596" t="s">
        <v>1008</v>
      </c>
      <c r="P47" s="1597" t="s">
        <v>1493</v>
      </c>
      <c r="Q47" s="1598">
        <f ca="1">C40+J29</f>
        <v>45575</v>
      </c>
      <c r="R47" s="1598" t="s">
        <v>1494</v>
      </c>
    </row>
    <row r="48" spans="1:18" s="1562" customFormat="1" ht="28.5" thickBot="1">
      <c r="A48" s="1263" t="s">
        <v>1103</v>
      </c>
      <c r="B48" s="305" t="s">
        <v>1366</v>
      </c>
      <c r="C48" s="3042">
        <f ca="1">C49+C53+C55</f>
        <v>0</v>
      </c>
      <c r="D48" s="1265"/>
      <c r="E48" s="1266"/>
      <c r="F48" s="1086"/>
      <c r="G48" s="730"/>
      <c r="H48" s="731"/>
      <c r="I48" s="1599" t="s">
        <v>1495</v>
      </c>
      <c r="J48" s="1600" t="s">
        <v>3152</v>
      </c>
      <c r="K48" s="1601" t="s">
        <v>1496</v>
      </c>
      <c r="L48" s="1602">
        <f ca="1">INDIRECT("'数据-取费表'!f"&amp;$G$1)</f>
        <v>46.03</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11690</v>
      </c>
      <c r="R49" s="1598" t="s">
        <v>1494</v>
      </c>
    </row>
    <row r="50" spans="1:18" s="1562" customFormat="1" ht="13.5" thickBot="1">
      <c r="A50" s="1100"/>
      <c r="B50" s="1103"/>
      <c r="C50" s="1271"/>
      <c r="D50" s="1077"/>
      <c r="E50" s="1180" t="s">
        <v>1371</v>
      </c>
      <c r="F50" s="1181">
        <f ca="1">F7</f>
        <v>27530</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15144</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v>
      </c>
      <c r="K53" s="3301" t="s">
        <v>1513</v>
      </c>
      <c r="L53" s="3302"/>
      <c r="O53" s="1596" t="s">
        <v>1014</v>
      </c>
      <c r="P53" s="1597" t="s">
        <v>1514</v>
      </c>
      <c r="Q53" s="1598">
        <f ca="1">Q47+Q48</f>
        <v>45575</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11690</v>
      </c>
      <c r="D56" s="1625"/>
      <c r="E56" s="1626"/>
      <c r="F56" s="1618"/>
      <c r="I56" s="1627" t="s">
        <v>1519</v>
      </c>
      <c r="J56" s="1628" t="s">
        <v>3066</v>
      </c>
      <c r="K56" s="1599" t="s">
        <v>1520</v>
      </c>
      <c r="L56" s="1602" t="str">
        <f ca="1">IF(L48&lt;J51,"——",L48-J53)</f>
        <v>——</v>
      </c>
      <c r="O56" s="1596" t="s">
        <v>1008</v>
      </c>
      <c r="P56" s="1597" t="s">
        <v>1493</v>
      </c>
      <c r="Q56" s="1598">
        <f ca="1">C40+J29</f>
        <v>45575</v>
      </c>
      <c r="R56" s="1598" t="s">
        <v>1494</v>
      </c>
    </row>
    <row r="57" spans="1:18" s="1562" customFormat="1" ht="24.75" thickBot="1">
      <c r="A57" s="1629"/>
      <c r="B57" s="1074" t="s">
        <v>1443</v>
      </c>
      <c r="C57" s="243">
        <f ca="1">C29</f>
        <v>11690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1119</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985</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981.96</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2.62</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45575</v>
      </c>
      <c r="R62" s="1598" t="s">
        <v>1015</v>
      </c>
    </row>
    <row r="63" spans="1:18" s="1562" customFormat="1" ht="13.5" thickBot="1">
      <c r="A63" s="331"/>
      <c r="B63" s="1080"/>
      <c r="C63" s="29"/>
      <c r="D63" s="1090"/>
      <c r="E63" s="1074" t="s">
        <v>1412</v>
      </c>
      <c r="F63" s="308">
        <f t="shared" ca="1" si="0"/>
        <v>8722.57</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116.9</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17.5</v>
      </c>
      <c r="D65" s="1088" t="s">
        <v>1419</v>
      </c>
      <c r="E65" s="1074" t="s">
        <v>1387</v>
      </c>
      <c r="F65" s="335">
        <f t="shared" ca="1" si="0"/>
        <v>1.5E-3</v>
      </c>
      <c r="I65" s="1640" t="s">
        <v>1544</v>
      </c>
      <c r="J65" s="1641">
        <v>40</v>
      </c>
      <c r="K65" s="1641">
        <v>30</v>
      </c>
      <c r="L65" s="1641">
        <v>50</v>
      </c>
      <c r="M65" s="1643">
        <v>0.02</v>
      </c>
      <c r="O65" s="1596" t="s">
        <v>1008</v>
      </c>
      <c r="P65" s="1597" t="s">
        <v>1493</v>
      </c>
      <c r="Q65" s="1598">
        <f ca="1">C40+J29</f>
        <v>45575</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-1119</v>
      </c>
      <c r="D67" s="1087" t="s">
        <v>1429</v>
      </c>
      <c r="E67" s="1092"/>
      <c r="F67" s="1093"/>
      <c r="O67" s="1606" t="s">
        <v>1010</v>
      </c>
      <c r="P67" s="1597" t="s">
        <v>1527</v>
      </c>
      <c r="Q67" s="1644">
        <f ca="1">L51</f>
        <v>15144</v>
      </c>
      <c r="R67" s="1598" t="s">
        <v>1547</v>
      </c>
    </row>
    <row r="68" spans="1:18" s="1562" customFormat="1" ht="16.5" thickBot="1">
      <c r="A68" s="1071" t="s">
        <v>1000</v>
      </c>
      <c r="B68" s="1072" t="s">
        <v>1450</v>
      </c>
      <c r="C68" s="306">
        <f ca="1">ROUND(C67*(1-((1+F70)/(1+F68))^F69)/(F68-F70),0)</f>
        <v>-19868</v>
      </c>
      <c r="D68" s="1089" t="s">
        <v>1434</v>
      </c>
      <c r="E68" s="1074" t="s">
        <v>1435</v>
      </c>
      <c r="F68" s="317">
        <f ca="1">F40</f>
        <v>0.05</v>
      </c>
      <c r="O68" s="1606" t="s">
        <v>1011</v>
      </c>
      <c r="P68" s="1645" t="s">
        <v>1548</v>
      </c>
      <c r="Q68" s="1598">
        <f ca="1">ROUND(Q69-Q70*Q71,0)</f>
        <v>731</v>
      </c>
      <c r="R68" s="1598" t="s">
        <v>1019</v>
      </c>
    </row>
    <row r="69" spans="1:18" s="1562" customFormat="1" ht="13.5" thickBot="1">
      <c r="A69" s="1075"/>
      <c r="B69" s="1076"/>
      <c r="C69" s="311"/>
      <c r="D69" s="1094" t="s">
        <v>1438</v>
      </c>
      <c r="E69" s="1074" t="s">
        <v>1439</v>
      </c>
      <c r="F69" s="338">
        <f ca="1">F41</f>
        <v>44.83</v>
      </c>
      <c r="O69" s="1606" t="s">
        <v>1016</v>
      </c>
      <c r="P69" s="1645" t="s">
        <v>1549</v>
      </c>
      <c r="Q69" s="1598">
        <f ca="1">C39</f>
        <v>1725</v>
      </c>
      <c r="R69" s="1598" t="s">
        <v>1494</v>
      </c>
    </row>
    <row r="70" spans="1:18" s="1562" customFormat="1" ht="13.5" thickBot="1">
      <c r="A70" s="1078"/>
      <c r="B70" s="1079"/>
      <c r="C70" s="315"/>
      <c r="D70" s="1090"/>
      <c r="E70" s="1074" t="s">
        <v>1442</v>
      </c>
      <c r="F70" s="1178"/>
      <c r="O70" s="1606" t="s">
        <v>1017</v>
      </c>
      <c r="P70" s="1645" t="s">
        <v>1550</v>
      </c>
      <c r="Q70" s="1598">
        <f ca="1">C13</f>
        <v>11690</v>
      </c>
      <c r="R70" s="1598" t="s">
        <v>1494</v>
      </c>
    </row>
    <row r="71" spans="1:18" s="1562" customFormat="1" ht="13.5" thickBot="1">
      <c r="A71" s="1095" t="s">
        <v>1001</v>
      </c>
      <c r="B71" s="1096" t="s">
        <v>1452</v>
      </c>
      <c r="C71" s="341">
        <f ca="1">ROUND(C68*10000/F71,0)</f>
        <v>-7217</v>
      </c>
      <c r="D71" s="1097" t="s">
        <v>1453</v>
      </c>
      <c r="E71" s="1098" t="s">
        <v>1454</v>
      </c>
      <c r="F71" s="344">
        <f ca="1">F43</f>
        <v>27530</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994</v>
      </c>
      <c r="D75" s="1562"/>
      <c r="E75" s="1562"/>
      <c r="F75" s="1562"/>
      <c r="K75" s="1580"/>
      <c r="L75" s="1562"/>
      <c r="O75" s="1596" t="s">
        <v>1014</v>
      </c>
      <c r="P75" s="1597" t="s">
        <v>1514</v>
      </c>
      <c r="Q75" s="1598">
        <f ca="1">Q65+Q66</f>
        <v>45575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0.42400000000000004</v>
      </c>
    </row>
    <row r="80" spans="1:18">
      <c r="B80" s="345" t="s">
        <v>1476</v>
      </c>
      <c r="C80" s="279">
        <f ca="1">ROUND(C75/C39,3)</f>
        <v>0.57599999999999996</v>
      </c>
    </row>
    <row r="81" spans="2:3">
      <c r="B81" s="275" t="s">
        <v>1477</v>
      </c>
      <c r="C81" s="243"/>
    </row>
    <row r="82" spans="2:3">
      <c r="B82" s="278" t="s">
        <v>1478</v>
      </c>
      <c r="C82" s="280">
        <f ca="1">1-C83</f>
        <v>0.74299999999999999</v>
      </c>
    </row>
    <row r="83" spans="2:3">
      <c r="B83" s="278" t="s">
        <v>1479</v>
      </c>
      <c r="C83" s="279">
        <f ca="1">ROUND(C13/C40,3)</f>
        <v>0.25700000000000001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3090</v>
      </c>
      <c r="D1" s="1540" t="s">
        <v>3141</v>
      </c>
      <c r="E1" s="1541" t="s">
        <v>1352</v>
      </c>
      <c r="F1" s="1186">
        <f ca="1">J53</f>
        <v>64.849999999999994</v>
      </c>
      <c r="G1" s="1556">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237325</v>
      </c>
      <c r="C2" s="1565" t="s">
        <v>1481</v>
      </c>
      <c r="D2" s="1565"/>
      <c r="E2" s="1566"/>
      <c r="F2" s="1567"/>
      <c r="G2" s="2925"/>
      <c r="H2" s="2914"/>
      <c r="I2" s="2914"/>
      <c r="J2" s="2914"/>
      <c r="K2" s="2915"/>
      <c r="L2" s="2914"/>
      <c r="M2" s="2914"/>
    </row>
    <row r="3" spans="1:37" ht="18" customHeight="1" thickBot="1">
      <c r="A3" s="1568" t="s">
        <v>1482</v>
      </c>
      <c r="B3" s="1569">
        <f ca="1">IF(ISERROR(B2*10000/F43),0,ROUND(B2*10000/F43,0))</f>
        <v>40938</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8570</v>
      </c>
      <c r="D5" s="1542" t="s">
        <v>1367</v>
      </c>
      <c r="E5" s="1196"/>
      <c r="F5" s="1197"/>
      <c r="G5" s="1562"/>
      <c r="H5" s="304">
        <v>1</v>
      </c>
      <c r="I5" s="305" t="s">
        <v>1366</v>
      </c>
      <c r="J5" s="1195">
        <f ca="1">J6+J10+J12</f>
        <v>0</v>
      </c>
      <c r="K5" s="1542" t="s">
        <v>1367</v>
      </c>
      <c r="L5" s="1196"/>
      <c r="M5" s="1197"/>
    </row>
    <row r="6" spans="1:37" ht="18" customHeight="1">
      <c r="A6" s="1194" t="s">
        <v>1003</v>
      </c>
      <c r="B6" s="3298" t="s">
        <v>1368</v>
      </c>
      <c r="C6" s="1199">
        <f ca="1">ROUND(F6*F8*F7*(1-F9)/10000,0)</f>
        <v>8570</v>
      </c>
      <c r="D6" s="159" t="s">
        <v>2848</v>
      </c>
      <c r="E6" s="307" t="s">
        <v>1370</v>
      </c>
      <c r="F6" s="308">
        <f ca="1">INDIRECT("'数据-取费表'!u"&amp;$G$1)</f>
        <v>4.5</v>
      </c>
      <c r="G6" s="1562"/>
      <c r="H6" s="1194" t="s">
        <v>1003</v>
      </c>
      <c r="I6" s="3298" t="s">
        <v>1368</v>
      </c>
      <c r="J6" s="306">
        <f ca="1">ROUND(M6*M8*M7*(1-M9)/10000,0)</f>
        <v>0</v>
      </c>
      <c r="K6" s="159" t="s">
        <v>2847</v>
      </c>
      <c r="L6" s="307" t="s">
        <v>1370</v>
      </c>
      <c r="M6" s="308">
        <f ca="1">INDIRECT("'数据-取费表'!z"&amp;$G$1)</f>
        <v>0</v>
      </c>
    </row>
    <row r="7" spans="1:37" ht="18" customHeight="1">
      <c r="A7" s="1198"/>
      <c r="B7" s="3299"/>
      <c r="C7" s="1200"/>
      <c r="D7" s="312"/>
      <c r="E7" s="1201" t="s">
        <v>1371</v>
      </c>
      <c r="F7" s="308">
        <f ca="1">IF(INDIRECT("'数据-取费表'!ah"&amp;$G$1)="",INDIRECT("'数据-取费表'!k"&amp;$G$1),INDIRECT("'数据-取费表'!ah"&amp;$G$1))</f>
        <v>57972.040000000008</v>
      </c>
      <c r="G7" s="1562"/>
      <c r="H7" s="309"/>
      <c r="I7" s="3299"/>
      <c r="J7" s="311"/>
      <c r="K7" s="312"/>
      <c r="L7" s="307" t="s">
        <v>1371</v>
      </c>
      <c r="M7" s="308">
        <f ca="1">F7</f>
        <v>57972.040000000008</v>
      </c>
    </row>
    <row r="8" spans="1:37" ht="18" customHeight="1">
      <c r="A8" s="309"/>
      <c r="B8" s="3299"/>
      <c r="C8" s="311"/>
      <c r="D8" s="312"/>
      <c r="E8" s="307" t="s">
        <v>1372</v>
      </c>
      <c r="F8" s="308">
        <f ca="1">INDIRECT("'数据-取费表'!ai"&amp;$G$1)</f>
        <v>365</v>
      </c>
      <c r="G8" s="1562"/>
      <c r="H8" s="309"/>
      <c r="I8" s="3299"/>
      <c r="J8" s="311"/>
      <c r="K8" s="312"/>
      <c r="L8" s="307" t="s">
        <v>1372</v>
      </c>
      <c r="M8" s="308">
        <f ca="1">INDIRECT("'数据-取费表'!ai"&amp;$G$1)</f>
        <v>365</v>
      </c>
    </row>
    <row r="9" spans="1:37" ht="18" customHeight="1">
      <c r="A9" s="309"/>
      <c r="B9" s="3300"/>
      <c r="C9" s="311"/>
      <c r="D9" s="312"/>
      <c r="E9" s="307" t="s">
        <v>1373</v>
      </c>
      <c r="F9" s="317">
        <f ca="1">INDIRECT("'数据-取费表'!w"&amp;$G$1)</f>
        <v>0.1</v>
      </c>
      <c r="G9" s="1562"/>
      <c r="H9" s="309"/>
      <c r="I9" s="3300"/>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2856</v>
      </c>
      <c r="E10" s="318" t="s">
        <v>1375</v>
      </c>
      <c r="F10" s="1269" t="s">
        <v>3153</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34634</v>
      </c>
      <c r="D13" s="1234" t="s">
        <v>1380</v>
      </c>
      <c r="E13" s="1234"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23363</v>
      </c>
      <c r="D14" s="1523" t="s">
        <v>1383</v>
      </c>
      <c r="E14" s="1520"/>
      <c r="F14" s="324"/>
      <c r="G14" s="1562"/>
      <c r="H14" s="1106" t="s">
        <v>1003</v>
      </c>
      <c r="I14" s="307" t="s">
        <v>1384</v>
      </c>
      <c r="J14" s="24">
        <f ca="1">C29</f>
        <v>34634</v>
      </c>
      <c r="K14" s="15"/>
      <c r="L14" s="909"/>
      <c r="M14" s="910"/>
    </row>
    <row r="15" spans="1:37" s="1575" customFormat="1" ht="18" customHeight="1" thickBot="1">
      <c r="A15" s="1106" t="s">
        <v>1004</v>
      </c>
      <c r="B15" s="307" t="s">
        <v>1385</v>
      </c>
      <c r="C15" s="24">
        <f ca="1">ROUND(C14*F15,0)</f>
        <v>1168</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696</v>
      </c>
      <c r="D16" s="307" t="s">
        <v>1386</v>
      </c>
      <c r="E16" s="307" t="s">
        <v>1387</v>
      </c>
      <c r="F16" s="327">
        <f ca="1">IF(INDIRECT("'数据-取费表'!c"&amp;$G$1)="住宅",'数据-取费表'!B34,0)</f>
        <v>0.03</v>
      </c>
      <c r="G16" s="1562"/>
      <c r="H16" s="1232" t="s">
        <v>998</v>
      </c>
      <c r="I16" s="1233" t="s">
        <v>1389</v>
      </c>
      <c r="J16" s="315">
        <f ca="1">ROUND(J17+J22+J23+J24,0)</f>
        <v>643</v>
      </c>
      <c r="K16" s="1240" t="s">
        <v>1390</v>
      </c>
      <c r="L16" s="1241"/>
      <c r="M16" s="1197"/>
    </row>
    <row r="17" spans="1:37" s="1575" customFormat="1" ht="18" customHeight="1">
      <c r="A17" s="1106" t="s">
        <v>1355</v>
      </c>
      <c r="B17" s="307" t="s">
        <v>1391</v>
      </c>
      <c r="C17" s="24">
        <f ca="1">ROUND(F17*(F43+INDIRECT("'数据-取费表'!S"&amp;$G$1))/10000,0)</f>
        <v>1171</v>
      </c>
      <c r="D17" s="307" t="s">
        <v>1392</v>
      </c>
      <c r="E17" s="307" t="s">
        <v>1393</v>
      </c>
      <c r="F17" s="26">
        <f>'数据-取费表'!B35</f>
        <v>200</v>
      </c>
      <c r="G17" s="1574"/>
      <c r="H17" s="1106" t="s">
        <v>1003</v>
      </c>
      <c r="I17" s="307" t="s">
        <v>1394</v>
      </c>
      <c r="J17" s="2527">
        <f ca="1">ROUND(IF(AND(项目基本情况!B11="自然人",项目基本情况!B10="北京市"),J6*M17/(1+'数据-取费表'!C42),J18+J19+J20),0)</f>
        <v>297</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350</v>
      </c>
      <c r="D18" s="307" t="s">
        <v>1386</v>
      </c>
      <c r="E18" s="307" t="s">
        <v>1387</v>
      </c>
      <c r="F18" s="327">
        <f>'数据-取费表'!B36</f>
        <v>1.4999999999999999E-2</v>
      </c>
      <c r="G18" s="1574"/>
      <c r="H18" s="1106" t="s">
        <v>1002</v>
      </c>
      <c r="I18" s="307" t="s">
        <v>1398</v>
      </c>
      <c r="J18" s="24">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26748</v>
      </c>
      <c r="D19" s="135" t="s">
        <v>1401</v>
      </c>
      <c r="E19" s="1538"/>
      <c r="F19" s="26"/>
      <c r="G19" s="1562"/>
      <c r="H19" s="1106" t="s">
        <v>1004</v>
      </c>
      <c r="I19" s="307" t="s">
        <v>1402</v>
      </c>
      <c r="J19" s="24">
        <f ca="1">IF(K19="按租金收入计税",ROUND(J6*M19/(1+'数据-取费表'!C42),2),ROUND(C29*M19*0.7,2))</f>
        <v>290.93</v>
      </c>
      <c r="K19" s="1548" t="s">
        <v>1403</v>
      </c>
      <c r="L19" s="307" t="s">
        <v>1387</v>
      </c>
      <c r="M19" s="327">
        <f>IF(K19="按租金收入计税",'数据-取费表'!B51,'数据-取费表'!B50)</f>
        <v>1.2E-2</v>
      </c>
    </row>
    <row r="20" spans="1:37" s="1575" customFormat="1" ht="18" customHeight="1">
      <c r="A20" s="1106" t="s">
        <v>1007</v>
      </c>
      <c r="B20" s="307" t="s">
        <v>1404</v>
      </c>
      <c r="C20" s="24">
        <f ca="1">ROUND(C19*F20,0)</f>
        <v>535</v>
      </c>
      <c r="D20" s="328" t="s">
        <v>1405</v>
      </c>
      <c r="E20" s="307" t="s">
        <v>1387</v>
      </c>
      <c r="F20" s="327">
        <f>'数据-取费表'!B37</f>
        <v>0.02</v>
      </c>
      <c r="G20" s="1574"/>
      <c r="H20" s="1106" t="s">
        <v>1354</v>
      </c>
      <c r="I20" s="159" t="s">
        <v>1406</v>
      </c>
      <c r="J20" s="25">
        <f ca="1">ROUND(M20*M21/10000,2)</f>
        <v>5.6</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18653.259999999998</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ROUND(J14*M22,1)</f>
        <v>346.3</v>
      </c>
      <c r="K22" s="1522"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1967</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ROUND(J5*M24,1)</f>
        <v>0</v>
      </c>
      <c r="K24" s="1245" t="s">
        <v>1424</v>
      </c>
      <c r="L24" s="1243" t="s">
        <v>1420</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1538"/>
      <c r="F25" s="26"/>
      <c r="G25" s="1562"/>
      <c r="H25" s="1232" t="s">
        <v>999</v>
      </c>
      <c r="I25" s="1247" t="s">
        <v>1428</v>
      </c>
      <c r="J25" s="315">
        <f ca="1">J5-J16</f>
        <v>-643</v>
      </c>
      <c r="K25" s="1248" t="s">
        <v>1429</v>
      </c>
      <c r="L25" s="1249"/>
      <c r="M25" s="1250"/>
    </row>
    <row r="26" spans="1:37">
      <c r="A26" s="1106" t="s">
        <v>1002</v>
      </c>
      <c r="B26" s="307" t="s">
        <v>1430</v>
      </c>
      <c r="C26" s="24">
        <f ca="1">ROUND((C19+C20)*F26,0)</f>
        <v>2728</v>
      </c>
      <c r="D26" s="328" t="s">
        <v>1431</v>
      </c>
      <c r="E26" s="318" t="s">
        <v>1432</v>
      </c>
      <c r="F26" s="317">
        <f ca="1">INDIRECT("'数据-取费表'!q"&amp;$G$1)</f>
        <v>0.1</v>
      </c>
      <c r="G26" s="1562"/>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06" t="s">
        <v>1004</v>
      </c>
      <c r="B27" s="307" t="s">
        <v>1436</v>
      </c>
      <c r="C27" s="24">
        <f ca="1">ROUND(F21*F26,4)</f>
        <v>2E-3</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34634</v>
      </c>
      <c r="D29" s="1245"/>
      <c r="E29" s="1243"/>
      <c r="F29" s="1246"/>
      <c r="G29" s="1574"/>
      <c r="H29" s="339" t="s">
        <v>1001</v>
      </c>
      <c r="I29" s="340" t="s">
        <v>1444</v>
      </c>
      <c r="J29" s="341">
        <f ca="1">ROUND(J26/(1+F40)^F41,0)</f>
        <v>0</v>
      </c>
      <c r="K29" s="342" t="s">
        <v>1445</v>
      </c>
      <c r="L29" s="343"/>
      <c r="M29" s="344">
        <f ca="1">INDIRECT("'数据-取费表'!k"&amp;$G$1)</f>
        <v>57972.040000000008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1926</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1442</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457.07</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979.43</v>
      </c>
      <c r="D33" s="1548" t="s">
        <v>3150</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5.6</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18653.259999999998</v>
      </c>
      <c r="G35" s="1562"/>
      <c r="H35" s="2916"/>
      <c r="I35" s="1576"/>
      <c r="J35" s="1577"/>
      <c r="K35" s="2920"/>
      <c r="L35" s="2919"/>
      <c r="M35" s="2919"/>
    </row>
    <row r="36" spans="1:18" ht="18" customHeight="1">
      <c r="A36" s="1255" t="s">
        <v>1007</v>
      </c>
      <c r="B36" s="307" t="s">
        <v>1414</v>
      </c>
      <c r="C36" s="24">
        <f ca="1">ROUND(C29*F36,1)</f>
        <v>346.3</v>
      </c>
      <c r="D36" s="1522"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52</v>
      </c>
      <c r="D37" s="1522" t="s">
        <v>1419</v>
      </c>
      <c r="E37" s="307" t="s">
        <v>1420</v>
      </c>
      <c r="F37" s="335">
        <f ca="1">INDIRECT("'数据-取费表'!Al"&amp;$G$1)</f>
        <v>1.5E-3</v>
      </c>
      <c r="G37" s="1562"/>
      <c r="H37" s="2919"/>
      <c r="I37" s="1576"/>
      <c r="J37" s="1577"/>
      <c r="K37" s="2760"/>
      <c r="L37" s="2919"/>
      <c r="M37" s="2919"/>
    </row>
    <row r="38" spans="1:18" ht="18" customHeight="1" thickBot="1">
      <c r="A38" s="1242" t="s">
        <v>1358</v>
      </c>
      <c r="B38" s="1243" t="s">
        <v>1404</v>
      </c>
      <c r="C38" s="1244">
        <f ca="1">ROUND(C5*F38,1)</f>
        <v>85.7</v>
      </c>
      <c r="D38" s="1245" t="s">
        <v>1424</v>
      </c>
      <c r="E38" s="1243" t="s">
        <v>1420</v>
      </c>
      <c r="F38" s="1239">
        <f ca="1">INDIRECT("'数据-取费表'!Am"&amp;$G$1)</f>
        <v>0.01</v>
      </c>
      <c r="G38" s="1562"/>
      <c r="H38" s="2919"/>
      <c r="I38" s="1576"/>
      <c r="J38" s="1577"/>
      <c r="K38" s="2923"/>
      <c r="L38" s="2919"/>
      <c r="M38" s="2919"/>
    </row>
    <row r="39" spans="1:18" ht="24.6" customHeight="1" thickTop="1">
      <c r="A39" s="1232" t="s">
        <v>999</v>
      </c>
      <c r="B39" s="1247" t="s">
        <v>1448</v>
      </c>
      <c r="C39" s="315">
        <f ca="1">C5-C30</f>
        <v>6644</v>
      </c>
      <c r="D39" s="1248" t="s">
        <v>1449</v>
      </c>
      <c r="E39" s="1249"/>
      <c r="F39" s="1250"/>
      <c r="G39" s="1562"/>
      <c r="H39" s="2919"/>
      <c r="I39" s="1576"/>
      <c r="J39" s="1577"/>
      <c r="K39" s="2923"/>
      <c r="L39" s="2919"/>
      <c r="M39" s="2919"/>
    </row>
    <row r="40" spans="1:18" ht="18" customHeight="1">
      <c r="A40" s="304" t="s">
        <v>1000</v>
      </c>
      <c r="B40" s="305" t="s">
        <v>1450</v>
      </c>
      <c r="C40" s="306">
        <f ca="1">ROUND(C39*(1-((1+F42)/(1+F40))^F41)/(F40-F42),0)</f>
        <v>237325</v>
      </c>
      <c r="D40" s="329" t="s">
        <v>1434</v>
      </c>
      <c r="E40" s="307" t="s">
        <v>1435</v>
      </c>
      <c r="F40" s="317">
        <f ca="1">INDIRECT("'数据-取费表'!I"&amp;$G$1)</f>
        <v>4.4999999999999998E-2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64.849999999999994</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40938</v>
      </c>
      <c r="D43" s="342" t="s">
        <v>1453</v>
      </c>
      <c r="E43" s="343" t="s">
        <v>1454</v>
      </c>
      <c r="F43" s="344">
        <f ca="1">INDIRECT("'数据-取费表'!k"&amp;$G$1)</f>
        <v>57972.040000000008</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-306708</v>
      </c>
      <c r="D46" s="1584" t="str">
        <f>C2</f>
        <v>万元</v>
      </c>
      <c r="E46" s="1578"/>
      <c r="F46" s="1578"/>
      <c r="I46" s="1585" t="s">
        <v>1486</v>
      </c>
      <c r="J46" s="1586"/>
      <c r="K46" s="1587"/>
      <c r="L46" s="1588">
        <f>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3151</v>
      </c>
      <c r="K47" s="1594" t="s">
        <v>1492</v>
      </c>
      <c r="L47" s="1595">
        <f ca="1">INDIRECT("'数据-取费表'!d"&amp;$G$1)</f>
        <v>70</v>
      </c>
      <c r="M47" s="1558" t="str">
        <f>IF(ISNUMBER(FIND("住宅",C1)),"住宅","非住宅")</f>
        <v>住宅</v>
      </c>
      <c r="O47" s="1596" t="s">
        <v>1008</v>
      </c>
      <c r="P47" s="1597" t="s">
        <v>1493</v>
      </c>
      <c r="Q47" s="1598">
        <f ca="1">C40+J29</f>
        <v>237325</v>
      </c>
      <c r="R47" s="1598" t="s">
        <v>1494</v>
      </c>
    </row>
    <row r="48" spans="1:18" s="1562" customFormat="1" ht="28.5" thickBot="1">
      <c r="A48" s="1263" t="s">
        <v>1103</v>
      </c>
      <c r="B48" s="305" t="s">
        <v>1366</v>
      </c>
      <c r="C48" s="1537">
        <f ca="1">C49+C53+C55</f>
        <v>0</v>
      </c>
      <c r="D48" s="1265"/>
      <c r="E48" s="1266"/>
      <c r="F48" s="1086"/>
      <c r="G48" s="730"/>
      <c r="H48" s="731"/>
      <c r="I48" s="1599" t="s">
        <v>1495</v>
      </c>
      <c r="J48" s="1600" t="s">
        <v>3152</v>
      </c>
      <c r="K48" s="1601" t="s">
        <v>1496</v>
      </c>
      <c r="L48" s="1602">
        <f ca="1">INDIRECT("'数据-取费表'!f"&amp;$G$1)</f>
        <v>66.05</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2849</v>
      </c>
      <c r="E49" s="1550" t="s">
        <v>1456</v>
      </c>
      <c r="F49" s="1184"/>
      <c r="G49" s="1603"/>
      <c r="H49" s="731"/>
      <c r="I49" s="1599" t="s">
        <v>1499</v>
      </c>
      <c r="J49" s="1604">
        <v>2021</v>
      </c>
      <c r="K49" s="1601" t="s">
        <v>1500</v>
      </c>
      <c r="L49" s="1605"/>
      <c r="O49" s="1606" t="s">
        <v>1010</v>
      </c>
      <c r="P49" s="1597" t="s">
        <v>1501</v>
      </c>
      <c r="Q49" s="1598">
        <f ca="1">C29</f>
        <v>34634</v>
      </c>
      <c r="R49" s="1598" t="s">
        <v>1494</v>
      </c>
    </row>
    <row r="50" spans="1:18" s="1562" customFormat="1" ht="13.5" thickBot="1">
      <c r="A50" s="1100"/>
      <c r="B50" s="1103"/>
      <c r="C50" s="1271"/>
      <c r="D50" s="1077"/>
      <c r="E50" s="1180" t="s">
        <v>1371</v>
      </c>
      <c r="F50" s="1181">
        <f ca="1">F7</f>
        <v>57972.040000000008</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84048</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64.849999999999994</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64.849999999999994</v>
      </c>
      <c r="K53" s="3301" t="s">
        <v>1513</v>
      </c>
      <c r="L53" s="3302"/>
      <c r="O53" s="1596" t="s">
        <v>1014</v>
      </c>
      <c r="P53" s="1597" t="s">
        <v>1514</v>
      </c>
      <c r="Q53" s="1598">
        <f ca="1">Q47+Q48</f>
        <v>237325</v>
      </c>
      <c r="R53" s="1598" t="s">
        <v>1015</v>
      </c>
    </row>
    <row r="54" spans="1:18" s="1562" customFormat="1" ht="13.5" thickBot="1">
      <c r="A54" s="1308"/>
      <c r="B54" s="1545" t="s">
        <v>1353</v>
      </c>
      <c r="C54" s="1083"/>
      <c r="D54" s="1544"/>
      <c r="E54" s="1552"/>
      <c r="F54" s="1618"/>
      <c r="I54" s="1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34634</v>
      </c>
      <c r="D56" s="1625"/>
      <c r="E56" s="1626"/>
      <c r="F56" s="1618"/>
      <c r="I56" s="1627" t="s">
        <v>1519</v>
      </c>
      <c r="J56" s="1628" t="s">
        <v>3066</v>
      </c>
      <c r="K56" s="1599" t="s">
        <v>1520</v>
      </c>
      <c r="L56" s="1602">
        <f ca="1">IF(L48&lt;J51,"——",L48-J53)</f>
        <v>1.2000000000000028</v>
      </c>
      <c r="O56" s="1596" t="s">
        <v>1008</v>
      </c>
      <c r="P56" s="1597" t="s">
        <v>1493</v>
      </c>
      <c r="Q56" s="1598">
        <f ca="1">C40+J29</f>
        <v>237325</v>
      </c>
      <c r="R56" s="1598" t="s">
        <v>1494</v>
      </c>
    </row>
    <row r="57" spans="1:18" s="1562" customFormat="1" ht="24.75" thickBot="1">
      <c r="A57" s="1629"/>
      <c r="B57" s="1074" t="s">
        <v>1443</v>
      </c>
      <c r="C57" s="243">
        <f ca="1">C29</f>
        <v>34634</v>
      </c>
      <c r="D57" s="1630"/>
      <c r="E57" s="1631"/>
      <c r="F57" s="1632"/>
      <c r="I57" s="1633" t="s">
        <v>1521</v>
      </c>
      <c r="J57" s="1634" t="str">
        <f ca="1">IF(OR(M47="住宅",J51&lt;L48,J56="是"),"——",J51-L48)</f>
        <v>——</v>
      </c>
      <c r="K57" s="1599" t="s">
        <v>1522</v>
      </c>
      <c r="L57" s="1602">
        <f ca="1">IF(L48&lt;J51,"——",IF(L55="比较法",L49,IF(L55="基准地价",L50,L51)))</f>
        <v>84048</v>
      </c>
      <c r="O57" s="1596" t="s">
        <v>1009</v>
      </c>
      <c r="P57" s="1597" t="s">
        <v>1523</v>
      </c>
      <c r="Q57" s="1598">
        <f ca="1">L60</f>
        <v>0</v>
      </c>
      <c r="R57" s="1598" t="s">
        <v>1524</v>
      </c>
    </row>
    <row r="58" spans="1:18" s="1562" customFormat="1" ht="24.75" thickBot="1">
      <c r="A58" s="320" t="s">
        <v>998</v>
      </c>
      <c r="B58" s="1082" t="s">
        <v>1389</v>
      </c>
      <c r="C58" s="321">
        <f ca="1">ROUND(C59+C64+C65+C66,0)</f>
        <v>3313</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2915</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IF(项目基本情况!B11="自然人","——",IF(D61="按租金收入计税",ROUND(C48*F61,2),IF(D61="按房产原值计税",ROUND(C57*F61*0.7,2),INDIRECT("'数据-取费表'!Aj"&amp;$G$1))))</f>
        <v>2909.26</v>
      </c>
      <c r="D61" s="1548" t="s">
        <v>1403</v>
      </c>
      <c r="E61" s="1074" t="s">
        <v>1459</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IF(项目基本情况!B11="自然人","——",ROUND(F62*F63/10000,2))</f>
        <v>5.6</v>
      </c>
      <c r="D62" s="1089" t="s">
        <v>1462</v>
      </c>
      <c r="E62" s="1074" t="s">
        <v>1463</v>
      </c>
      <c r="F62" s="330">
        <f t="shared" si="0"/>
        <v>3</v>
      </c>
      <c r="I62" s="1640" t="s">
        <v>1535</v>
      </c>
      <c r="J62" s="1641" t="s">
        <v>1536</v>
      </c>
      <c r="K62" s="1641" t="s">
        <v>1537</v>
      </c>
      <c r="L62" s="1641" t="s">
        <v>1538</v>
      </c>
      <c r="M62" s="1642" t="s">
        <v>1539</v>
      </c>
      <c r="O62" s="1596" t="s">
        <v>1014</v>
      </c>
      <c r="P62" s="1597" t="s">
        <v>1540</v>
      </c>
      <c r="Q62" s="1598">
        <f ca="1">Q56+Q57</f>
        <v>237325</v>
      </c>
      <c r="R62" s="1598" t="s">
        <v>1015</v>
      </c>
    </row>
    <row r="63" spans="1:18" s="1562" customFormat="1" ht="13.5" thickBot="1">
      <c r="A63" s="331"/>
      <c r="B63" s="1080"/>
      <c r="C63" s="29"/>
      <c r="D63" s="1090"/>
      <c r="E63" s="1074" t="s">
        <v>1464</v>
      </c>
      <c r="F63" s="308">
        <f t="shared" ca="1" si="0"/>
        <v>18653.259999999998</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ROUND(C57*F64,1)</f>
        <v>346.3</v>
      </c>
      <c r="D64" s="1088" t="s">
        <v>1467</v>
      </c>
      <c r="E64" s="1074" t="s">
        <v>1459</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52</v>
      </c>
      <c r="D65" s="1088" t="s">
        <v>1419</v>
      </c>
      <c r="E65" s="1074" t="s">
        <v>1420</v>
      </c>
      <c r="F65" s="335">
        <f t="shared" ca="1" si="0"/>
        <v>1.5E-3</v>
      </c>
      <c r="I65" s="1640" t="s">
        <v>1544</v>
      </c>
      <c r="J65" s="1641">
        <v>40</v>
      </c>
      <c r="K65" s="1641">
        <v>30</v>
      </c>
      <c r="L65" s="1641">
        <v>50</v>
      </c>
      <c r="M65" s="1643">
        <v>0.02</v>
      </c>
      <c r="O65" s="1596" t="s">
        <v>1008</v>
      </c>
      <c r="P65" s="1597" t="s">
        <v>1545</v>
      </c>
      <c r="Q65" s="1598">
        <f ca="1">C40+J29</f>
        <v>237325</v>
      </c>
      <c r="R65" s="1598" t="s">
        <v>1494</v>
      </c>
    </row>
    <row r="66" spans="1:18" s="1562" customFormat="1" ht="16.5" thickBot="1">
      <c r="A66" s="1106" t="s">
        <v>1469</v>
      </c>
      <c r="B66" s="1074" t="s">
        <v>1404</v>
      </c>
      <c r="C66" s="24">
        <f ca="1">ROUND(C48*F66,1)</f>
        <v>0</v>
      </c>
      <c r="D66" s="1088" t="s">
        <v>1470</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-3313</v>
      </c>
      <c r="D67" s="1087" t="s">
        <v>1429</v>
      </c>
      <c r="E67" s="1092"/>
      <c r="F67" s="1093"/>
      <c r="O67" s="1606" t="s">
        <v>1010</v>
      </c>
      <c r="P67" s="1597" t="s">
        <v>1527</v>
      </c>
      <c r="Q67" s="1644">
        <f ca="1">L51</f>
        <v>84048</v>
      </c>
      <c r="R67" s="1598" t="s">
        <v>1547</v>
      </c>
    </row>
    <row r="68" spans="1:18" s="1562" customFormat="1" ht="16.5" thickBot="1">
      <c r="A68" s="1071" t="s">
        <v>1000</v>
      </c>
      <c r="B68" s="1072" t="s">
        <v>1450</v>
      </c>
      <c r="C68" s="306">
        <f ca="1">ROUND(C67*(1-((1+F70)/(1+F68))^F69)/(F68-F70),0)</f>
        <v>-69383</v>
      </c>
      <c r="D68" s="1089" t="s">
        <v>1434</v>
      </c>
      <c r="E68" s="1074" t="s">
        <v>1435</v>
      </c>
      <c r="F68" s="317">
        <f ca="1">F40</f>
        <v>4.4999999999999998E-2</v>
      </c>
      <c r="O68" s="1606" t="s">
        <v>1011</v>
      </c>
      <c r="P68" s="1645" t="s">
        <v>1548</v>
      </c>
      <c r="Q68" s="1598">
        <f ca="1">ROUND(Q69-Q70*Q71,0)</f>
        <v>3700</v>
      </c>
      <c r="R68" s="1598" t="s">
        <v>1019</v>
      </c>
    </row>
    <row r="69" spans="1:18" s="1562" customFormat="1" ht="13.5" thickBot="1">
      <c r="A69" s="1075"/>
      <c r="B69" s="1076"/>
      <c r="C69" s="311"/>
      <c r="D69" s="1094" t="s">
        <v>1438</v>
      </c>
      <c r="E69" s="1074" t="s">
        <v>1439</v>
      </c>
      <c r="F69" s="338">
        <f ca="1">F41</f>
        <v>64.849999999999994</v>
      </c>
      <c r="O69" s="1606" t="s">
        <v>1016</v>
      </c>
      <c r="P69" s="1645" t="s">
        <v>1549</v>
      </c>
      <c r="Q69" s="1598">
        <f ca="1">C39</f>
        <v>6644</v>
      </c>
      <c r="R69" s="1598" t="s">
        <v>1494</v>
      </c>
    </row>
    <row r="70" spans="1:18" s="1562" customFormat="1" ht="13.5" thickBot="1">
      <c r="A70" s="1078"/>
      <c r="B70" s="1079"/>
      <c r="C70" s="315"/>
      <c r="D70" s="1090"/>
      <c r="E70" s="1074" t="s">
        <v>1442</v>
      </c>
      <c r="F70" s="1178"/>
      <c r="O70" s="1606" t="s">
        <v>1017</v>
      </c>
      <c r="P70" s="1645" t="s">
        <v>1550</v>
      </c>
      <c r="Q70" s="1598">
        <f ca="1">C13</f>
        <v>34634</v>
      </c>
      <c r="R70" s="1598" t="s">
        <v>1494</v>
      </c>
    </row>
    <row r="71" spans="1:18" s="1562" customFormat="1" ht="13.5" thickBot="1">
      <c r="A71" s="1095" t="s">
        <v>1001</v>
      </c>
      <c r="B71" s="1096" t="s">
        <v>1452</v>
      </c>
      <c r="C71" s="341">
        <f ca="1">ROUND(C68*10000/F71,0)</f>
        <v>-11968</v>
      </c>
      <c r="D71" s="1097" t="s">
        <v>1453</v>
      </c>
      <c r="E71" s="1098" t="s">
        <v>1454</v>
      </c>
      <c r="F71" s="344">
        <f ca="1">F43</f>
        <v>57972.040000000008</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2944</v>
      </c>
      <c r="D75" s="1562"/>
      <c r="E75" s="1562"/>
      <c r="F75" s="1562"/>
      <c r="K75" s="1580"/>
      <c r="L75" s="1562"/>
      <c r="O75" s="1596" t="s">
        <v>1014</v>
      </c>
      <c r="P75" s="1597" t="s">
        <v>1514</v>
      </c>
      <c r="Q75" s="1598">
        <f ca="1">Q65+Q66</f>
        <v>237325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0.55699999999999994</v>
      </c>
    </row>
    <row r="80" spans="1:18">
      <c r="B80" s="345" t="s">
        <v>1476</v>
      </c>
      <c r="C80" s="279">
        <f ca="1">ROUND(C75/C39,3)</f>
        <v>0.443</v>
      </c>
    </row>
    <row r="81" spans="2:3">
      <c r="B81" s="275" t="s">
        <v>1477</v>
      </c>
      <c r="C81" s="243"/>
    </row>
    <row r="82" spans="2:3">
      <c r="B82" s="278" t="s">
        <v>1478</v>
      </c>
      <c r="C82" s="280">
        <f ca="1">1-C83</f>
        <v>0.85399999999999998</v>
      </c>
    </row>
    <row r="83" spans="2:3">
      <c r="B83" s="278" t="s">
        <v>1479</v>
      </c>
      <c r="C83" s="279">
        <f ca="1">ROUND(C13/C40,3)</f>
        <v>0.14599999999999999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6">
        <f ca="1">J53</f>
        <v>-1.2</v>
      </c>
      <c r="G1" s="1556">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5">
        <f ca="1">C6+C10+C12</f>
        <v>0</v>
      </c>
      <c r="D5" s="1542" t="s">
        <v>1566</v>
      </c>
      <c r="E5" s="1196"/>
      <c r="F5" s="1197"/>
      <c r="G5" s="1562"/>
      <c r="H5" s="304">
        <v>1</v>
      </c>
      <c r="I5" s="305" t="s">
        <v>1565</v>
      </c>
      <c r="J5" s="1195">
        <f ca="1">J6+J10+J12</f>
        <v>0</v>
      </c>
      <c r="K5" s="1542" t="s">
        <v>1566</v>
      </c>
      <c r="L5" s="1196"/>
      <c r="M5" s="1197"/>
    </row>
    <row r="6" spans="1:37" ht="18" customHeight="1">
      <c r="A6" s="1194" t="s">
        <v>1003</v>
      </c>
      <c r="B6" s="3298" t="s">
        <v>1368</v>
      </c>
      <c r="C6" s="1199">
        <f ca="1">ROUND(F6*F8*F7*(1-F9),0)</f>
        <v>0</v>
      </c>
      <c r="D6" s="159" t="s">
        <v>2845</v>
      </c>
      <c r="E6" s="307" t="s">
        <v>1370</v>
      </c>
      <c r="F6" s="308">
        <f ca="1">INDIRECT("'数据-取费表'!u"&amp;$G$1)</f>
        <v>0</v>
      </c>
      <c r="G6" s="1562"/>
      <c r="H6" s="1194" t="s">
        <v>1003</v>
      </c>
      <c r="I6" s="3298" t="s">
        <v>1368</v>
      </c>
      <c r="J6" s="306">
        <f ca="1">ROUND(M6*M8*M7*(1-M9),0)</f>
        <v>0</v>
      </c>
      <c r="K6" s="1554" t="s">
        <v>2846</v>
      </c>
      <c r="L6" s="307" t="s">
        <v>1370</v>
      </c>
      <c r="M6" s="308">
        <f ca="1">INDIRECT("'数据-取费表'!z"&amp;$G$1)</f>
        <v>0</v>
      </c>
    </row>
    <row r="7" spans="1:37" ht="18" customHeight="1">
      <c r="A7" s="1198"/>
      <c r="B7" s="3299"/>
      <c r="C7" s="1200"/>
      <c r="D7" s="312"/>
      <c r="E7" s="1201" t="s">
        <v>1371</v>
      </c>
      <c r="F7" s="308">
        <f ca="1">IF(INDIRECT("'数据-取费表'!ah"&amp;$G$1)="",INDIRECT("'数据-取费表'!k"&amp;$G$1),INDIRECT("'数据-取费表'!ah"&amp;$G$1))</f>
        <v>0</v>
      </c>
      <c r="G7" s="1562"/>
      <c r="H7" s="309"/>
      <c r="I7" s="3299"/>
      <c r="J7" s="311"/>
      <c r="K7" s="312"/>
      <c r="L7" s="307" t="s">
        <v>1371</v>
      </c>
      <c r="M7" s="308">
        <f ca="1">F7</f>
        <v>0</v>
      </c>
    </row>
    <row r="8" spans="1:37" ht="18" customHeight="1">
      <c r="A8" s="309"/>
      <c r="B8" s="3299"/>
      <c r="C8" s="311"/>
      <c r="D8" s="312"/>
      <c r="E8" s="307" t="s">
        <v>1372</v>
      </c>
      <c r="F8" s="308">
        <f ca="1">INDIRECT("'数据-取费表'!ai"&amp;$G$1)</f>
        <v>0</v>
      </c>
      <c r="G8" s="1562"/>
      <c r="H8" s="309"/>
      <c r="I8" s="3299"/>
      <c r="J8" s="311"/>
      <c r="K8" s="312"/>
      <c r="L8" s="307" t="s">
        <v>1372</v>
      </c>
      <c r="M8" s="308">
        <f ca="1">INDIRECT("'数据-取费表'!ai"&amp;$G$1)</f>
        <v>0</v>
      </c>
    </row>
    <row r="9" spans="1:37" ht="18" customHeight="1">
      <c r="A9" s="309"/>
      <c r="B9" s="3300"/>
      <c r="C9" s="311"/>
      <c r="D9" s="312"/>
      <c r="E9" s="307" t="s">
        <v>1373</v>
      </c>
      <c r="F9" s="317">
        <f ca="1">INDIRECT("'数据-取费表'!w"&amp;$G$1)</f>
        <v>0</v>
      </c>
      <c r="G9" s="1562"/>
      <c r="H9" s="309"/>
      <c r="I9" s="3300"/>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c r="G10" s="1562"/>
      <c r="H10" s="1194" t="s">
        <v>1007</v>
      </c>
      <c r="I10" s="1543" t="s">
        <v>1374</v>
      </c>
      <c r="J10" s="306">
        <f ca="1">ROUND(IF(M10="押一",J6/12*M11,IF(M10="押二",J6/12*2*M11,IF(M10="押三",J6/12*3*M11,J11*M11))),0)</f>
        <v>0</v>
      </c>
      <c r="K10" s="1555" t="s">
        <v>2857</v>
      </c>
      <c r="L10" s="318" t="s">
        <v>1375</v>
      </c>
      <c r="M10" s="1269"/>
    </row>
    <row r="11" spans="1:37" ht="18" customHeight="1">
      <c r="A11" s="313"/>
      <c r="B11" s="1545" t="s">
        <v>1567</v>
      </c>
      <c r="C11" s="1083"/>
      <c r="D11" s="312"/>
      <c r="E11" s="318" t="s">
        <v>1377</v>
      </c>
      <c r="F11" s="319">
        <f ca="1">'数据-取费表'!B39</f>
        <v>1.4999999999999999E-2</v>
      </c>
      <c r="G11" s="1562"/>
      <c r="H11" s="1202"/>
      <c r="I11" s="1545" t="s">
        <v>1568</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2"/>
      <c r="H13" s="1232">
        <v>2</v>
      </c>
      <c r="I13" s="1233" t="s">
        <v>1379</v>
      </c>
      <c r="J13" s="1193">
        <f ca="1">ROUND(J14*J15,0)</f>
        <v>0</v>
      </c>
      <c r="K13" s="1240" t="s">
        <v>1380</v>
      </c>
      <c r="L13" s="1570"/>
      <c r="M13" s="1571"/>
    </row>
    <row r="14" spans="1:37" ht="18" customHeight="1">
      <c r="A14" s="1106" t="s">
        <v>1002</v>
      </c>
      <c r="B14" s="307" t="s">
        <v>1382</v>
      </c>
      <c r="C14" s="323">
        <f ca="1">ROUND(INDIRECT("'数据-取费表'!l"&amp;$G$1)*F43+'数据-取费表'!L14*INDIRECT("'数据-取费表'!S"&amp;$G$1),0)</f>
        <v>0</v>
      </c>
      <c r="D14" s="1523" t="s">
        <v>1383</v>
      </c>
      <c r="E14" s="1520"/>
      <c r="F14" s="324"/>
      <c r="G14" s="1562"/>
      <c r="H14" s="1106" t="s">
        <v>1003</v>
      </c>
      <c r="I14" s="307" t="s">
        <v>1384</v>
      </c>
      <c r="J14" s="24">
        <f ca="1">C29</f>
        <v>0</v>
      </c>
      <c r="K14" s="15"/>
      <c r="L14" s="909"/>
      <c r="M14" s="910"/>
    </row>
    <row r="15" spans="1:37" s="1575" customFormat="1" ht="18" customHeight="1" thickBot="1">
      <c r="A15" s="1106" t="s">
        <v>1004</v>
      </c>
      <c r="B15" s="307" t="s">
        <v>1385</v>
      </c>
      <c r="C15" s="24">
        <f ca="1">ROUND(C14*F15,0)</f>
        <v>0</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2"/>
      <c r="H16" s="1232" t="s">
        <v>998</v>
      </c>
      <c r="I16" s="1233" t="s">
        <v>1389</v>
      </c>
      <c r="J16" s="315">
        <f ca="1">ROUND(J17+J22+J23+J24,0)</f>
        <v>0</v>
      </c>
      <c r="K16" s="1240" t="s">
        <v>1390</v>
      </c>
      <c r="L16" s="1241"/>
      <c r="M16" s="1197"/>
    </row>
    <row r="17" spans="1:37" s="1575" customFormat="1" ht="18" customHeight="1">
      <c r="A17" s="1106" t="s">
        <v>1355</v>
      </c>
      <c r="B17" s="307" t="s">
        <v>1391</v>
      </c>
      <c r="C17" s="24">
        <f ca="1">ROUND(F17*(F43+INDIRECT("'数据-取费表'!S"&amp;$G$1)),0)</f>
        <v>0</v>
      </c>
      <c r="D17" s="307" t="s">
        <v>1392</v>
      </c>
      <c r="E17" s="307" t="s">
        <v>1393</v>
      </c>
      <c r="F17" s="26">
        <f>'数据-取费表'!B35</f>
        <v>200</v>
      </c>
      <c r="G17" s="1574"/>
      <c r="H17" s="1106"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0</v>
      </c>
      <c r="D18" s="307" t="s">
        <v>1386</v>
      </c>
      <c r="E18" s="307" t="s">
        <v>1387</v>
      </c>
      <c r="F18" s="327">
        <f>'数据-取费表'!B36</f>
        <v>1.4999999999999999E-2</v>
      </c>
      <c r="G18" s="1574"/>
      <c r="H18" s="1106" t="s">
        <v>1002</v>
      </c>
      <c r="I18" s="307" t="s">
        <v>1398</v>
      </c>
      <c r="J18" s="24">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0</v>
      </c>
      <c r="D19" s="135" t="s">
        <v>1401</v>
      </c>
      <c r="E19" s="1538"/>
      <c r="F19" s="26"/>
      <c r="G19" s="1562"/>
      <c r="H19" s="1106" t="s">
        <v>1004</v>
      </c>
      <c r="I19" s="307" t="s">
        <v>1402</v>
      </c>
      <c r="J19" s="24">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6" t="s">
        <v>1007</v>
      </c>
      <c r="B20" s="307" t="s">
        <v>1404</v>
      </c>
      <c r="C20" s="24">
        <f ca="1">ROUND(C19*F20,0)</f>
        <v>0</v>
      </c>
      <c r="D20" s="328" t="s">
        <v>1405</v>
      </c>
      <c r="E20" s="307" t="s">
        <v>1387</v>
      </c>
      <c r="F20" s="327">
        <f>'数据-取费表'!B37</f>
        <v>0.02</v>
      </c>
      <c r="G20" s="1574"/>
      <c r="H20" s="1106" t="s">
        <v>1354</v>
      </c>
      <c r="I20" s="159" t="s">
        <v>1406</v>
      </c>
      <c r="J20" s="25">
        <f ca="1">ROUND(M20*M21,0)</f>
        <v>0</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v>
      </c>
      <c r="D21" s="328" t="s">
        <v>1410</v>
      </c>
      <c r="E21" s="307" t="s">
        <v>1411</v>
      </c>
      <c r="F21" s="327">
        <f>'数据-取费表'!B38</f>
        <v>0.02</v>
      </c>
      <c r="G21" s="1574"/>
      <c r="H21" s="331"/>
      <c r="I21" s="316"/>
      <c r="J21" s="29"/>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ROUND(J14*M22,0)</f>
        <v>0</v>
      </c>
      <c r="K22" s="1522" t="s">
        <v>1415</v>
      </c>
      <c r="L22" s="307" t="s">
        <v>1387</v>
      </c>
      <c r="M22" s="333">
        <f ca="1">INDIRECT("'数据-取费表'!Ak"&amp;$G$1)</f>
        <v>0</v>
      </c>
    </row>
    <row r="23" spans="1:37" s="1575"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ROUND(J5*M24,0)</f>
        <v>0</v>
      </c>
      <c r="K24" s="1245" t="s">
        <v>1424</v>
      </c>
      <c r="L24" s="1243" t="s">
        <v>1420</v>
      </c>
      <c r="M24" s="1239">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6" t="s">
        <v>1425</v>
      </c>
      <c r="B25" s="307" t="s">
        <v>1426</v>
      </c>
      <c r="C25" s="24"/>
      <c r="D25" s="135" t="s">
        <v>1427</v>
      </c>
      <c r="E25" s="1538"/>
      <c r="F25" s="26"/>
      <c r="G25" s="1562"/>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0</v>
      </c>
      <c r="D29" s="1245"/>
      <c r="E29" s="1243"/>
      <c r="F29" s="1246"/>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0</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IF(项目基本情况!B11="自然人","——",ROUND(C6*F32/(1+'数据-取费表'!C42),0))</f>
        <v>0</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19"/>
      <c r="I33" s="1576"/>
      <c r="J33" s="1577"/>
      <c r="K33" s="2920"/>
      <c r="L33" s="2919"/>
      <c r="M33" s="2919"/>
    </row>
    <row r="34" spans="1:18" ht="18" customHeight="1">
      <c r="A34" s="1194" t="s">
        <v>1354</v>
      </c>
      <c r="B34" s="159" t="s">
        <v>1406</v>
      </c>
      <c r="C34" s="25">
        <f ca="1">IF(项目基本情况!B11="自然人","——",ROUND(F34*F35,))</f>
        <v>0</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0</v>
      </c>
      <c r="G35" s="1562"/>
      <c r="H35" s="2916"/>
      <c r="I35" s="1576"/>
      <c r="J35" s="1577"/>
      <c r="K35" s="2920"/>
      <c r="L35" s="2919"/>
      <c r="M35" s="2919"/>
    </row>
    <row r="36" spans="1:18" ht="18" customHeight="1">
      <c r="A36" s="1255" t="s">
        <v>1007</v>
      </c>
      <c r="B36" s="307" t="s">
        <v>1414</v>
      </c>
      <c r="C36" s="24">
        <f ca="1">ROUND(C29*F36,0)</f>
        <v>0</v>
      </c>
      <c r="D36" s="1522" t="s">
        <v>1447</v>
      </c>
      <c r="E36" s="307" t="s">
        <v>1387</v>
      </c>
      <c r="F36" s="333">
        <f ca="1">INDIRECT("'数据-取费表'!Ak"&amp;$G$1)</f>
        <v>0</v>
      </c>
      <c r="G36" s="1562"/>
      <c r="H36" s="2919"/>
      <c r="I36" s="1576"/>
      <c r="J36" s="1577"/>
      <c r="K36" s="2760"/>
      <c r="L36" s="2919"/>
      <c r="M36" s="2919"/>
    </row>
    <row r="37" spans="1:18" ht="18" customHeight="1">
      <c r="A37" s="1106" t="s">
        <v>1043</v>
      </c>
      <c r="B37" s="307" t="s">
        <v>1418</v>
      </c>
      <c r="C37" s="24">
        <f ca="1">ROUND(C13*F37,0)</f>
        <v>0</v>
      </c>
      <c r="D37" s="1522" t="s">
        <v>1419</v>
      </c>
      <c r="E37" s="307" t="s">
        <v>1420</v>
      </c>
      <c r="F37" s="335">
        <f ca="1">INDIRECT("'数据-取费表'!Al"&amp;$G$1)</f>
        <v>0</v>
      </c>
      <c r="G37" s="1562"/>
      <c r="H37" s="2919"/>
      <c r="I37" s="1576"/>
      <c r="J37" s="1577"/>
      <c r="K37" s="2760"/>
      <c r="L37" s="2919"/>
      <c r="M37" s="2919"/>
    </row>
    <row r="38" spans="1:18" ht="18" customHeight="1" thickBot="1">
      <c r="A38" s="1242" t="s">
        <v>1358</v>
      </c>
      <c r="B38" s="1243" t="s">
        <v>1404</v>
      </c>
      <c r="C38" s="1244">
        <f ca="1">ROUND(C5*F38,1)</f>
        <v>0</v>
      </c>
      <c r="D38" s="1245" t="s">
        <v>1424</v>
      </c>
      <c r="E38" s="1243" t="s">
        <v>1420</v>
      </c>
      <c r="F38" s="1239">
        <f ca="1">INDIRECT("'数据-取费表'!Am"&amp;$G$1)</f>
        <v>0</v>
      </c>
      <c r="G38" s="1562"/>
      <c r="H38" s="2919"/>
      <c r="I38" s="1576"/>
      <c r="J38" s="1577"/>
      <c r="K38" s="2923"/>
      <c r="L38" s="2919"/>
      <c r="M38" s="2919"/>
    </row>
    <row r="39" spans="1:18" ht="24.6" customHeight="1" thickTop="1">
      <c r="A39" s="1232" t="s">
        <v>999</v>
      </c>
      <c r="B39" s="1247" t="s">
        <v>1448</v>
      </c>
      <c r="C39" s="315">
        <f ca="1">C5-C30</f>
        <v>0</v>
      </c>
      <c r="D39" s="1248" t="s">
        <v>1449</v>
      </c>
      <c r="E39" s="1249"/>
      <c r="F39" s="1250"/>
      <c r="G39" s="1562"/>
      <c r="H39" s="2919"/>
      <c r="I39" s="1576"/>
      <c r="J39" s="1577"/>
      <c r="K39" s="2923"/>
      <c r="L39" s="2919"/>
      <c r="M39" s="2919"/>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5"/>
      <c r="I41" s="1576"/>
      <c r="J41" s="1577"/>
      <c r="K41" s="2760"/>
      <c r="L41" s="1345"/>
      <c r="M41" s="1345"/>
    </row>
    <row r="42" spans="1:18" ht="18" customHeight="1">
      <c r="A42" s="313"/>
      <c r="B42" s="314"/>
      <c r="C42" s="315"/>
      <c r="D42" s="332"/>
      <c r="E42" s="307" t="s">
        <v>1442</v>
      </c>
      <c r="F42" s="317">
        <f ca="1">INDIRECT("'数据-取费表'!v"&amp;$G$1)</f>
        <v>0</v>
      </c>
      <c r="G42" s="1562"/>
      <c r="H42" s="1345"/>
      <c r="I42" s="1576"/>
      <c r="J42" s="1577"/>
      <c r="K42" s="2760"/>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0" t="s">
        <v>1361</v>
      </c>
      <c r="B47" s="1102" t="s">
        <v>1362</v>
      </c>
      <c r="C47" s="1102" t="s">
        <v>1363</v>
      </c>
      <c r="D47" s="1102" t="s">
        <v>1364</v>
      </c>
      <c r="E47" s="1182" t="s">
        <v>1365</v>
      </c>
      <c r="F47" s="1183"/>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3" t="s">
        <v>1103</v>
      </c>
      <c r="B48" s="305" t="s">
        <v>1366</v>
      </c>
      <c r="C48" s="1537">
        <f ca="1">C49+C53+C55</f>
        <v>0</v>
      </c>
      <c r="D48" s="1265"/>
      <c r="E48" s="1266"/>
      <c r="F48" s="1086"/>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099" t="s">
        <v>1104</v>
      </c>
      <c r="B49" s="1549" t="s">
        <v>1455</v>
      </c>
      <c r="C49" s="1267">
        <f ca="1">ROUND(F49*F51*F50*(1-F52),0)</f>
        <v>0</v>
      </c>
      <c r="D49" s="1179" t="s">
        <v>1369</v>
      </c>
      <c r="E49" s="1550" t="s">
        <v>1456</v>
      </c>
      <c r="F49" s="1184"/>
      <c r="G49" s="1603"/>
      <c r="H49" s="731"/>
      <c r="I49" s="1599" t="s">
        <v>1499</v>
      </c>
      <c r="J49" s="1604"/>
      <c r="K49" s="1601" t="s">
        <v>1500</v>
      </c>
      <c r="L49" s="1605"/>
      <c r="O49" s="1606" t="s">
        <v>1010</v>
      </c>
      <c r="P49" s="1597" t="s">
        <v>1501</v>
      </c>
      <c r="Q49" s="1598">
        <f ca="1">C29</f>
        <v>0</v>
      </c>
      <c r="R49" s="1598" t="s">
        <v>1494</v>
      </c>
    </row>
    <row r="50" spans="1:18" s="1562" customFormat="1" ht="13.5" thickBot="1">
      <c r="A50" s="1100"/>
      <c r="B50" s="1103"/>
      <c r="C50" s="1104"/>
      <c r="D50" s="1077"/>
      <c r="E50" s="1180" t="s">
        <v>1371</v>
      </c>
      <c r="F50" s="1181">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1"/>
      <c r="B51" s="1103"/>
      <c r="C51" s="1104"/>
      <c r="D51" s="1077"/>
      <c r="E51" s="1105"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1"/>
      <c r="B52" s="1103"/>
      <c r="C52" s="1104"/>
      <c r="D52" s="1077"/>
      <c r="E52" s="1105" t="s">
        <v>1373</v>
      </c>
      <c r="F52" s="1178"/>
      <c r="I52" s="1615" t="s">
        <v>1508</v>
      </c>
      <c r="J52" s="1616"/>
      <c r="K52" s="1615" t="s">
        <v>1509</v>
      </c>
      <c r="L52" s="1616"/>
      <c r="O52" s="1606" t="s">
        <v>1013</v>
      </c>
      <c r="P52" s="1597" t="s">
        <v>1510</v>
      </c>
      <c r="Q52" s="1598">
        <f ca="1">J53</f>
        <v>-1.2</v>
      </c>
      <c r="R52" s="1598" t="s">
        <v>1511</v>
      </c>
    </row>
    <row r="53" spans="1:18" s="1562" customFormat="1" ht="30.75" customHeight="1" thickBot="1">
      <c r="A53" s="1264" t="s">
        <v>1105</v>
      </c>
      <c r="B53" s="328" t="s">
        <v>1374</v>
      </c>
      <c r="C53" s="321">
        <f ca="1">ROUND(IF(F53="押一",C49/12*F11,IF(F53="押二",C49/12*2*F11,IF(F53="押三",C49/12*3*F11,C54*F11))),0)</f>
        <v>0</v>
      </c>
      <c r="D53" s="1544" t="s">
        <v>2858</v>
      </c>
      <c r="E53" s="318" t="s">
        <v>1375</v>
      </c>
      <c r="F53" s="1269"/>
      <c r="I53" s="1617" t="s">
        <v>1512</v>
      </c>
      <c r="J53" s="2379">
        <f ca="1">IF(M47="住宅",IF(D1="——",MAX(J51,L48),MAX(J51,L48-'数据-取费表'!B24)),IF(D1="——",MIN(J51,L48),MIN(J51,L48-'数据-取费表'!B24)))</f>
        <v>-1.2</v>
      </c>
      <c r="K53" s="3301" t="s">
        <v>1513</v>
      </c>
      <c r="L53" s="3302"/>
      <c r="O53" s="1596" t="s">
        <v>1014</v>
      </c>
      <c r="P53" s="1597" t="s">
        <v>1514</v>
      </c>
      <c r="Q53" s="1598" t="e">
        <f ca="1">Q47+Q48</f>
        <v>#DIV/0!</v>
      </c>
      <c r="R53" s="1598" t="s">
        <v>1015</v>
      </c>
    </row>
    <row r="54" spans="1:18" s="1562" customFormat="1" ht="13.5" thickBot="1">
      <c r="A54" s="1099"/>
      <c r="B54" s="1652" t="s">
        <v>1568</v>
      </c>
      <c r="C54" s="1083"/>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1">
        <v>2</v>
      </c>
      <c r="B56" s="1082"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4"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2" t="s">
        <v>1389</v>
      </c>
      <c r="C58" s="321">
        <f ca="1">ROUND(C59+C64+C65+C66,0)</f>
        <v>0</v>
      </c>
      <c r="D58" s="1084" t="s">
        <v>1390</v>
      </c>
      <c r="E58" s="1085"/>
      <c r="F58" s="1086"/>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0</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IF(项目基本情况!B11="自然人","——",IF(D61="按租金收入计税",ROUND(C48*F61,0),IF(D61="按房产原值计税",ROUND(C57*F61*0.7,0),INDIRECT("'数据-取费表'!Aj"&amp;$G$1))))</f>
        <v>0</v>
      </c>
      <c r="D61" s="1548" t="s">
        <v>1403</v>
      </c>
      <c r="E61" s="1074"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IF(项目基本情况!B11="自然人","——",ROUND(F62*F63,0))</f>
        <v>0</v>
      </c>
      <c r="D62" s="1089" t="s">
        <v>1462</v>
      </c>
      <c r="E62" s="1074" t="s">
        <v>1463</v>
      </c>
      <c r="F62" s="330">
        <f t="shared" si="0"/>
        <v>3</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0"/>
      <c r="C63" s="29"/>
      <c r="D63" s="1090"/>
      <c r="E63" s="1074"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ROUND(C57*F64,0)</f>
        <v>0</v>
      </c>
      <c r="D64" s="1088" t="s">
        <v>1467</v>
      </c>
      <c r="E64" s="1074"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ROUND(C56*F65,0)</f>
        <v>0</v>
      </c>
      <c r="D65" s="1088" t="s">
        <v>1419</v>
      </c>
      <c r="E65" s="1074"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6" t="s">
        <v>1469</v>
      </c>
      <c r="B66" s="1074" t="s">
        <v>1404</v>
      </c>
      <c r="C66" s="24">
        <f ca="1">ROUND(C48*F66,0)</f>
        <v>0</v>
      </c>
      <c r="D66" s="1088" t="s">
        <v>1470</v>
      </c>
      <c r="E66" s="1074" t="s">
        <v>1387</v>
      </c>
      <c r="F66" s="317">
        <f t="shared" ca="1" si="0"/>
        <v>0</v>
      </c>
      <c r="O66" s="1596" t="s">
        <v>1009</v>
      </c>
      <c r="P66" s="1597" t="s">
        <v>1523</v>
      </c>
      <c r="Q66" s="1598" t="e">
        <f ca="1">L60</f>
        <v>#DIV/0!</v>
      </c>
      <c r="R66" s="1598" t="s">
        <v>1546</v>
      </c>
    </row>
    <row r="67" spans="1:18" s="1562" customFormat="1" ht="16.5" thickBot="1">
      <c r="A67" s="1081" t="s">
        <v>999</v>
      </c>
      <c r="B67" s="1091" t="s">
        <v>1428</v>
      </c>
      <c r="C67" s="321">
        <f ca="1">C48-C58</f>
        <v>0</v>
      </c>
      <c r="D67" s="1087" t="s">
        <v>1429</v>
      </c>
      <c r="E67" s="1092"/>
      <c r="F67" s="1093"/>
      <c r="O67" s="1606" t="s">
        <v>1010</v>
      </c>
      <c r="P67" s="1597" t="s">
        <v>1527</v>
      </c>
      <c r="Q67" s="1644">
        <f ca="1">L51</f>
        <v>0</v>
      </c>
      <c r="R67" s="1598" t="s">
        <v>1547</v>
      </c>
    </row>
    <row r="68" spans="1:18" s="1562" customFormat="1" ht="16.5" thickBot="1">
      <c r="A68" s="1071" t="s">
        <v>1000</v>
      </c>
      <c r="B68" s="1072" t="s">
        <v>1450</v>
      </c>
      <c r="C68" s="306" t="e">
        <f ca="1">ROUND(C67*(1-((1+F70)/(1+F68))^F69)/(F68-F70),0)</f>
        <v>#DIV/0!</v>
      </c>
      <c r="D68" s="1089" t="s">
        <v>1434</v>
      </c>
      <c r="E68" s="1074" t="s">
        <v>1435</v>
      </c>
      <c r="F68" s="317">
        <f ca="1">F40</f>
        <v>0</v>
      </c>
      <c r="O68" s="1606" t="s">
        <v>1011</v>
      </c>
      <c r="P68" s="1645" t="s">
        <v>1548</v>
      </c>
      <c r="Q68" s="1598">
        <f ca="1">ROUND(Q69-Q70*Q71,0)</f>
        <v>0</v>
      </c>
      <c r="R68" s="1598" t="s">
        <v>1019</v>
      </c>
    </row>
    <row r="69" spans="1:18" s="1562" customFormat="1" ht="13.5" thickBot="1">
      <c r="A69" s="1075"/>
      <c r="B69" s="1076"/>
      <c r="C69" s="311"/>
      <c r="D69" s="1094" t="s">
        <v>1438</v>
      </c>
      <c r="E69" s="1074" t="s">
        <v>1439</v>
      </c>
      <c r="F69" s="338">
        <f ca="1">F41</f>
        <v>0</v>
      </c>
      <c r="O69" s="1606" t="s">
        <v>1016</v>
      </c>
      <c r="P69" s="1645" t="s">
        <v>1549</v>
      </c>
      <c r="Q69" s="1598">
        <f ca="1">C39</f>
        <v>0</v>
      </c>
      <c r="R69" s="1598" t="s">
        <v>1494</v>
      </c>
    </row>
    <row r="70" spans="1:18" s="1562" customFormat="1" ht="13.5" thickBot="1">
      <c r="A70" s="1078"/>
      <c r="B70" s="1079"/>
      <c r="C70" s="315"/>
      <c r="D70" s="1090"/>
      <c r="E70" s="1074" t="s">
        <v>1442</v>
      </c>
      <c r="F70" s="1178">
        <f ca="1">F42</f>
        <v>0</v>
      </c>
      <c r="O70" s="1606" t="s">
        <v>1017</v>
      </c>
      <c r="P70" s="1645" t="s">
        <v>1550</v>
      </c>
      <c r="Q70" s="1598">
        <f ca="1">C13</f>
        <v>0</v>
      </c>
      <c r="R70" s="1598" t="s">
        <v>1494</v>
      </c>
    </row>
    <row r="71" spans="1:18" s="1562" customFormat="1" ht="13.5" thickBot="1">
      <c r="A71" s="1095" t="s">
        <v>1001</v>
      </c>
      <c r="B71" s="1096" t="s">
        <v>1452</v>
      </c>
      <c r="C71" s="341" t="e">
        <f ca="1">ROUND(C68/F71,0)</f>
        <v>#DIV/0!</v>
      </c>
      <c r="D71" s="1097" t="s">
        <v>1453</v>
      </c>
      <c r="E71" s="1098"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2344</v>
      </c>
      <c r="B1" s="2047"/>
      <c r="C1" s="2047"/>
      <c r="D1" s="2047"/>
      <c r="E1" s="2048"/>
      <c r="F1" s="2926"/>
      <c r="G1" s="1668"/>
      <c r="H1" s="1668"/>
      <c r="I1" s="1668"/>
      <c r="J1" s="1668"/>
      <c r="K1" s="1668"/>
      <c r="L1" s="1668"/>
      <c r="M1" s="1668"/>
      <c r="N1" s="1668"/>
      <c r="O1" s="1668"/>
      <c r="P1" s="1668"/>
      <c r="Q1" s="1668"/>
      <c r="R1" s="1668"/>
      <c r="S1" s="1668"/>
    </row>
    <row r="2" spans="1:22" ht="15.75">
      <c r="A2" s="2049" t="s">
        <v>2148</v>
      </c>
      <c r="B2" s="2050">
        <f ca="1">SUMIF(B6:B13,"&lt;&gt;#ref!",B6:B13)</f>
        <v>288500</v>
      </c>
      <c r="C2" s="2051" t="s">
        <v>2337</v>
      </c>
      <c r="D2" s="2052" t="s">
        <v>2338</v>
      </c>
      <c r="E2" s="2823">
        <f>SUM(E6:E13)</f>
        <v>101002.04000000001</v>
      </c>
      <c r="F2" s="2926"/>
      <c r="G2" s="1668"/>
      <c r="H2" s="1668"/>
      <c r="I2" s="1668"/>
      <c r="J2" s="1668"/>
      <c r="K2" s="1668"/>
      <c r="L2" s="1668"/>
      <c r="M2" s="1668"/>
      <c r="N2" s="1668"/>
      <c r="O2" s="1668"/>
      <c r="P2" s="1668"/>
      <c r="Q2" s="1668"/>
      <c r="R2" s="1668"/>
      <c r="S2" s="1668"/>
    </row>
    <row r="3" spans="1:22" ht="15.75">
      <c r="A3" s="2049" t="s">
        <v>1360</v>
      </c>
      <c r="B3" s="2817">
        <f ca="1">ROUND(B2*10000/E2,0)</f>
        <v>28564</v>
      </c>
      <c r="C3" s="2051" t="s">
        <v>2345</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2339</v>
      </c>
      <c r="B5" s="3303" t="s">
        <v>2340</v>
      </c>
      <c r="C5" s="3304"/>
      <c r="D5" s="2927"/>
      <c r="E5" s="2053" t="s">
        <v>2341</v>
      </c>
      <c r="F5" s="2054" t="s">
        <v>2342</v>
      </c>
      <c r="G5" s="1668"/>
      <c r="H5" s="1668"/>
      <c r="I5" s="1668"/>
      <c r="J5" s="1668"/>
      <c r="K5" s="1668"/>
      <c r="L5" s="1668"/>
      <c r="M5" s="1668"/>
      <c r="N5" s="1668"/>
      <c r="O5" s="1668"/>
      <c r="P5" s="1668"/>
      <c r="Q5" s="1668"/>
      <c r="R5" s="1668"/>
      <c r="S5" s="1668"/>
    </row>
    <row r="6" spans="1:22">
      <c r="A6" s="2820" t="str">
        <f>'数据-取费表'!AN6</f>
        <v>收益法-住宅</v>
      </c>
      <c r="B6" s="2818">
        <f ca="1">IF(F6="是",'数据-取费表'!AO6,0)</f>
        <v>237325</v>
      </c>
      <c r="C6" s="2051" t="s">
        <v>2337</v>
      </c>
      <c r="D6" s="2928"/>
      <c r="E6" s="2822">
        <f>IF(OR(A6=0,F6="否"),0,'数据-取费表'!K6+'数据-取费表'!S6)</f>
        <v>58551.750000000007</v>
      </c>
      <c r="F6" s="2055" t="s">
        <v>2343</v>
      </c>
      <c r="G6" s="1668"/>
      <c r="H6" s="1668"/>
      <c r="I6" s="1668"/>
      <c r="J6" s="1668"/>
      <c r="K6" s="1668"/>
      <c r="L6" s="1668"/>
      <c r="M6" s="1668"/>
      <c r="N6" s="1668"/>
      <c r="O6" s="1668"/>
      <c r="P6" s="1668"/>
      <c r="Q6" s="1668"/>
      <c r="R6" s="1668"/>
      <c r="S6" s="1668"/>
    </row>
    <row r="7" spans="1:22">
      <c r="A7" s="2820" t="str">
        <f>'数据-取费表'!AN7</f>
        <v>收益法-仓储</v>
      </c>
      <c r="B7" s="2818">
        <f ca="1">IF(F7="是",'数据-取费表'!AO7,0)</f>
        <v>45575</v>
      </c>
      <c r="C7" s="2051" t="s">
        <v>2337</v>
      </c>
      <c r="D7" s="2928"/>
      <c r="E7" s="2822">
        <f>IF(OR(A7=0,F7="否"),0,'数据-取费表'!K7+'数据-取费表'!S7)</f>
        <v>27805.29</v>
      </c>
      <c r="F7" s="2055" t="s">
        <v>2343</v>
      </c>
      <c r="G7" s="1668"/>
      <c r="H7" s="1668"/>
      <c r="I7" s="1668"/>
      <c r="J7" s="1668"/>
      <c r="K7" s="1668"/>
      <c r="L7" s="1668"/>
      <c r="M7" s="1668"/>
      <c r="N7" s="1668"/>
      <c r="O7" s="1668"/>
      <c r="P7" s="1668"/>
      <c r="Q7" s="1668"/>
      <c r="R7" s="1668"/>
      <c r="S7" s="1668"/>
    </row>
    <row r="8" spans="1:22">
      <c r="A8" s="2820" t="str">
        <f>'数据-取费表'!AN8</f>
        <v>收益法-车库</v>
      </c>
      <c r="B8" s="2818">
        <f ca="1">IF(F8="是",'数据-取费表'!AO8,0)</f>
        <v>5600</v>
      </c>
      <c r="C8" s="2051" t="s">
        <v>2337</v>
      </c>
      <c r="D8" s="2928"/>
      <c r="E8" s="2822">
        <f>IF(OR(A8=0,F8="否"),0,'数据-取费表'!K8+'数据-取费表'!S8)</f>
        <v>14645</v>
      </c>
      <c r="F8" s="2055" t="s">
        <v>2343</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2337</v>
      </c>
      <c r="D9" s="2928"/>
      <c r="E9" s="2822">
        <f>IF(OR(A9=0,F9="否"),0,'数据-取费表'!K9+'数据-取费表'!S9)</f>
        <v>0</v>
      </c>
      <c r="F9" s="2055" t="s">
        <v>2343</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2337</v>
      </c>
      <c r="D10" s="2928"/>
      <c r="E10" s="2822">
        <f>IF(OR(A10=0,F10="否"),0,'数据-取费表'!K10+'数据-取费表'!S10)</f>
        <v>0</v>
      </c>
      <c r="F10" s="2055" t="s">
        <v>2343</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2337</v>
      </c>
      <c r="D11" s="2928"/>
      <c r="E11" s="2822">
        <f>IF(OR(A11=0,F11="否"),0,'数据-取费表'!K11+'数据-取费表'!S11)</f>
        <v>0</v>
      </c>
      <c r="F11" s="2055" t="s">
        <v>2343</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2337</v>
      </c>
      <c r="D12" s="2928"/>
      <c r="E12" s="2822">
        <f>IF(OR(A12=0,F12="否"),0,'数据-取费表'!K12+'数据-取费表'!S12)</f>
        <v>0</v>
      </c>
      <c r="F12" s="2055" t="s">
        <v>2343</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2337</v>
      </c>
      <c r="D13" s="2929"/>
      <c r="E13" s="2822">
        <f>IF(OR(A13=0,F13="否"),0,'数据-取费表'!K13+'数据-取费表'!S13)</f>
        <v>0</v>
      </c>
      <c r="F13" s="2055" t="s">
        <v>2343</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310" t="s">
        <v>1045</v>
      </c>
      <c r="B2" s="3311" t="s">
        <v>1046</v>
      </c>
      <c r="C2" s="3311"/>
      <c r="D2" s="1204" t="s">
        <v>1047</v>
      </c>
      <c r="E2" s="1204" t="s">
        <v>1048</v>
      </c>
      <c r="F2" s="1204" t="s">
        <v>1049</v>
      </c>
      <c r="G2" s="1204" t="s">
        <v>1050</v>
      </c>
      <c r="H2" s="1204" t="s">
        <v>1051</v>
      </c>
      <c r="I2" s="1205" t="s">
        <v>1052</v>
      </c>
    </row>
    <row r="3" spans="1:9">
      <c r="A3" s="3310"/>
      <c r="B3" s="3311" t="s">
        <v>1053</v>
      </c>
      <c r="C3" s="3311"/>
      <c r="D3" s="1206"/>
      <c r="E3" s="1204"/>
      <c r="F3" s="1207"/>
      <c r="G3" s="1207"/>
      <c r="H3" s="1208"/>
      <c r="I3" s="1209">
        <f>ROUND(D3*E3*F3*G3*H3/10000,0)</f>
        <v>0</v>
      </c>
    </row>
    <row r="4" spans="1:9">
      <c r="A4" s="3310"/>
      <c r="B4" s="3311" t="s">
        <v>1054</v>
      </c>
      <c r="C4" s="3311"/>
      <c r="D4" s="1206"/>
      <c r="E4" s="1204"/>
      <c r="F4" s="1207"/>
      <c r="G4" s="1207"/>
      <c r="H4" s="1208"/>
      <c r="I4" s="1209">
        <f t="shared" ref="I4:I9" si="0">ROUND(D4*E4*F4*G4*H4/10000,0)</f>
        <v>0</v>
      </c>
    </row>
    <row r="5" spans="1:9">
      <c r="A5" s="3310"/>
      <c r="B5" s="3311" t="s">
        <v>1055</v>
      </c>
      <c r="C5" s="3311"/>
      <c r="D5" s="1206"/>
      <c r="E5" s="1204"/>
      <c r="F5" s="1207"/>
      <c r="G5" s="1207"/>
      <c r="H5" s="1208"/>
      <c r="I5" s="1209">
        <f t="shared" si="0"/>
        <v>0</v>
      </c>
    </row>
    <row r="6" spans="1:9">
      <c r="A6" s="3310"/>
      <c r="B6" s="3311" t="s">
        <v>1056</v>
      </c>
      <c r="C6" s="3311"/>
      <c r="D6" s="1206"/>
      <c r="E6" s="1204"/>
      <c r="F6" s="1207"/>
      <c r="G6" s="1207"/>
      <c r="H6" s="1208"/>
      <c r="I6" s="1209">
        <f t="shared" si="0"/>
        <v>0</v>
      </c>
    </row>
    <row r="7" spans="1:9">
      <c r="A7" s="3310"/>
      <c r="B7" s="3311" t="s">
        <v>1057</v>
      </c>
      <c r="C7" s="3311"/>
      <c r="D7" s="1206"/>
      <c r="E7" s="1204"/>
      <c r="F7" s="1207"/>
      <c r="G7" s="1207"/>
      <c r="H7" s="1208"/>
      <c r="I7" s="1209">
        <f t="shared" si="0"/>
        <v>0</v>
      </c>
    </row>
    <row r="8" spans="1:9">
      <c r="A8" s="3310"/>
      <c r="B8" s="3311" t="s">
        <v>1058</v>
      </c>
      <c r="C8" s="3311"/>
      <c r="D8" s="1206"/>
      <c r="E8" s="1204"/>
      <c r="F8" s="1207"/>
      <c r="G8" s="1207"/>
      <c r="H8" s="1208"/>
      <c r="I8" s="1209">
        <f t="shared" si="0"/>
        <v>0</v>
      </c>
    </row>
    <row r="9" spans="1:9">
      <c r="A9" s="3310"/>
      <c r="B9" s="3311" t="s">
        <v>1059</v>
      </c>
      <c r="C9" s="3311"/>
      <c r="D9" s="1206"/>
      <c r="E9" s="1204"/>
      <c r="F9" s="1207"/>
      <c r="G9" s="1207"/>
      <c r="H9" s="1208"/>
      <c r="I9" s="1209">
        <f t="shared" si="0"/>
        <v>0</v>
      </c>
    </row>
    <row r="10" spans="1:9">
      <c r="A10" s="3310"/>
      <c r="B10" s="3312" t="s">
        <v>1060</v>
      </c>
      <c r="C10" s="3312"/>
      <c r="D10" s="1210"/>
      <c r="E10" s="1210" t="e">
        <f>ROUND(D1*10000/D10/H9,0)</f>
        <v>#DIV/0!</v>
      </c>
      <c r="F10" s="1211"/>
      <c r="G10" s="1211"/>
      <c r="H10" s="1212"/>
      <c r="I10" s="1213">
        <f>SUM(I3:I9)</f>
        <v>0</v>
      </c>
    </row>
    <row r="11" spans="1:9" ht="14.25">
      <c r="A11" s="3310" t="s">
        <v>1061</v>
      </c>
      <c r="B11" s="3311" t="s">
        <v>1062</v>
      </c>
      <c r="C11" s="3311"/>
      <c r="D11" s="1206" t="s">
        <v>1063</v>
      </c>
      <c r="E11" s="1206" t="s">
        <v>1064</v>
      </c>
      <c r="F11" s="1207" t="s">
        <v>1065</v>
      </c>
      <c r="G11" s="1207" t="s">
        <v>1051</v>
      </c>
      <c r="H11" s="1214" t="s">
        <v>1066</v>
      </c>
      <c r="I11" s="1205" t="s">
        <v>1052</v>
      </c>
    </row>
    <row r="12" spans="1:9">
      <c r="A12" s="3310"/>
      <c r="B12" s="3311" t="s">
        <v>1067</v>
      </c>
      <c r="C12" s="3311"/>
      <c r="D12" s="1206"/>
      <c r="E12" s="1206"/>
      <c r="F12" s="1207"/>
      <c r="G12" s="1208"/>
      <c r="H12" s="1215"/>
      <c r="I12" s="1205">
        <f>ROUND(D12*E12*F12*G12/10000,0)</f>
        <v>0</v>
      </c>
    </row>
    <row r="13" spans="1:9">
      <c r="A13" s="3310"/>
      <c r="B13" s="3311" t="s">
        <v>1068</v>
      </c>
      <c r="C13" s="3311"/>
      <c r="D13" s="1206"/>
      <c r="E13" s="1206"/>
      <c r="F13" s="1207"/>
      <c r="G13" s="1208"/>
      <c r="H13" s="1215"/>
      <c r="I13" s="1205">
        <f>ROUND(D13*E13*F13*G13/10000,0)</f>
        <v>0</v>
      </c>
    </row>
    <row r="14" spans="1:9">
      <c r="A14" s="3310"/>
      <c r="B14" s="3311" t="s">
        <v>1069</v>
      </c>
      <c r="C14" s="3311"/>
      <c r="D14" s="1206"/>
      <c r="E14" s="1206"/>
      <c r="F14" s="1207"/>
      <c r="G14" s="1208"/>
      <c r="H14" s="1215"/>
      <c r="I14" s="1205">
        <f>ROUND(D14*E14*F14*G14/10000,0)</f>
        <v>0</v>
      </c>
    </row>
    <row r="15" spans="1:9">
      <c r="A15" s="3310"/>
      <c r="B15" s="3312" t="s">
        <v>1060</v>
      </c>
      <c r="C15" s="3312"/>
      <c r="D15" s="1210"/>
      <c r="E15" s="1210">
        <f>SUM(E12:E14)</f>
        <v>0</v>
      </c>
      <c r="F15" s="1211"/>
      <c r="G15" s="1208"/>
      <c r="H15" s="1215"/>
      <c r="I15" s="1216">
        <f>SUM(I12:I14)</f>
        <v>0</v>
      </c>
    </row>
    <row r="16" spans="1:9" ht="24">
      <c r="A16" s="3310" t="s">
        <v>1070</v>
      </c>
      <c r="B16" s="3311" t="s">
        <v>1071</v>
      </c>
      <c r="C16" s="3311"/>
      <c r="D16" s="1206" t="s">
        <v>1047</v>
      </c>
      <c r="E16" s="1217" t="s">
        <v>1072</v>
      </c>
      <c r="F16" s="1207" t="s">
        <v>1073</v>
      </c>
      <c r="G16" s="1208" t="s">
        <v>1051</v>
      </c>
      <c r="H16" s="1214" t="s">
        <v>1066</v>
      </c>
      <c r="I16" s="1205" t="s">
        <v>1052</v>
      </c>
    </row>
    <row r="17" spans="1:9" ht="14.25">
      <c r="A17" s="3310"/>
      <c r="B17" s="3311" t="s">
        <v>1074</v>
      </c>
      <c r="C17" s="3311"/>
      <c r="D17" s="1206"/>
      <c r="E17" s="1206"/>
      <c r="F17" s="1207"/>
      <c r="G17" s="1208"/>
      <c r="H17" s="1218"/>
      <c r="I17" s="1219">
        <f>ROUND(D17*E17*F17*G17/10000,0)</f>
        <v>0</v>
      </c>
    </row>
    <row r="18" spans="1:9" ht="14.25">
      <c r="A18" s="3310"/>
      <c r="B18" s="3311" t="s">
        <v>1075</v>
      </c>
      <c r="C18" s="3311"/>
      <c r="D18" s="1206"/>
      <c r="E18" s="1206"/>
      <c r="F18" s="1207"/>
      <c r="G18" s="1208"/>
      <c r="H18" s="1218"/>
      <c r="I18" s="1219">
        <f>ROUND(D18*E18*F18*G18/10000,0)</f>
        <v>0</v>
      </c>
    </row>
    <row r="19" spans="1:9" ht="14.25">
      <c r="A19" s="3310"/>
      <c r="B19" s="3311" t="s">
        <v>1076</v>
      </c>
      <c r="C19" s="3311"/>
      <c r="D19" s="1206"/>
      <c r="E19" s="1206"/>
      <c r="F19" s="1207"/>
      <c r="G19" s="1208"/>
      <c r="H19" s="1218"/>
      <c r="I19" s="1219">
        <f>ROUND(D19*E19*F19*G19/10000,0)</f>
        <v>0</v>
      </c>
    </row>
    <row r="20" spans="1:9">
      <c r="A20" s="3310"/>
      <c r="B20" s="3312" t="s">
        <v>1060</v>
      </c>
      <c r="C20" s="3312"/>
      <c r="D20" s="1210">
        <f>SUM(D17:D19)</f>
        <v>0</v>
      </c>
      <c r="E20" s="1210"/>
      <c r="F20" s="1211"/>
      <c r="G20" s="1208"/>
      <c r="H20" s="1215"/>
      <c r="I20" s="1216">
        <f>SUM(I17:I19)</f>
        <v>0</v>
      </c>
    </row>
    <row r="21" spans="1:9">
      <c r="A21" s="3310" t="s">
        <v>1077</v>
      </c>
      <c r="B21" s="3314"/>
      <c r="C21" s="3314"/>
      <c r="D21" s="3314"/>
      <c r="E21" s="3314"/>
      <c r="F21" s="3314"/>
      <c r="G21" s="3314"/>
      <c r="H21" s="1496">
        <v>0.1</v>
      </c>
      <c r="I21" s="1213">
        <f>ROUND(I10*H21,0)</f>
        <v>0</v>
      </c>
    </row>
    <row r="22" spans="1:9" ht="14.25">
      <c r="A22" s="3315" t="s">
        <v>1078</v>
      </c>
      <c r="B22" s="3316"/>
      <c r="C22" s="3317"/>
      <c r="D22" s="1220" t="s">
        <v>1079</v>
      </c>
      <c r="E22" s="1220" t="s">
        <v>1080</v>
      </c>
      <c r="F22" s="1221" t="s">
        <v>1081</v>
      </c>
      <c r="G22" s="1221" t="s">
        <v>1082</v>
      </c>
      <c r="H22" s="1214" t="s">
        <v>1083</v>
      </c>
      <c r="I22" s="1205" t="s">
        <v>1084</v>
      </c>
    </row>
    <row r="23" spans="1:9" ht="14.25" thickBot="1">
      <c r="A23" s="3318"/>
      <c r="B23" s="3319"/>
      <c r="C23" s="3320"/>
      <c r="D23" s="1222"/>
      <c r="E23" s="1222"/>
      <c r="F23" s="1222"/>
      <c r="G23" s="1223"/>
      <c r="H23" s="1224"/>
      <c r="I23" s="1225">
        <f>ROUND(E23*D23*F23*(1-G23)/10000,0)</f>
        <v>0</v>
      </c>
    </row>
    <row r="26" spans="1:9">
      <c r="A26" s="1226" t="s">
        <v>1085</v>
      </c>
      <c r="B26" s="1226"/>
      <c r="C26" s="1226"/>
      <c r="D26" s="1226"/>
      <c r="E26" s="3321">
        <f>C27-C30-C31-C32</f>
        <v>0</v>
      </c>
      <c r="F26" s="3321"/>
      <c r="G26" s="3321"/>
      <c r="H26" s="1493" t="s">
        <v>1306</v>
      </c>
    </row>
    <row r="27" spans="1:9">
      <c r="A27" s="1227">
        <v>1</v>
      </c>
      <c r="B27" s="1228" t="s">
        <v>1086</v>
      </c>
      <c r="C27" s="1228">
        <f>C28+C29</f>
        <v>0</v>
      </c>
      <c r="D27" s="1228"/>
      <c r="E27" s="3322"/>
      <c r="F27" s="3322"/>
      <c r="G27" s="3322"/>
    </row>
    <row r="28" spans="1:9">
      <c r="A28" s="1229" t="s">
        <v>1087</v>
      </c>
      <c r="B28" s="1228" t="s">
        <v>1088</v>
      </c>
      <c r="C28" s="1228"/>
      <c r="D28" s="1228"/>
      <c r="E28" s="3322"/>
      <c r="F28" s="3322"/>
      <c r="G28" s="3322"/>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13"/>
      <c r="F32" s="3313"/>
      <c r="G32" s="3313"/>
    </row>
    <row r="33" spans="1:7" hidden="1">
      <c r="A33" s="3323" t="s">
        <v>1097</v>
      </c>
      <c r="B33" s="3324"/>
      <c r="C33" s="3324"/>
      <c r="D33" s="3325"/>
      <c r="E33" s="3321"/>
      <c r="F33" s="3321"/>
      <c r="G33" s="3321"/>
    </row>
    <row r="34" spans="1:7" hidden="1">
      <c r="A34" s="1231">
        <v>1</v>
      </c>
      <c r="B34" s="1228" t="s">
        <v>1098</v>
      </c>
      <c r="C34" s="1228"/>
      <c r="D34" s="1228"/>
      <c r="E34" s="3322"/>
      <c r="F34" s="3322"/>
      <c r="G34" s="3322"/>
    </row>
    <row r="35" spans="1:7" hidden="1">
      <c r="A35" s="1231">
        <v>2</v>
      </c>
      <c r="B35" s="1228" t="s">
        <v>1099</v>
      </c>
      <c r="C35" s="1228"/>
      <c r="D35" s="1228"/>
      <c r="E35" s="3322"/>
      <c r="F35" s="3322"/>
      <c r="G35" s="3322"/>
    </row>
    <row r="36" spans="1:7" hidden="1">
      <c r="A36" s="1231">
        <v>3</v>
      </c>
      <c r="B36" s="1228" t="s">
        <v>1100</v>
      </c>
      <c r="C36" s="1228"/>
      <c r="D36" s="1228"/>
      <c r="E36" s="3322"/>
      <c r="F36" s="3322"/>
      <c r="G36" s="3322"/>
    </row>
    <row r="37" spans="1:7" hidden="1">
      <c r="A37" s="1231">
        <v>4</v>
      </c>
      <c r="B37" s="1228" t="s">
        <v>1101</v>
      </c>
      <c r="C37" s="1228"/>
      <c r="D37" s="1228"/>
      <c r="E37" s="3322"/>
      <c r="F37" s="3322"/>
      <c r="G37" s="3322"/>
    </row>
    <row r="38" spans="1:7" hidden="1">
      <c r="A38" s="3323" t="s">
        <v>1102</v>
      </c>
      <c r="B38" s="3324"/>
      <c r="C38" s="3324"/>
      <c r="D38" s="3325"/>
      <c r="E38" s="3321"/>
      <c r="F38" s="3321"/>
      <c r="G38" s="33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北京万永房地产开发有限公司：</v>
      </c>
    </row>
    <row r="4" spans="1:1" ht="54">
      <c r="A4" s="1659" t="str">
        <f>"受贵公司委托，我公司对"&amp;项目基本情况!S1&amp;"进行了预评估。"</f>
        <v>受贵公司委托，我公司对北京市海淀区“海淀北部地区整体开发”永丰产业基地（新）HD00-0401-0158地块出让国有建设用地使用权及在建建筑物房地产抵押价值进行了预评估。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-0158地块出让国有建设用地使用权及在建建筑物房地产，为所有。根据《国有土地使用证》[]，估价对象（分摊）出让国有建设用地使用权面积为31970平方米，建筑面积为101912.04平方米。</v>
      </c>
    </row>
    <row r="8" spans="1:1" ht="57.75">
      <c r="A8" s="1662" t="s">
        <v>1579</v>
      </c>
    </row>
    <row r="9" spans="1:1" ht="18.75">
      <c r="A9" s="1661" t="s">
        <v>1580</v>
      </c>
    </row>
    <row r="10" spans="1:1" ht="90">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31970平方米，规划建筑面积为101912.04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为估价委托人在向工商银行北京海淀支行办理贷款手续过程中，确定房地产抵押贷款额度提供参考依据而评估房地产抵押价值。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2020年12月22日（评估专业人员实地查勘之日）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9" t="str">
        <f>IF(项目基本情况!B9="房地产市场价值","——",IF(项目基本情况!E9="——","",定义!C57))</f>
        <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2347</v>
      </c>
      <c r="C1" s="1398" t="s">
        <v>2348</v>
      </c>
      <c r="D1" s="1385"/>
      <c r="E1" s="2537"/>
      <c r="F1" s="2058" t="s">
        <v>2349</v>
      </c>
      <c r="G1" s="1395" t="s">
        <v>2350</v>
      </c>
      <c r="H1" s="1394"/>
      <c r="I1" s="1394"/>
      <c r="J1" s="1394"/>
      <c r="K1" s="1396"/>
      <c r="L1" s="1397"/>
      <c r="M1" s="1398"/>
      <c r="N1" s="1398"/>
      <c r="O1" s="1398"/>
      <c r="P1" s="2059"/>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60"/>
      <c r="D2" s="1268" t="e">
        <f ca="1">SUMIF(INDIRECT("'"&amp;F2&amp;"'"&amp;"!A:A"),"承租人权益价值",INDIRECT("'"&amp;F2&amp;"'"&amp;"!c:c"))</f>
        <v>#REF!</v>
      </c>
      <c r="E2" s="2061" t="s">
        <v>2351</v>
      </c>
      <c r="F2" s="2062"/>
      <c r="G2" s="1031"/>
      <c r="H2" s="1031"/>
      <c r="I2" s="1031"/>
      <c r="J2" s="1031"/>
      <c r="K2" s="2063"/>
      <c r="L2" s="2932"/>
      <c r="M2" s="2933"/>
      <c r="N2" s="2933"/>
      <c r="O2" s="2933"/>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2352</v>
      </c>
      <c r="D3" s="358">
        <f>IF(D1="",'数据-汇总表'!E3,SUMIF('数据-汇总表'!$C19:$C33,D1,'数据-汇总表'!$E19:$E33))</f>
        <v>101912.04000000001</v>
      </c>
      <c r="E3" s="1031"/>
      <c r="F3" s="2067"/>
      <c r="G3" s="1031"/>
      <c r="H3" s="1031"/>
      <c r="I3" s="1031"/>
      <c r="J3" s="1031"/>
      <c r="K3" s="2063"/>
      <c r="L3" s="2932"/>
      <c r="M3" s="2933"/>
      <c r="N3" s="2933"/>
      <c r="O3" s="2933"/>
      <c r="P3" s="2064"/>
      <c r="Q3" s="2065"/>
      <c r="R3" s="2065"/>
      <c r="S3" s="2065"/>
      <c r="T3" s="2065"/>
      <c r="U3" s="2065"/>
      <c r="V3" s="2065"/>
      <c r="W3" s="2065"/>
      <c r="X3" s="2065"/>
      <c r="Y3" s="2065"/>
      <c r="Z3" s="2065"/>
      <c r="AA3" s="2065"/>
      <c r="AB3" s="2065"/>
      <c r="AC3" s="1185"/>
    </row>
    <row r="4" spans="1:29" ht="15">
      <c r="A4" s="360" t="s">
        <v>2353</v>
      </c>
      <c r="B4" s="361"/>
      <c r="C4" s="3344" t="s">
        <v>2354</v>
      </c>
      <c r="D4" s="3345"/>
      <c r="E4" s="3346" t="s">
        <v>2355</v>
      </c>
      <c r="F4" s="3347"/>
      <c r="G4" s="3344" t="s">
        <v>2356</v>
      </c>
      <c r="H4" s="3345"/>
      <c r="I4" s="3344" t="s">
        <v>2357</v>
      </c>
      <c r="J4" s="3345"/>
      <c r="K4" s="2068" t="s">
        <v>2358</v>
      </c>
      <c r="L4" s="2934"/>
      <c r="M4" s="2935"/>
      <c r="N4" s="2935"/>
      <c r="O4" s="2935"/>
      <c r="P4" s="3348" t="s">
        <v>2359</v>
      </c>
      <c r="Q4" s="3349"/>
      <c r="R4" s="3331" t="s">
        <v>2355</v>
      </c>
      <c r="S4" s="3332"/>
      <c r="T4" s="3331" t="s">
        <v>2356</v>
      </c>
      <c r="U4" s="3332"/>
      <c r="V4" s="3356" t="s">
        <v>2357</v>
      </c>
      <c r="W4" s="3356"/>
      <c r="X4" s="1533"/>
      <c r="Y4" s="3331" t="s">
        <v>2359</v>
      </c>
      <c r="Z4" s="3332"/>
      <c r="AA4" s="3326" t="s">
        <v>2355</v>
      </c>
      <c r="AB4" s="3326" t="s">
        <v>2356</v>
      </c>
      <c r="AC4" s="3326" t="s">
        <v>2357</v>
      </c>
    </row>
    <row r="5" spans="1:29" ht="15">
      <c r="A5" s="363"/>
      <c r="B5" s="364"/>
      <c r="C5" s="3337" t="s">
        <v>2360</v>
      </c>
      <c r="D5" s="3338"/>
      <c r="E5" s="3335" t="s">
        <v>2361</v>
      </c>
      <c r="F5" s="3336"/>
      <c r="G5" s="3337" t="s">
        <v>2362</v>
      </c>
      <c r="H5" s="3338"/>
      <c r="I5" s="3337" t="s">
        <v>2363</v>
      </c>
      <c r="J5" s="3338"/>
      <c r="K5" s="2069"/>
      <c r="L5" s="2934"/>
      <c r="M5" s="2935"/>
      <c r="N5" s="2935"/>
      <c r="O5" s="2935"/>
      <c r="P5" s="3350"/>
      <c r="Q5" s="3351"/>
      <c r="R5" s="3333"/>
      <c r="S5" s="3334"/>
      <c r="T5" s="3333"/>
      <c r="U5" s="3334"/>
      <c r="V5" s="3356"/>
      <c r="W5" s="3356"/>
      <c r="X5" s="1533"/>
      <c r="Y5" s="3333"/>
      <c r="Z5" s="3334"/>
      <c r="AA5" s="3327"/>
      <c r="AB5" s="3327"/>
      <c r="AC5" s="3327"/>
    </row>
    <row r="6" spans="1:29" ht="15.75" thickBot="1">
      <c r="A6" s="365"/>
      <c r="B6" s="366"/>
      <c r="C6" s="3339" t="s">
        <v>2364</v>
      </c>
      <c r="D6" s="3340"/>
      <c r="E6" s="3341" t="s">
        <v>2364</v>
      </c>
      <c r="F6" s="3342"/>
      <c r="G6" s="3339" t="s">
        <v>2364</v>
      </c>
      <c r="H6" s="3340"/>
      <c r="I6" s="3339" t="s">
        <v>2364</v>
      </c>
      <c r="J6" s="3340"/>
      <c r="K6" s="2069" t="s">
        <v>2365</v>
      </c>
      <c r="L6" s="2934"/>
      <c r="M6" s="2935"/>
      <c r="N6" s="2935"/>
      <c r="O6" s="2935"/>
      <c r="P6" s="3352"/>
      <c r="Q6" s="3353"/>
      <c r="R6" s="3333"/>
      <c r="S6" s="3334"/>
      <c r="T6" s="3354"/>
      <c r="U6" s="3355"/>
      <c r="V6" s="3356"/>
      <c r="W6" s="3356"/>
      <c r="X6" s="1533"/>
      <c r="Y6" s="3354"/>
      <c r="Z6" s="3355"/>
      <c r="AA6" s="3328"/>
      <c r="AB6" s="3328"/>
      <c r="AC6" s="3328"/>
    </row>
    <row r="7" spans="1:29" s="112"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2070"/>
      <c r="L7" s="2936"/>
      <c r="M7" s="2937"/>
      <c r="N7" s="2937"/>
      <c r="O7" s="2937"/>
      <c r="P7" s="3329" t="s">
        <v>2367</v>
      </c>
      <c r="Q7" s="3357"/>
      <c r="R7" s="709" t="s">
        <v>23</v>
      </c>
      <c r="S7" s="710">
        <f t="shared" ref="S7:S15" si="0">F7</f>
        <v>0</v>
      </c>
      <c r="T7" s="709" t="s">
        <v>23</v>
      </c>
      <c r="U7" s="710">
        <f t="shared" ref="U7:U15" si="1">H7</f>
        <v>0</v>
      </c>
      <c r="V7" s="709" t="s">
        <v>23</v>
      </c>
      <c r="W7" s="710">
        <f t="shared" ref="W7:W15" si="2">J7</f>
        <v>0</v>
      </c>
      <c r="X7" s="711"/>
      <c r="Y7" s="3329" t="s">
        <v>2367</v>
      </c>
      <c r="Z7" s="3330"/>
      <c r="AA7" s="712" t="e">
        <f>D7/F7</f>
        <v>#DIV/0!</v>
      </c>
      <c r="AB7" s="712" t="e">
        <f>D7/H7</f>
        <v>#DIV/0!</v>
      </c>
      <c r="AC7" s="712" t="e">
        <f>D7/J7</f>
        <v>#DIV/0!</v>
      </c>
    </row>
    <row r="8" spans="1:29" s="112" customFormat="1" ht="15.75" thickBot="1">
      <c r="A8" s="367" t="s">
        <v>2368</v>
      </c>
      <c r="B8" s="368"/>
      <c r="C8" s="373" t="s">
        <v>2369</v>
      </c>
      <c r="D8" s="370">
        <v>100</v>
      </c>
      <c r="E8" s="2071"/>
      <c r="F8" s="372">
        <f>SUMIF(61:61,E8,62:62)-SUMIF(61:61,C8,62:62)+100</f>
        <v>0</v>
      </c>
      <c r="G8" s="373"/>
      <c r="H8" s="370">
        <f>SUMIF(61:61,G8,62:62)-SUMIF(61:61,C8,62:62)+100</f>
        <v>0</v>
      </c>
      <c r="I8" s="2071"/>
      <c r="J8" s="370">
        <f>SUMIF(61:61,I8,62:62)-SUMIF(61:61,C8,62:62)+100</f>
        <v>0</v>
      </c>
      <c r="K8" s="2070"/>
      <c r="L8" s="2936"/>
      <c r="M8" s="2937"/>
      <c r="N8" s="2937"/>
      <c r="O8" s="2937"/>
      <c r="P8" s="3329" t="s">
        <v>2370</v>
      </c>
      <c r="Q8" s="3330"/>
      <c r="R8" s="709" t="s">
        <v>23</v>
      </c>
      <c r="S8" s="710">
        <f t="shared" si="0"/>
        <v>0</v>
      </c>
      <c r="T8" s="709" t="s">
        <v>23</v>
      </c>
      <c r="U8" s="710">
        <f t="shared" si="1"/>
        <v>0</v>
      </c>
      <c r="V8" s="709" t="s">
        <v>23</v>
      </c>
      <c r="W8" s="710">
        <f t="shared" si="2"/>
        <v>0</v>
      </c>
      <c r="X8" s="711"/>
      <c r="Y8" s="3329" t="s">
        <v>2370</v>
      </c>
      <c r="Z8" s="3330"/>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0"/>
      <c r="L9" s="2936"/>
      <c r="M9" s="2937"/>
      <c r="N9" s="2937"/>
      <c r="O9" s="2937"/>
      <c r="P9" s="3343"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343"/>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343"/>
      <c r="Q11" s="1521" t="str">
        <f t="shared" si="6"/>
        <v>容积率</v>
      </c>
      <c r="R11" s="709" t="s">
        <v>21</v>
      </c>
      <c r="S11" s="710" t="e">
        <f t="shared" si="0"/>
        <v>#N/A</v>
      </c>
      <c r="T11" s="709" t="s">
        <v>21</v>
      </c>
      <c r="U11" s="710" t="e">
        <f t="shared" si="1"/>
        <v>#N/A</v>
      </c>
      <c r="V11" s="709" t="s">
        <v>21</v>
      </c>
      <c r="W11" s="710" t="e">
        <f t="shared" si="2"/>
        <v>#N/A</v>
      </c>
      <c r="X11" s="711"/>
      <c r="Y11" s="3271"/>
      <c r="Z11" s="55"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6"/>
      <c r="M12" s="2937"/>
      <c r="N12" s="2937"/>
      <c r="O12" s="2937"/>
      <c r="P12" s="3343"/>
      <c r="Q12" s="1521">
        <f t="shared" si="6"/>
        <v>111</v>
      </c>
      <c r="R12" s="709" t="s">
        <v>21</v>
      </c>
      <c r="S12" s="710">
        <f t="shared" si="0"/>
        <v>100</v>
      </c>
      <c r="T12" s="709" t="s">
        <v>21</v>
      </c>
      <c r="U12" s="710">
        <f t="shared" si="1"/>
        <v>100</v>
      </c>
      <c r="V12" s="709" t="s">
        <v>21</v>
      </c>
      <c r="W12" s="710">
        <f t="shared" si="2"/>
        <v>100</v>
      </c>
      <c r="X12" s="711"/>
      <c r="Y12" s="3271"/>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1"/>
      <c r="M13" s="2935"/>
      <c r="N13" s="2935"/>
      <c r="O13" s="2935"/>
      <c r="P13" s="3343"/>
      <c r="Q13" s="1521">
        <f t="shared" si="6"/>
        <v>111</v>
      </c>
      <c r="R13" s="709" t="s">
        <v>21</v>
      </c>
      <c r="S13" s="710">
        <f t="shared" si="0"/>
        <v>100</v>
      </c>
      <c r="T13" s="709" t="s">
        <v>21</v>
      </c>
      <c r="U13" s="710">
        <f t="shared" si="1"/>
        <v>100</v>
      </c>
      <c r="V13" s="709" t="s">
        <v>21</v>
      </c>
      <c r="W13" s="710">
        <f t="shared" si="2"/>
        <v>100</v>
      </c>
      <c r="X13" s="711"/>
      <c r="Y13" s="3271"/>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1"/>
      <c r="M14" s="2935"/>
      <c r="N14" s="2935"/>
      <c r="O14" s="2935"/>
      <c r="P14" s="3343"/>
      <c r="Q14" s="1521">
        <f t="shared" si="6"/>
        <v>111</v>
      </c>
      <c r="R14" s="709" t="s">
        <v>21</v>
      </c>
      <c r="S14" s="710">
        <f t="shared" si="0"/>
        <v>100</v>
      </c>
      <c r="T14" s="709" t="s">
        <v>21</v>
      </c>
      <c r="U14" s="710">
        <f t="shared" si="1"/>
        <v>100</v>
      </c>
      <c r="V14" s="709" t="s">
        <v>21</v>
      </c>
      <c r="W14" s="710">
        <f t="shared" si="2"/>
        <v>100</v>
      </c>
      <c r="X14" s="711"/>
      <c r="Y14" s="3271"/>
      <c r="Z14" s="55">
        <f t="shared" si="7"/>
        <v>111</v>
      </c>
      <c r="AA14" s="712">
        <f t="shared" si="3"/>
        <v>1</v>
      </c>
      <c r="AB14" s="712">
        <f t="shared" si="4"/>
        <v>1</v>
      </c>
      <c r="AC14" s="712">
        <f t="shared" si="5"/>
        <v>1</v>
      </c>
    </row>
    <row r="15" spans="1:29" ht="85.5">
      <c r="A15" s="398" t="s">
        <v>2377</v>
      </c>
      <c r="B15" s="65" t="s">
        <v>1943</v>
      </c>
      <c r="C15" s="2075" t="str">
        <f>估价对象房地状况!C3</f>
        <v>周边居住用地比例较少、有颐丰庄园、大牛坊社区等居住项目，综合评价居住社区成熟度一般。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370" t="s">
        <v>2378</v>
      </c>
      <c r="Q15" s="1530" t="str">
        <f t="shared" si="6"/>
        <v>居住社区成熟度</v>
      </c>
      <c r="R15" s="713" t="s">
        <v>21</v>
      </c>
      <c r="S15" s="714">
        <f t="shared" si="0"/>
        <v>100</v>
      </c>
      <c r="T15" s="713" t="s">
        <v>21</v>
      </c>
      <c r="U15" s="714">
        <f t="shared" si="1"/>
        <v>100</v>
      </c>
      <c r="V15" s="713" t="s">
        <v>21</v>
      </c>
      <c r="W15" s="714">
        <f t="shared" si="2"/>
        <v>100</v>
      </c>
      <c r="X15" s="1533"/>
      <c r="Y15" s="3363" t="s">
        <v>2378</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1"/>
      <c r="M16" s="2935"/>
      <c r="N16" s="2935"/>
      <c r="O16" s="2935"/>
      <c r="P16" s="3371"/>
      <c r="Q16" s="1530"/>
      <c r="R16" s="713"/>
      <c r="S16" s="714"/>
      <c r="T16" s="713"/>
      <c r="U16" s="714"/>
      <c r="V16" s="713"/>
      <c r="W16" s="714"/>
      <c r="X16" s="1533"/>
      <c r="Y16" s="3364"/>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371"/>
      <c r="Q17" s="1530" t="str">
        <f>B17</f>
        <v>交通便捷度</v>
      </c>
      <c r="R17" s="713" t="s">
        <v>21</v>
      </c>
      <c r="S17" s="714">
        <f>F17</f>
        <v>100</v>
      </c>
      <c r="T17" s="713" t="s">
        <v>21</v>
      </c>
      <c r="U17" s="714">
        <f>H17</f>
        <v>100</v>
      </c>
      <c r="V17" s="713" t="s">
        <v>21</v>
      </c>
      <c r="W17" s="714">
        <f>J17</f>
        <v>100</v>
      </c>
      <c r="X17" s="1533"/>
      <c r="Y17" s="3364"/>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1"/>
      <c r="M18" s="2935"/>
      <c r="N18" s="2935"/>
      <c r="O18" s="2935"/>
      <c r="P18" s="3371"/>
      <c r="Q18" s="1530"/>
      <c r="R18" s="713"/>
      <c r="S18" s="714"/>
      <c r="T18" s="713"/>
      <c r="U18" s="714"/>
      <c r="V18" s="713"/>
      <c r="W18" s="714"/>
      <c r="X18" s="1533"/>
      <c r="Y18" s="3364"/>
      <c r="Z18" s="1534"/>
      <c r="AA18" s="1531">
        <v>1</v>
      </c>
      <c r="AB18" s="1531">
        <v>1</v>
      </c>
      <c r="AC18" s="1531">
        <v>1</v>
      </c>
    </row>
    <row r="19" spans="1:29" ht="156.75">
      <c r="A19" s="386"/>
      <c r="B19" s="409" t="s">
        <v>1944</v>
      </c>
      <c r="C19" s="2079" t="str">
        <f>估价对象房地状况!C7</f>
        <v>周边1公里范围内有购物场所（华联超市）、医院（无）、银行（工商银行、北京农商银行）、学校（海淀科技园小学）、餐饮等公共服务配套设施，公共配套设施状况一般。</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371"/>
      <c r="Q19" s="1530" t="str">
        <f>B19</f>
        <v>公共配套设施</v>
      </c>
      <c r="R19" s="713" t="s">
        <v>21</v>
      </c>
      <c r="S19" s="714">
        <f>F19</f>
        <v>100</v>
      </c>
      <c r="T19" s="713" t="s">
        <v>21</v>
      </c>
      <c r="U19" s="714">
        <f>H19</f>
        <v>100</v>
      </c>
      <c r="V19" s="713" t="s">
        <v>21</v>
      </c>
      <c r="W19" s="714">
        <f>J19</f>
        <v>100</v>
      </c>
      <c r="X19" s="1533"/>
      <c r="Y19" s="3364"/>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1"/>
      <c r="M20" s="2935"/>
      <c r="N20" s="2935"/>
      <c r="O20" s="2935"/>
      <c r="P20" s="3371"/>
      <c r="Q20" s="1530"/>
      <c r="R20" s="713"/>
      <c r="S20" s="714"/>
      <c r="T20" s="713"/>
      <c r="U20" s="714"/>
      <c r="V20" s="713"/>
      <c r="W20" s="714"/>
      <c r="X20" s="1533"/>
      <c r="Y20" s="3364"/>
      <c r="Z20" s="1534"/>
      <c r="AA20" s="1531">
        <v>1</v>
      </c>
      <c r="AB20" s="1531">
        <v>1</v>
      </c>
      <c r="AC20" s="1531">
        <v>1</v>
      </c>
    </row>
    <row r="21" spans="1:29" ht="15">
      <c r="A21" s="386"/>
      <c r="B21" s="1286" t="s">
        <v>1946</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371"/>
      <c r="Q21" s="1530" t="str">
        <f>B21</f>
        <v>基础设施水平</v>
      </c>
      <c r="R21" s="713" t="s">
        <v>17</v>
      </c>
      <c r="S21" s="714">
        <f>F21</f>
        <v>100</v>
      </c>
      <c r="T21" s="713" t="s">
        <v>17</v>
      </c>
      <c r="U21" s="714">
        <f>H21</f>
        <v>100</v>
      </c>
      <c r="V21" s="713" t="s">
        <v>17</v>
      </c>
      <c r="W21" s="714">
        <f>J21</f>
        <v>100</v>
      </c>
      <c r="X21" s="1533"/>
      <c r="Y21" s="3364"/>
      <c r="Z21" s="1534" t="str">
        <f>Q21</f>
        <v>基础设施水平</v>
      </c>
      <c r="AA21" s="1531">
        <f>D21/F21</f>
        <v>1</v>
      </c>
      <c r="AB21" s="1531">
        <f>D21/H21</f>
        <v>1</v>
      </c>
      <c r="AC21" s="1531">
        <f>D21/J21</f>
        <v>1</v>
      </c>
    </row>
    <row r="22" spans="1:29" ht="15">
      <c r="A22" s="386"/>
      <c r="B22" s="1286"/>
      <c r="C22" s="2080"/>
      <c r="D22" s="406"/>
      <c r="E22" s="405"/>
      <c r="F22" s="406"/>
      <c r="G22" s="2083"/>
      <c r="H22" s="406"/>
      <c r="I22" s="405"/>
      <c r="J22" s="406"/>
      <c r="K22" s="2084"/>
      <c r="L22" s="2941"/>
      <c r="M22" s="2935"/>
      <c r="N22" s="2935"/>
      <c r="O22" s="2935"/>
      <c r="P22" s="3371"/>
      <c r="Q22" s="1530"/>
      <c r="R22" s="713"/>
      <c r="S22" s="714"/>
      <c r="T22" s="713"/>
      <c r="U22" s="714"/>
      <c r="V22" s="713"/>
      <c r="W22" s="714"/>
      <c r="X22" s="1533"/>
      <c r="Y22" s="3364"/>
      <c r="Z22" s="1534"/>
      <c r="AA22" s="1531">
        <v>1</v>
      </c>
      <c r="AB22" s="1531">
        <v>1</v>
      </c>
      <c r="AC22" s="1531">
        <v>1</v>
      </c>
    </row>
    <row r="23" spans="1:29" ht="85.5">
      <c r="A23" s="386"/>
      <c r="B23" s="409" t="s">
        <v>1947</v>
      </c>
      <c r="C23" s="2079" t="str">
        <f>估价对象房地状况!C9</f>
        <v>周边1公里无大型公园，人文环境有北京北大资源研修学院，自然及人文环境一般。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371"/>
      <c r="Q23" s="1530" t="str">
        <f>B23</f>
        <v>自然及人文环境</v>
      </c>
      <c r="R23" s="713" t="s">
        <v>21</v>
      </c>
      <c r="S23" s="714">
        <f>F23</f>
        <v>100</v>
      </c>
      <c r="T23" s="713" t="s">
        <v>21</v>
      </c>
      <c r="U23" s="714">
        <f>H23</f>
        <v>100</v>
      </c>
      <c r="V23" s="713" t="s">
        <v>21</v>
      </c>
      <c r="W23" s="714">
        <f>J23</f>
        <v>100</v>
      </c>
      <c r="X23" s="1533"/>
      <c r="Y23" s="3364"/>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1"/>
      <c r="M24" s="2935"/>
      <c r="N24" s="2935"/>
      <c r="O24" s="2935"/>
      <c r="P24" s="3371"/>
      <c r="Q24" s="1530"/>
      <c r="R24" s="713"/>
      <c r="S24" s="714"/>
      <c r="T24" s="713"/>
      <c r="U24" s="714"/>
      <c r="V24" s="713"/>
      <c r="W24" s="714"/>
      <c r="X24" s="1533"/>
      <c r="Y24" s="3364"/>
      <c r="Z24" s="1534"/>
      <c r="AA24" s="1531">
        <v>1</v>
      </c>
      <c r="AB24" s="1531">
        <v>1</v>
      </c>
      <c r="AC24" s="1531">
        <v>1</v>
      </c>
    </row>
    <row r="25" spans="1:29" ht="15">
      <c r="A25" s="386"/>
      <c r="B25" s="380" t="s">
        <v>2379</v>
      </c>
      <c r="C25" s="418"/>
      <c r="D25" s="393">
        <v>100</v>
      </c>
      <c r="E25" s="2085"/>
      <c r="F25" s="393">
        <f>SUMIF(86:86,E25,87:87)-SUMIF(86:86,C25,87:87)+100</f>
        <v>100</v>
      </c>
      <c r="G25" s="2086"/>
      <c r="H25" s="393">
        <f>SUMIF(86:86,G25,87:87)-SUMIF(86:86,C25,87:87)+100</f>
        <v>100</v>
      </c>
      <c r="I25" s="2086"/>
      <c r="J25" s="393">
        <f>SUMIF(86:86,I25,87:87)-SUMIF(86:86,C25,87:87)+100</f>
        <v>100</v>
      </c>
      <c r="K25" s="384"/>
      <c r="L25" s="2941"/>
      <c r="M25" s="2935"/>
      <c r="N25" s="2935"/>
      <c r="O25" s="2935"/>
      <c r="P25" s="3371"/>
      <c r="Q25" s="1530" t="str">
        <f t="shared" ref="Q25:Q46" si="8">B25</f>
        <v>楼层-1</v>
      </c>
      <c r="R25" s="713" t="s">
        <v>21</v>
      </c>
      <c r="S25" s="714">
        <f t="shared" ref="S25:S46" si="9">F25</f>
        <v>100</v>
      </c>
      <c r="T25" s="713" t="s">
        <v>21</v>
      </c>
      <c r="U25" s="714">
        <f t="shared" ref="U25:U46" si="10">H25</f>
        <v>100</v>
      </c>
      <c r="V25" s="713" t="s">
        <v>21</v>
      </c>
      <c r="W25" s="714">
        <f t="shared" ref="W25:W46" si="11">J25</f>
        <v>100</v>
      </c>
      <c r="X25" s="1533"/>
      <c r="Y25" s="3364"/>
      <c r="Z25" s="1534" t="str">
        <f>Q25</f>
        <v>楼层-1</v>
      </c>
      <c r="AA25" s="1531">
        <f t="shared" ref="AA25:AA46" si="12">D25/F25</f>
        <v>1</v>
      </c>
      <c r="AB25" s="1531">
        <f t="shared" ref="AB25:AB46" si="13">D25/H25</f>
        <v>1</v>
      </c>
      <c r="AC25" s="1531">
        <f t="shared" ref="AC25:AC46" si="14">D25/J25</f>
        <v>1</v>
      </c>
    </row>
    <row r="26" spans="1:29" ht="15">
      <c r="A26" s="386"/>
      <c r="B26" s="380" t="s">
        <v>2380</v>
      </c>
      <c r="C26" s="418"/>
      <c r="D26" s="393">
        <v>100</v>
      </c>
      <c r="E26" s="2085"/>
      <c r="F26" s="393">
        <f>SUMIF(88:88,E26,89:89)-SUMIF(88:88,C26,89:89)+100</f>
        <v>100</v>
      </c>
      <c r="G26" s="2086"/>
      <c r="H26" s="393">
        <f>SUMIF(88:88,G26,89:89)-SUMIF(88:88,C26,89:89)+100</f>
        <v>100</v>
      </c>
      <c r="I26" s="2086"/>
      <c r="J26" s="393">
        <f>SUMIF(88:88,I26,89:89)-SUMIF(88:88,C26,89:89)+100</f>
        <v>100</v>
      </c>
      <c r="K26" s="384"/>
      <c r="L26" s="2941"/>
      <c r="M26" s="2935"/>
      <c r="N26" s="2935"/>
      <c r="O26" s="2935"/>
      <c r="P26" s="3371"/>
      <c r="Q26" s="1530" t="str">
        <f t="shared" si="8"/>
        <v>朝向</v>
      </c>
      <c r="R26" s="713" t="s">
        <v>21</v>
      </c>
      <c r="S26" s="714">
        <f t="shared" si="9"/>
        <v>100</v>
      </c>
      <c r="T26" s="713" t="s">
        <v>21</v>
      </c>
      <c r="U26" s="714">
        <f t="shared" si="10"/>
        <v>100</v>
      </c>
      <c r="V26" s="713" t="s">
        <v>21</v>
      </c>
      <c r="W26" s="714">
        <f t="shared" si="11"/>
        <v>100</v>
      </c>
      <c r="X26" s="1533"/>
      <c r="Y26" s="3364"/>
      <c r="Z26" s="1534" t="str">
        <f>Q26</f>
        <v>朝向</v>
      </c>
      <c r="AA26" s="1531">
        <f t="shared" si="12"/>
        <v>1</v>
      </c>
      <c r="AB26" s="1531">
        <f t="shared" si="13"/>
        <v>1</v>
      </c>
      <c r="AC26" s="1531">
        <f t="shared" si="14"/>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3"/>
      <c r="L27" s="2936"/>
      <c r="M27" s="2937"/>
      <c r="N27" s="2937"/>
      <c r="O27" s="2937"/>
      <c r="P27" s="3371"/>
      <c r="Q27" s="1521">
        <f t="shared" si="8"/>
        <v>111</v>
      </c>
      <c r="R27" s="709" t="s">
        <v>21</v>
      </c>
      <c r="S27" s="710">
        <f t="shared" si="9"/>
        <v>100</v>
      </c>
      <c r="T27" s="709" t="s">
        <v>21</v>
      </c>
      <c r="U27" s="710">
        <f t="shared" si="10"/>
        <v>100</v>
      </c>
      <c r="V27" s="709" t="s">
        <v>21</v>
      </c>
      <c r="W27" s="710">
        <f t="shared" si="11"/>
        <v>100</v>
      </c>
      <c r="X27" s="711"/>
      <c r="Y27" s="3364"/>
      <c r="Z27" s="55">
        <f>Q27</f>
        <v>111</v>
      </c>
      <c r="AA27" s="1531">
        <f t="shared" si="12"/>
        <v>1</v>
      </c>
      <c r="AB27" s="1531">
        <f t="shared" si="13"/>
        <v>1</v>
      </c>
      <c r="AC27" s="1531">
        <f t="shared" si="14"/>
        <v>1</v>
      </c>
    </row>
    <row r="28" spans="1:29" ht="15">
      <c r="A28" s="386"/>
      <c r="B28" s="1288">
        <v>111</v>
      </c>
      <c r="C28" s="392"/>
      <c r="D28" s="393">
        <v>100</v>
      </c>
      <c r="E28" s="392"/>
      <c r="F28" s="393">
        <f>SUMIF(92:92,E28,93:93)-SUMIF(92:92,C28,93:93)+100</f>
        <v>100</v>
      </c>
      <c r="G28" s="2087"/>
      <c r="H28" s="393">
        <f>SUMIF(92:92,G28,93:93)-SUMIF(92:92,C28,93:93)+100</f>
        <v>100</v>
      </c>
      <c r="I28" s="392"/>
      <c r="J28" s="393">
        <f>SUMIF(92:92,I28,93:93)-SUMIF(92:92,C28,93:93)+100</f>
        <v>100</v>
      </c>
      <c r="K28" s="2073"/>
      <c r="L28" s="2941"/>
      <c r="M28" s="2935"/>
      <c r="N28" s="2935"/>
      <c r="O28" s="2935"/>
      <c r="P28" s="3371"/>
      <c r="Q28" s="1530">
        <f t="shared" si="8"/>
        <v>111</v>
      </c>
      <c r="R28" s="713" t="s">
        <v>21</v>
      </c>
      <c r="S28" s="714">
        <f t="shared" si="9"/>
        <v>100</v>
      </c>
      <c r="T28" s="713" t="s">
        <v>21</v>
      </c>
      <c r="U28" s="714">
        <f t="shared" si="10"/>
        <v>100</v>
      </c>
      <c r="V28" s="713" t="s">
        <v>21</v>
      </c>
      <c r="W28" s="714">
        <f t="shared" si="11"/>
        <v>100</v>
      </c>
      <c r="X28" s="1533"/>
      <c r="Y28" s="3364"/>
      <c r="Z28" s="1534">
        <f t="shared" ref="Z28:Z46" si="15">Q28</f>
        <v>111</v>
      </c>
      <c r="AA28" s="1531">
        <f t="shared" si="12"/>
        <v>1</v>
      </c>
      <c r="AB28" s="1531">
        <f t="shared" si="13"/>
        <v>1</v>
      </c>
      <c r="AC28" s="1531">
        <f t="shared" si="14"/>
        <v>1</v>
      </c>
    </row>
    <row r="29" spans="1:29" ht="15">
      <c r="A29" s="386"/>
      <c r="B29" s="1288">
        <v>111</v>
      </c>
      <c r="C29" s="392"/>
      <c r="D29" s="393">
        <v>100</v>
      </c>
      <c r="E29" s="392"/>
      <c r="F29" s="393">
        <f>SUMIF(94:94,E29,95:95)-SUMIF(94:94,C29,95:95)+100</f>
        <v>100</v>
      </c>
      <c r="G29" s="2087"/>
      <c r="H29" s="393">
        <f>SUMIF(94:94,G29,95:95)-SUMIF(94:94,C29,95:95)+100</f>
        <v>100</v>
      </c>
      <c r="I29" s="392"/>
      <c r="J29" s="393">
        <f>SUMIF(94:94,I29,95:95)-SUMIF(94:94,C29,95:95)+100</f>
        <v>100</v>
      </c>
      <c r="K29" s="2073"/>
      <c r="L29" s="2941"/>
      <c r="M29" s="2935"/>
      <c r="N29" s="2935"/>
      <c r="O29" s="2935"/>
      <c r="P29" s="3371"/>
      <c r="Q29" s="1530">
        <f t="shared" si="8"/>
        <v>111</v>
      </c>
      <c r="R29" s="713" t="s">
        <v>21</v>
      </c>
      <c r="S29" s="714">
        <f t="shared" si="9"/>
        <v>100</v>
      </c>
      <c r="T29" s="713" t="s">
        <v>21</v>
      </c>
      <c r="U29" s="714">
        <f t="shared" si="10"/>
        <v>100</v>
      </c>
      <c r="V29" s="713" t="s">
        <v>21</v>
      </c>
      <c r="W29" s="714">
        <f t="shared" si="11"/>
        <v>100</v>
      </c>
      <c r="X29" s="1533"/>
      <c r="Y29" s="3364"/>
      <c r="Z29" s="1534">
        <f t="shared" si="15"/>
        <v>111</v>
      </c>
      <c r="AA29" s="1531">
        <f t="shared" si="12"/>
        <v>1</v>
      </c>
      <c r="AB29" s="1531">
        <f t="shared" si="13"/>
        <v>1</v>
      </c>
      <c r="AC29" s="1531">
        <f t="shared" si="14"/>
        <v>1</v>
      </c>
    </row>
    <row r="30" spans="1:29" ht="15">
      <c r="A30" s="386"/>
      <c r="B30" s="1288">
        <v>111</v>
      </c>
      <c r="C30" s="392"/>
      <c r="D30" s="393">
        <v>100</v>
      </c>
      <c r="E30" s="392"/>
      <c r="F30" s="393">
        <f>SUMIF(96:96,E30,97:97)-SUMIF(96:96,C30,97:97)+100</f>
        <v>100</v>
      </c>
      <c r="G30" s="2087"/>
      <c r="H30" s="393">
        <f>SUMIF(96:96,G30,97:97)-SUMIF(96:96,C30,97:97)+100</f>
        <v>100</v>
      </c>
      <c r="I30" s="392"/>
      <c r="J30" s="393">
        <f>SUMIF(96:96,I30,97:97)-SUMIF(96:96,C30,97:97)+100</f>
        <v>100</v>
      </c>
      <c r="K30" s="2073"/>
      <c r="L30" s="2941"/>
      <c r="M30" s="2935"/>
      <c r="N30" s="2935"/>
      <c r="O30" s="2935"/>
      <c r="P30" s="3371"/>
      <c r="Q30" s="1530">
        <f t="shared" si="8"/>
        <v>111</v>
      </c>
      <c r="R30" s="713" t="s">
        <v>21</v>
      </c>
      <c r="S30" s="714">
        <f t="shared" si="9"/>
        <v>100</v>
      </c>
      <c r="T30" s="713" t="s">
        <v>21</v>
      </c>
      <c r="U30" s="714">
        <f t="shared" si="10"/>
        <v>100</v>
      </c>
      <c r="V30" s="713" t="s">
        <v>21</v>
      </c>
      <c r="W30" s="714">
        <f t="shared" si="11"/>
        <v>100</v>
      </c>
      <c r="X30" s="1533"/>
      <c r="Y30" s="3364"/>
      <c r="Z30" s="1534">
        <f t="shared" si="15"/>
        <v>111</v>
      </c>
      <c r="AA30" s="1531">
        <f t="shared" si="12"/>
        <v>1</v>
      </c>
      <c r="AB30" s="1531">
        <f t="shared" si="13"/>
        <v>1</v>
      </c>
      <c r="AC30" s="1531">
        <f t="shared" si="14"/>
        <v>1</v>
      </c>
    </row>
    <row r="31" spans="1:29" ht="15.75" thickBot="1">
      <c r="A31" s="394"/>
      <c r="B31" s="1288">
        <v>111</v>
      </c>
      <c r="C31" s="395"/>
      <c r="D31" s="396">
        <v>100</v>
      </c>
      <c r="E31" s="395"/>
      <c r="F31" s="396">
        <f>SUMIF(98:98,E31,99:99)-SUMIF(98:98,C31,99:99)+100</f>
        <v>100</v>
      </c>
      <c r="G31" s="2088"/>
      <c r="H31" s="396">
        <f>SUMIF(98:98,G31,99:99)-SUMIF(98:98,C31,99:99)+100</f>
        <v>100</v>
      </c>
      <c r="I31" s="395"/>
      <c r="J31" s="396">
        <f>SUMIF(98:98,I31,99:99)-SUMIF(98:98,C31,99:99)+100</f>
        <v>100</v>
      </c>
      <c r="K31" s="2073"/>
      <c r="L31" s="2941"/>
      <c r="M31" s="2935"/>
      <c r="N31" s="2935"/>
      <c r="O31" s="2935"/>
      <c r="P31" s="3371"/>
      <c r="Q31" s="1530">
        <f t="shared" si="8"/>
        <v>111</v>
      </c>
      <c r="R31" s="713" t="s">
        <v>21</v>
      </c>
      <c r="S31" s="714">
        <f t="shared" si="9"/>
        <v>100</v>
      </c>
      <c r="T31" s="713" t="s">
        <v>21</v>
      </c>
      <c r="U31" s="714">
        <f t="shared" si="10"/>
        <v>100</v>
      </c>
      <c r="V31" s="713" t="s">
        <v>21</v>
      </c>
      <c r="W31" s="714">
        <f t="shared" si="11"/>
        <v>100</v>
      </c>
      <c r="X31" s="1533"/>
      <c r="Y31" s="3364"/>
      <c r="Z31" s="1534">
        <f t="shared" si="15"/>
        <v>111</v>
      </c>
      <c r="AA31" s="1531">
        <f t="shared" si="12"/>
        <v>1</v>
      </c>
      <c r="AB31" s="1531">
        <f t="shared" si="13"/>
        <v>1</v>
      </c>
      <c r="AC31" s="1531">
        <f t="shared" si="14"/>
        <v>1</v>
      </c>
    </row>
    <row r="32" spans="1:29" ht="15">
      <c r="A32" s="398" t="s">
        <v>2381</v>
      </c>
      <c r="B32" s="67" t="s">
        <v>2382</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1"/>
      <c r="M32" s="2935"/>
      <c r="N32" s="2935"/>
      <c r="O32" s="2935"/>
      <c r="P32" s="3365" t="s">
        <v>2383</v>
      </c>
      <c r="Q32" s="1530" t="str">
        <f t="shared" si="8"/>
        <v>建筑类型</v>
      </c>
      <c r="R32" s="713" t="s">
        <v>21</v>
      </c>
      <c r="S32" s="714">
        <f t="shared" si="9"/>
        <v>100</v>
      </c>
      <c r="T32" s="713" t="s">
        <v>21</v>
      </c>
      <c r="U32" s="714">
        <f t="shared" si="10"/>
        <v>100</v>
      </c>
      <c r="V32" s="713" t="s">
        <v>21</v>
      </c>
      <c r="W32" s="714">
        <f t="shared" si="11"/>
        <v>100</v>
      </c>
      <c r="X32" s="1533"/>
      <c r="Y32" s="3368" t="s">
        <v>2383</v>
      </c>
      <c r="Z32" s="1534" t="str">
        <f t="shared" si="15"/>
        <v>建筑类型</v>
      </c>
      <c r="AA32" s="1531">
        <f t="shared" si="12"/>
        <v>1</v>
      </c>
      <c r="AB32" s="1531">
        <f t="shared" si="13"/>
        <v>1</v>
      </c>
      <c r="AC32" s="1531">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0"/>
      <c r="M33" s="2942"/>
      <c r="N33" s="2942"/>
      <c r="O33" s="2942"/>
      <c r="P33" s="3366"/>
      <c r="Q33" s="715" t="str">
        <f t="shared" si="8"/>
        <v>项目建筑规模</v>
      </c>
      <c r="R33" s="716" t="s">
        <v>21</v>
      </c>
      <c r="S33" s="717" t="e">
        <f t="shared" si="9"/>
        <v>#N/A</v>
      </c>
      <c r="T33" s="716" t="s">
        <v>21</v>
      </c>
      <c r="U33" s="717" t="e">
        <f t="shared" si="10"/>
        <v>#N/A</v>
      </c>
      <c r="V33" s="716" t="s">
        <v>21</v>
      </c>
      <c r="W33" s="717" t="e">
        <f t="shared" si="11"/>
        <v>#N/A</v>
      </c>
      <c r="X33" s="718"/>
      <c r="Y33" s="3368"/>
      <c r="Z33" s="719" t="str">
        <f t="shared" si="15"/>
        <v>项目建筑规模</v>
      </c>
      <c r="AA33" s="1531" t="e">
        <f t="shared" si="12"/>
        <v>#N/A</v>
      </c>
      <c r="AB33" s="1531" t="e">
        <f t="shared" si="13"/>
        <v>#N/A</v>
      </c>
      <c r="AC33" s="1531" t="e">
        <f t="shared" si="14"/>
        <v>#N/A</v>
      </c>
    </row>
    <row r="34" spans="1:29" ht="15">
      <c r="A34" s="430"/>
      <c r="B34" s="380" t="s">
        <v>2385</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1"/>
      <c r="M34" s="2935"/>
      <c r="N34" s="2935"/>
      <c r="O34" s="2935"/>
      <c r="P34" s="3366"/>
      <c r="Q34" s="1530" t="str">
        <f t="shared" si="8"/>
        <v>建筑结构</v>
      </c>
      <c r="R34" s="713" t="s">
        <v>21</v>
      </c>
      <c r="S34" s="714">
        <f t="shared" si="9"/>
        <v>100</v>
      </c>
      <c r="T34" s="713" t="s">
        <v>21</v>
      </c>
      <c r="U34" s="714">
        <f t="shared" si="10"/>
        <v>100</v>
      </c>
      <c r="V34" s="713" t="s">
        <v>21</v>
      </c>
      <c r="W34" s="714">
        <f t="shared" si="11"/>
        <v>100</v>
      </c>
      <c r="X34" s="1533"/>
      <c r="Y34" s="3368"/>
      <c r="Z34" s="1534" t="str">
        <f t="shared" si="15"/>
        <v>建筑结构</v>
      </c>
      <c r="AA34" s="1531">
        <f t="shared" si="12"/>
        <v>1</v>
      </c>
      <c r="AB34" s="1531">
        <f t="shared" si="13"/>
        <v>1</v>
      </c>
      <c r="AC34" s="1531">
        <f t="shared" si="14"/>
        <v>1</v>
      </c>
    </row>
    <row r="35" spans="1:29" ht="15">
      <c r="A35" s="430"/>
      <c r="B35" s="380" t="s">
        <v>2386</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1"/>
      <c r="M35" s="2935"/>
      <c r="N35" s="2935"/>
      <c r="O35" s="2935"/>
      <c r="P35" s="3366"/>
      <c r="Q35" s="1530" t="str">
        <f t="shared" si="8"/>
        <v>建筑品质</v>
      </c>
      <c r="R35" s="713" t="s">
        <v>21</v>
      </c>
      <c r="S35" s="714">
        <f t="shared" si="9"/>
        <v>100</v>
      </c>
      <c r="T35" s="713" t="s">
        <v>21</v>
      </c>
      <c r="U35" s="714">
        <f t="shared" si="10"/>
        <v>100</v>
      </c>
      <c r="V35" s="713" t="s">
        <v>21</v>
      </c>
      <c r="W35" s="714">
        <f t="shared" si="11"/>
        <v>100</v>
      </c>
      <c r="X35" s="1533"/>
      <c r="Y35" s="3368"/>
      <c r="Z35" s="1534" t="str">
        <f t="shared" si="15"/>
        <v>建筑品质</v>
      </c>
      <c r="AA35" s="1531">
        <f t="shared" si="12"/>
        <v>1</v>
      </c>
      <c r="AB35" s="1531">
        <f t="shared" si="13"/>
        <v>1</v>
      </c>
      <c r="AC35" s="1531">
        <f t="shared" si="14"/>
        <v>1</v>
      </c>
    </row>
    <row r="36" spans="1:29" ht="15">
      <c r="A36" s="430"/>
      <c r="B36" s="380" t="s">
        <v>2387</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1"/>
      <c r="M36" s="2935"/>
      <c r="N36" s="2935"/>
      <c r="O36" s="2935"/>
      <c r="P36" s="3366"/>
      <c r="Q36" s="1530" t="str">
        <f t="shared" si="8"/>
        <v>公共部分装修</v>
      </c>
      <c r="R36" s="713" t="s">
        <v>21</v>
      </c>
      <c r="S36" s="714">
        <f t="shared" si="9"/>
        <v>100</v>
      </c>
      <c r="T36" s="713" t="s">
        <v>21</v>
      </c>
      <c r="U36" s="714">
        <f t="shared" si="10"/>
        <v>100</v>
      </c>
      <c r="V36" s="713" t="s">
        <v>21</v>
      </c>
      <c r="W36" s="714">
        <f t="shared" si="11"/>
        <v>100</v>
      </c>
      <c r="X36" s="1533"/>
      <c r="Y36" s="3368"/>
      <c r="Z36" s="1534" t="str">
        <f t="shared" si="15"/>
        <v>公共部分装修</v>
      </c>
      <c r="AA36" s="1531">
        <f t="shared" si="12"/>
        <v>1</v>
      </c>
      <c r="AB36" s="1531">
        <f t="shared" si="13"/>
        <v>1</v>
      </c>
      <c r="AC36" s="1531">
        <f t="shared" si="14"/>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366"/>
      <c r="Q37" s="1521" t="str">
        <f t="shared" si="8"/>
        <v>成新度</v>
      </c>
      <c r="R37" s="709" t="s">
        <v>21</v>
      </c>
      <c r="S37" s="710" t="e">
        <f t="shared" si="9"/>
        <v>#N/A</v>
      </c>
      <c r="T37" s="709" t="s">
        <v>21</v>
      </c>
      <c r="U37" s="710" t="e">
        <f t="shared" si="10"/>
        <v>#N/A</v>
      </c>
      <c r="V37" s="709" t="s">
        <v>21</v>
      </c>
      <c r="W37" s="710" t="e">
        <f t="shared" si="11"/>
        <v>#N/A</v>
      </c>
      <c r="X37" s="711"/>
      <c r="Y37" s="3368"/>
      <c r="Z37" s="55" t="str">
        <f t="shared" si="15"/>
        <v>成新度</v>
      </c>
      <c r="AA37" s="712" t="e">
        <f t="shared" si="12"/>
        <v>#N/A</v>
      </c>
      <c r="AB37" s="712" t="e">
        <f t="shared" si="13"/>
        <v>#N/A</v>
      </c>
      <c r="AC37" s="712" t="e">
        <f t="shared" si="14"/>
        <v>#N/A</v>
      </c>
    </row>
    <row r="38" spans="1:29" ht="15">
      <c r="A38" s="430"/>
      <c r="B38" s="380" t="s">
        <v>2389</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1"/>
      <c r="M38" s="2935"/>
      <c r="N38" s="2935"/>
      <c r="O38" s="2935"/>
      <c r="P38" s="3366" t="s">
        <v>2383</v>
      </c>
      <c r="Q38" s="1530" t="str">
        <f t="shared" si="8"/>
        <v>物业管理</v>
      </c>
      <c r="R38" s="713" t="s">
        <v>21</v>
      </c>
      <c r="S38" s="714">
        <f t="shared" si="9"/>
        <v>100</v>
      </c>
      <c r="T38" s="713" t="s">
        <v>21</v>
      </c>
      <c r="U38" s="714">
        <f t="shared" si="10"/>
        <v>100</v>
      </c>
      <c r="V38" s="713" t="s">
        <v>21</v>
      </c>
      <c r="W38" s="714">
        <f t="shared" si="11"/>
        <v>100</v>
      </c>
      <c r="X38" s="1533"/>
      <c r="Y38" s="3368" t="s">
        <v>2383</v>
      </c>
      <c r="Z38" s="1534" t="str">
        <f t="shared" si="15"/>
        <v>物业管理</v>
      </c>
      <c r="AA38" s="1531">
        <f t="shared" si="12"/>
        <v>1</v>
      </c>
      <c r="AB38" s="1531">
        <f t="shared" si="13"/>
        <v>1</v>
      </c>
      <c r="AC38" s="1531">
        <f t="shared" si="14"/>
        <v>1</v>
      </c>
    </row>
    <row r="39" spans="1:29" ht="15">
      <c r="A39" s="430"/>
      <c r="B39" s="380" t="s">
        <v>2390</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1"/>
      <c r="M39" s="2935"/>
      <c r="N39" s="2935"/>
      <c r="O39" s="2935"/>
      <c r="P39" s="3366"/>
      <c r="Q39" s="1530" t="str">
        <f t="shared" si="8"/>
        <v>市政基础设施</v>
      </c>
      <c r="R39" s="713" t="s">
        <v>21</v>
      </c>
      <c r="S39" s="714">
        <f t="shared" si="9"/>
        <v>100</v>
      </c>
      <c r="T39" s="713" t="s">
        <v>21</v>
      </c>
      <c r="U39" s="714">
        <f t="shared" si="10"/>
        <v>100</v>
      </c>
      <c r="V39" s="713" t="s">
        <v>21</v>
      </c>
      <c r="W39" s="714">
        <f t="shared" si="11"/>
        <v>100</v>
      </c>
      <c r="X39" s="1533"/>
      <c r="Y39" s="3368"/>
      <c r="Z39" s="1534" t="str">
        <f t="shared" si="15"/>
        <v>市政基础设施</v>
      </c>
      <c r="AA39" s="1531">
        <f t="shared" si="12"/>
        <v>1</v>
      </c>
      <c r="AB39" s="1531">
        <f t="shared" si="13"/>
        <v>1</v>
      </c>
      <c r="AC39" s="1531">
        <f t="shared" si="14"/>
        <v>1</v>
      </c>
    </row>
    <row r="40" spans="1:29" ht="15">
      <c r="A40" s="430"/>
      <c r="B40" s="380" t="s">
        <v>2391</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1"/>
      <c r="M40" s="2935"/>
      <c r="N40" s="2935"/>
      <c r="O40" s="2935"/>
      <c r="P40" s="3366"/>
      <c r="Q40" s="1530" t="str">
        <f t="shared" si="8"/>
        <v>房型</v>
      </c>
      <c r="R40" s="713" t="s">
        <v>21</v>
      </c>
      <c r="S40" s="714">
        <f t="shared" si="9"/>
        <v>100</v>
      </c>
      <c r="T40" s="713" t="s">
        <v>21</v>
      </c>
      <c r="U40" s="714">
        <f t="shared" si="10"/>
        <v>100</v>
      </c>
      <c r="V40" s="713" t="s">
        <v>21</v>
      </c>
      <c r="W40" s="714">
        <f t="shared" si="11"/>
        <v>100</v>
      </c>
      <c r="X40" s="1533"/>
      <c r="Y40" s="3368"/>
      <c r="Z40" s="1534" t="str">
        <f t="shared" si="15"/>
        <v>房型</v>
      </c>
      <c r="AA40" s="1531">
        <f t="shared" si="12"/>
        <v>1</v>
      </c>
      <c r="AB40" s="1531">
        <f t="shared" si="13"/>
        <v>1</v>
      </c>
      <c r="AC40" s="1531">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0"/>
      <c r="M41" s="2942"/>
      <c r="N41" s="2942"/>
      <c r="O41" s="2942"/>
      <c r="P41" s="3366"/>
      <c r="Q41" s="715" t="str">
        <f t="shared" si="8"/>
        <v>单套/主力户型建筑面积</v>
      </c>
      <c r="R41" s="716" t="s">
        <v>21</v>
      </c>
      <c r="S41" s="717">
        <f t="shared" si="9"/>
        <v>100</v>
      </c>
      <c r="T41" s="716" t="s">
        <v>21</v>
      </c>
      <c r="U41" s="717">
        <f t="shared" si="10"/>
        <v>100</v>
      </c>
      <c r="V41" s="716" t="s">
        <v>21</v>
      </c>
      <c r="W41" s="717">
        <f t="shared" si="11"/>
        <v>100</v>
      </c>
      <c r="X41" s="718"/>
      <c r="Y41" s="3368"/>
      <c r="Z41" s="719" t="str">
        <f t="shared" si="15"/>
        <v>单套/主力户型建筑面积</v>
      </c>
      <c r="AA41" s="1531">
        <f t="shared" si="12"/>
        <v>1</v>
      </c>
      <c r="AB41" s="1531">
        <f t="shared" si="13"/>
        <v>1</v>
      </c>
      <c r="AC41" s="1531">
        <f t="shared" si="14"/>
        <v>1</v>
      </c>
    </row>
    <row r="42" spans="1:29" ht="15">
      <c r="A42" s="430"/>
      <c r="B42" s="380" t="s">
        <v>2393</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1"/>
      <c r="M42" s="2935"/>
      <c r="N42" s="2935"/>
      <c r="O42" s="2935"/>
      <c r="P42" s="3366"/>
      <c r="Q42" s="1530" t="str">
        <f t="shared" si="8"/>
        <v>内部装修</v>
      </c>
      <c r="R42" s="713" t="s">
        <v>21</v>
      </c>
      <c r="S42" s="714">
        <f t="shared" si="9"/>
        <v>100</v>
      </c>
      <c r="T42" s="713" t="s">
        <v>21</v>
      </c>
      <c r="U42" s="714">
        <f t="shared" si="10"/>
        <v>100</v>
      </c>
      <c r="V42" s="713" t="s">
        <v>21</v>
      </c>
      <c r="W42" s="714">
        <f t="shared" si="11"/>
        <v>100</v>
      </c>
      <c r="X42" s="1533"/>
      <c r="Y42" s="3368"/>
      <c r="Z42" s="1534" t="str">
        <f t="shared" si="15"/>
        <v>内部装修</v>
      </c>
      <c r="AA42" s="1531">
        <f t="shared" si="12"/>
        <v>1</v>
      </c>
      <c r="AB42" s="1531">
        <f t="shared" si="13"/>
        <v>1</v>
      </c>
      <c r="AC42" s="1531">
        <f t="shared" si="14"/>
        <v>1</v>
      </c>
    </row>
    <row r="43" spans="1:29" ht="15">
      <c r="A43" s="430"/>
      <c r="B43" s="380" t="s">
        <v>2394</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1"/>
      <c r="M43" s="2935"/>
      <c r="N43" s="2935"/>
      <c r="O43" s="2935"/>
      <c r="P43" s="3366"/>
      <c r="Q43" s="1530" t="str">
        <f t="shared" si="8"/>
        <v>内部装修维护情况</v>
      </c>
      <c r="R43" s="713" t="s">
        <v>21</v>
      </c>
      <c r="S43" s="714">
        <f t="shared" si="9"/>
        <v>100</v>
      </c>
      <c r="T43" s="713" t="s">
        <v>21</v>
      </c>
      <c r="U43" s="714">
        <f t="shared" si="10"/>
        <v>100</v>
      </c>
      <c r="V43" s="713" t="s">
        <v>21</v>
      </c>
      <c r="W43" s="714">
        <f t="shared" si="11"/>
        <v>100</v>
      </c>
      <c r="X43" s="1533"/>
      <c r="Y43" s="3368"/>
      <c r="Z43" s="1534" t="str">
        <f t="shared" si="15"/>
        <v>内部装修维护情况</v>
      </c>
      <c r="AA43" s="1531">
        <f t="shared" si="12"/>
        <v>1</v>
      </c>
      <c r="AB43" s="1531">
        <f t="shared" si="13"/>
        <v>1</v>
      </c>
      <c r="AC43" s="1531">
        <f t="shared" si="14"/>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6"/>
      <c r="M44" s="2937"/>
      <c r="N44" s="2937"/>
      <c r="O44" s="2937"/>
      <c r="P44" s="3366"/>
      <c r="Q44" s="1521">
        <f t="shared" si="8"/>
        <v>111</v>
      </c>
      <c r="R44" s="709" t="s">
        <v>21</v>
      </c>
      <c r="S44" s="710">
        <f t="shared" si="9"/>
        <v>100</v>
      </c>
      <c r="T44" s="709" t="s">
        <v>21</v>
      </c>
      <c r="U44" s="710">
        <f t="shared" si="10"/>
        <v>100</v>
      </c>
      <c r="V44" s="709" t="s">
        <v>21</v>
      </c>
      <c r="W44" s="710">
        <f t="shared" si="11"/>
        <v>100</v>
      </c>
      <c r="X44" s="711"/>
      <c r="Y44" s="3368"/>
      <c r="Z44" s="55">
        <f t="shared" si="15"/>
        <v>111</v>
      </c>
      <c r="AA44" s="712">
        <f t="shared" si="12"/>
        <v>1</v>
      </c>
      <c r="AB44" s="712">
        <f t="shared" si="13"/>
        <v>1</v>
      </c>
      <c r="AC44" s="712">
        <f t="shared" si="14"/>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1"/>
      <c r="M45" s="2935"/>
      <c r="N45" s="2935"/>
      <c r="O45" s="2935"/>
      <c r="P45" s="3366"/>
      <c r="Q45" s="1530">
        <f t="shared" si="8"/>
        <v>111</v>
      </c>
      <c r="R45" s="713" t="s">
        <v>21</v>
      </c>
      <c r="S45" s="714">
        <f t="shared" si="9"/>
        <v>100</v>
      </c>
      <c r="T45" s="713" t="s">
        <v>21</v>
      </c>
      <c r="U45" s="714">
        <f t="shared" si="10"/>
        <v>100</v>
      </c>
      <c r="V45" s="713" t="s">
        <v>21</v>
      </c>
      <c r="W45" s="714">
        <f t="shared" si="11"/>
        <v>100</v>
      </c>
      <c r="X45" s="1533"/>
      <c r="Y45" s="3368"/>
      <c r="Z45" s="1534">
        <f t="shared" si="15"/>
        <v>111</v>
      </c>
      <c r="AA45" s="1531">
        <f t="shared" si="12"/>
        <v>1</v>
      </c>
      <c r="AB45" s="1531">
        <f t="shared" si="13"/>
        <v>1</v>
      </c>
      <c r="AC45" s="1531">
        <f t="shared" si="14"/>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1"/>
      <c r="M46" s="2935"/>
      <c r="N46" s="2935"/>
      <c r="O46" s="2935"/>
      <c r="P46" s="3367"/>
      <c r="Q46" s="1530">
        <f t="shared" si="8"/>
        <v>111</v>
      </c>
      <c r="R46" s="713" t="s">
        <v>20</v>
      </c>
      <c r="S46" s="714">
        <f t="shared" si="9"/>
        <v>100</v>
      </c>
      <c r="T46" s="713" t="s">
        <v>20</v>
      </c>
      <c r="U46" s="714">
        <f t="shared" si="10"/>
        <v>100</v>
      </c>
      <c r="V46" s="713" t="s">
        <v>20</v>
      </c>
      <c r="W46" s="714">
        <f t="shared" si="11"/>
        <v>100</v>
      </c>
      <c r="X46" s="1533"/>
      <c r="Y46" s="3369"/>
      <c r="Z46" s="1534">
        <f t="shared" si="15"/>
        <v>111</v>
      </c>
      <c r="AA46" s="1531">
        <f t="shared" si="12"/>
        <v>1</v>
      </c>
      <c r="AB46" s="1531">
        <f t="shared" si="13"/>
        <v>1</v>
      </c>
      <c r="AC46" s="1531">
        <f t="shared" si="14"/>
        <v>1</v>
      </c>
    </row>
    <row r="47" spans="1:29" ht="15">
      <c r="A47" s="437" t="s">
        <v>2395</v>
      </c>
      <c r="B47" s="438"/>
      <c r="C47" s="1309" t="s">
        <v>19</v>
      </c>
      <c r="D47" s="1310"/>
      <c r="E47" s="1311"/>
      <c r="F47" s="1312"/>
      <c r="G47" s="1313"/>
      <c r="H47" s="1314"/>
      <c r="I47" s="1311"/>
      <c r="J47" s="1314"/>
      <c r="K47" s="2093"/>
      <c r="L47" s="2943"/>
      <c r="M47" s="2944"/>
      <c r="N47" s="2935"/>
      <c r="O47" s="2944"/>
      <c r="P47" s="3361" t="str">
        <f>A47</f>
        <v>成交单价（元/平方米）</v>
      </c>
      <c r="Q47" s="3361"/>
      <c r="R47" s="3362">
        <f>E47</f>
        <v>0</v>
      </c>
      <c r="S47" s="3362"/>
      <c r="T47" s="3362">
        <f>G47</f>
        <v>0</v>
      </c>
      <c r="U47" s="3362"/>
      <c r="V47" s="3362">
        <f>I47</f>
        <v>0</v>
      </c>
      <c r="W47" s="3362"/>
      <c r="X47" s="698"/>
      <c r="Y47" s="720"/>
      <c r="Z47" s="698"/>
      <c r="AA47" s="698"/>
      <c r="AB47" s="698"/>
      <c r="AC47" s="698"/>
    </row>
    <row r="48" spans="1:29" ht="15.75" thickBot="1">
      <c r="A48" s="444" t="s">
        <v>2396</v>
      </c>
      <c r="B48" s="445"/>
      <c r="C48" s="1315" t="e">
        <f>R49</f>
        <v>#DIV/0!</v>
      </c>
      <c r="D48" s="2531" t="s">
        <v>2878</v>
      </c>
      <c r="E48" s="1316" t="e">
        <f>R48</f>
        <v>#DIV/0!</v>
      </c>
      <c r="F48" s="2532"/>
      <c r="G48" s="1315" t="e">
        <f>T48</f>
        <v>#DIV/0!</v>
      </c>
      <c r="H48" s="2532"/>
      <c r="I48" s="1316" t="e">
        <f>V48</f>
        <v>#DIV/0!</v>
      </c>
      <c r="J48" s="2532"/>
      <c r="K48" s="2533">
        <f>F48+H48+J48</f>
        <v>0</v>
      </c>
      <c r="L48" s="2943"/>
      <c r="M48" s="2944"/>
      <c r="N48" s="2944"/>
      <c r="O48" s="2944"/>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8"/>
      <c r="Y48" s="698"/>
      <c r="Z48" s="698"/>
      <c r="AA48" s="698"/>
      <c r="AB48" s="698"/>
      <c r="AC48" s="698"/>
    </row>
    <row r="49" spans="1:29" ht="15.75" thickBot="1">
      <c r="A49" s="448" t="s">
        <v>2397</v>
      </c>
      <c r="B49" s="449"/>
      <c r="C49" s="1317" t="e">
        <f>R49</f>
        <v>#DIV/0!</v>
      </c>
      <c r="D49" s="1318"/>
      <c r="E49" s="1318"/>
      <c r="F49" s="1318"/>
      <c r="G49" s="1318"/>
      <c r="H49" s="1318"/>
      <c r="I49" s="1318"/>
      <c r="J49" s="1318"/>
      <c r="K49" s="2094"/>
      <c r="L49" s="2943"/>
      <c r="M49" s="2944"/>
      <c r="N49" s="2944"/>
      <c r="O49" s="2944"/>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6"/>
    </row>
    <row r="55" spans="1:29" s="458"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2" t="s">
        <v>2401</v>
      </c>
      <c r="B57" s="698"/>
      <c r="C57" s="703"/>
      <c r="D57" s="703"/>
      <c r="E57" s="703"/>
      <c r="F57" s="704"/>
      <c r="G57" s="704"/>
      <c r="H57" s="703"/>
      <c r="I57" s="703"/>
      <c r="J57" s="703"/>
      <c r="K57" s="1065"/>
      <c r="L57" s="1066"/>
      <c r="M57" s="1064"/>
      <c r="N57" s="1064"/>
      <c r="O57" s="1064"/>
      <c r="P57" s="2097"/>
      <c r="Q57" s="460"/>
    </row>
    <row r="58" spans="1:29" s="464" customFormat="1" ht="15">
      <c r="A58" s="461" t="s">
        <v>2402</v>
      </c>
      <c r="B58" s="462"/>
      <c r="C58" s="1340" t="str">
        <f>YEAR(C7)&amp;"-"&amp;MONTH(C7)</f>
        <v>2020-12</v>
      </c>
      <c r="D58" s="1339">
        <f>EDATE(C58,-1)</f>
        <v>44136</v>
      </c>
      <c r="E58" s="1339">
        <f>EDATE(D58,-1)</f>
        <v>44105</v>
      </c>
      <c r="F58" s="1339">
        <f t="shared" ref="F58:O58" si="16">EDATE(E58,-1)</f>
        <v>44075</v>
      </c>
      <c r="G58" s="1339">
        <f t="shared" si="16"/>
        <v>44044</v>
      </c>
      <c r="H58" s="1339">
        <f t="shared" si="16"/>
        <v>44013</v>
      </c>
      <c r="I58" s="1339">
        <f t="shared" si="16"/>
        <v>43983</v>
      </c>
      <c r="J58" s="1339">
        <f t="shared" si="16"/>
        <v>43952</v>
      </c>
      <c r="K58" s="1339">
        <f t="shared" si="16"/>
        <v>43922</v>
      </c>
      <c r="L58" s="1339">
        <f t="shared" si="16"/>
        <v>43891</v>
      </c>
      <c r="M58" s="1339">
        <f t="shared" si="16"/>
        <v>43862</v>
      </c>
      <c r="N58" s="1339">
        <f t="shared" si="16"/>
        <v>43831</v>
      </c>
      <c r="O58" s="1339">
        <f t="shared" si="16"/>
        <v>43800</v>
      </c>
      <c r="P58" s="1335"/>
    </row>
    <row r="59" spans="1:29" s="112" customFormat="1" ht="15">
      <c r="A59" s="465"/>
      <c r="B59" s="2098"/>
      <c r="C59" s="1337">
        <v>100</v>
      </c>
      <c r="D59" s="467"/>
      <c r="E59" s="468"/>
      <c r="F59" s="468"/>
      <c r="G59" s="468"/>
      <c r="H59" s="468"/>
      <c r="I59" s="468"/>
      <c r="J59" s="468"/>
      <c r="K59" s="468"/>
      <c r="L59" s="468"/>
      <c r="M59" s="469"/>
      <c r="N59" s="468"/>
      <c r="O59" s="469"/>
      <c r="P59" s="2099"/>
    </row>
    <row r="60" spans="1:29" s="112" customFormat="1" ht="15.75" thickBot="1">
      <c r="A60" s="471" t="s">
        <v>2403</v>
      </c>
      <c r="B60" s="472"/>
      <c r="C60" s="473"/>
      <c r="D60" s="474"/>
      <c r="E60" s="474"/>
      <c r="F60" s="474"/>
      <c r="G60" s="474"/>
      <c r="H60" s="474"/>
      <c r="I60" s="474"/>
      <c r="J60" s="474"/>
      <c r="K60" s="474"/>
      <c r="L60" s="474"/>
      <c r="M60" s="475"/>
      <c r="N60" s="474"/>
      <c r="O60" s="475"/>
      <c r="P60" s="2099"/>
      <c r="Q60" s="460"/>
    </row>
    <row r="61" spans="1:29" s="112" customFormat="1" ht="15">
      <c r="A61" s="477" t="s">
        <v>2404</v>
      </c>
      <c r="B61" s="466"/>
      <c r="C61" s="478" t="s">
        <v>2405</v>
      </c>
      <c r="D61" s="479"/>
      <c r="E61" s="479"/>
      <c r="F61" s="479"/>
      <c r="G61" s="479"/>
      <c r="H61" s="479"/>
      <c r="I61" s="479"/>
      <c r="J61" s="479"/>
      <c r="K61" s="479"/>
      <c r="L61" s="480"/>
      <c r="M61" s="481"/>
      <c r="N61" s="1056"/>
      <c r="O61" s="1056"/>
      <c r="P61" s="2100"/>
      <c r="Q61" s="460"/>
    </row>
    <row r="62" spans="1:29" s="112" customFormat="1" ht="15.75" thickBot="1">
      <c r="A62" s="477"/>
      <c r="B62" s="466"/>
      <c r="C62" s="467">
        <v>100</v>
      </c>
      <c r="D62" s="468"/>
      <c r="E62" s="468"/>
      <c r="F62" s="468"/>
      <c r="G62" s="468"/>
      <c r="H62" s="468"/>
      <c r="I62" s="468"/>
      <c r="J62" s="468"/>
      <c r="K62" s="468"/>
      <c r="L62" s="468"/>
      <c r="M62" s="470"/>
      <c r="N62" s="1056"/>
      <c r="O62" s="1056"/>
      <c r="P62" s="2099"/>
      <c r="Q62" s="460"/>
    </row>
    <row r="63" spans="1:29">
      <c r="A63" s="483" t="s">
        <v>2406</v>
      </c>
      <c r="B63" s="484" t="s">
        <v>2372</v>
      </c>
      <c r="C63" s="485">
        <f>C9</f>
        <v>0</v>
      </c>
      <c r="D63" s="486"/>
      <c r="E63" s="486"/>
      <c r="F63" s="486"/>
      <c r="G63" s="486"/>
      <c r="H63" s="486"/>
      <c r="I63" s="486"/>
      <c r="J63" s="486"/>
      <c r="K63" s="487"/>
      <c r="L63" s="488"/>
      <c r="M63" s="489"/>
      <c r="N63" s="1057"/>
      <c r="O63" s="1057"/>
      <c r="P63" s="2101"/>
      <c r="Q63" s="460"/>
    </row>
    <row r="64" spans="1:29" ht="15.75" thickBot="1">
      <c r="A64" s="490"/>
      <c r="B64" s="491"/>
      <c r="C64" s="492">
        <v>100</v>
      </c>
      <c r="D64" s="492"/>
      <c r="E64" s="492"/>
      <c r="F64" s="492"/>
      <c r="G64" s="492"/>
      <c r="H64" s="492"/>
      <c r="I64" s="492"/>
      <c r="J64" s="492"/>
      <c r="K64" s="492"/>
      <c r="L64" s="492"/>
      <c r="M64" s="493"/>
      <c r="N64" s="1058"/>
      <c r="O64" s="1058"/>
      <c r="P64" s="2101"/>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57"/>
      <c r="O65" s="1057"/>
      <c r="P65" s="2101"/>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58"/>
      <c r="O66" s="1058"/>
      <c r="P66" s="2101"/>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58"/>
      <c r="O67" s="1058"/>
      <c r="P67" s="2101"/>
      <c r="Q67" s="460"/>
    </row>
    <row r="68" spans="1:17" ht="15">
      <c r="A68" s="490"/>
      <c r="B68" s="504"/>
      <c r="C68" s="505"/>
      <c r="D68" s="505"/>
      <c r="E68" s="505"/>
      <c r="F68" s="505"/>
      <c r="G68" s="505"/>
      <c r="H68" s="505"/>
      <c r="I68" s="505"/>
      <c r="J68" s="505"/>
      <c r="K68" s="506"/>
      <c r="L68" s="507"/>
      <c r="M68" s="508"/>
      <c r="N68" s="1057"/>
      <c r="O68" s="1057"/>
      <c r="P68" s="2101"/>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58"/>
      <c r="O69" s="1058"/>
      <c r="P69" s="2101"/>
      <c r="Q69" s="460"/>
    </row>
    <row r="70" spans="1:17" s="429" customFormat="1" ht="15.75" thickTop="1">
      <c r="A70" s="509"/>
      <c r="B70" s="494">
        <f>B12</f>
        <v>111</v>
      </c>
      <c r="C70" s="510"/>
      <c r="D70" s="510"/>
      <c r="E70" s="510"/>
      <c r="F70" s="510"/>
      <c r="G70" s="510"/>
      <c r="H70" s="511"/>
      <c r="I70" s="511"/>
      <c r="J70" s="511"/>
      <c r="K70" s="511"/>
      <c r="L70" s="512"/>
      <c r="M70" s="513"/>
      <c r="N70" s="1059"/>
      <c r="O70" s="1059"/>
      <c r="P70" s="2102"/>
      <c r="Q70" s="515"/>
    </row>
    <row r="71" spans="1:17" s="429" customFormat="1" ht="15.75" thickBot="1">
      <c r="A71" s="509"/>
      <c r="B71" s="499"/>
      <c r="C71" s="516"/>
      <c r="D71" s="492"/>
      <c r="E71" s="492"/>
      <c r="F71" s="492"/>
      <c r="G71" s="492"/>
      <c r="H71" s="492"/>
      <c r="I71" s="492"/>
      <c r="J71" s="492"/>
      <c r="K71" s="492"/>
      <c r="L71" s="492"/>
      <c r="M71" s="493"/>
      <c r="N71" s="1058"/>
      <c r="O71" s="1058"/>
      <c r="P71" s="2102"/>
      <c r="Q71" s="515"/>
    </row>
    <row r="72" spans="1:17" s="429" customFormat="1" ht="15.75" thickTop="1">
      <c r="A72" s="509"/>
      <c r="B72" s="494">
        <f>B13</f>
        <v>111</v>
      </c>
      <c r="C72" s="510"/>
      <c r="D72" s="510"/>
      <c r="E72" s="510"/>
      <c r="F72" s="510"/>
      <c r="G72" s="510"/>
      <c r="H72" s="511"/>
      <c r="I72" s="511"/>
      <c r="J72" s="511"/>
      <c r="K72" s="511"/>
      <c r="L72" s="512"/>
      <c r="M72" s="513"/>
      <c r="N72" s="1059"/>
      <c r="O72" s="1059"/>
      <c r="P72" s="2103"/>
      <c r="Q72" s="517"/>
    </row>
    <row r="73" spans="1:17" s="429" customFormat="1" ht="15.75" thickBot="1">
      <c r="A73" s="509"/>
      <c r="B73" s="499"/>
      <c r="C73" s="516"/>
      <c r="D73" s="516"/>
      <c r="E73" s="516"/>
      <c r="F73" s="516"/>
      <c r="G73" s="516"/>
      <c r="H73" s="518"/>
      <c r="I73" s="518"/>
      <c r="J73" s="518"/>
      <c r="K73" s="518"/>
      <c r="L73" s="518"/>
      <c r="M73" s="519"/>
      <c r="N73" s="1059"/>
      <c r="O73" s="1059"/>
      <c r="P73" s="2102"/>
      <c r="Q73" s="515"/>
    </row>
    <row r="74" spans="1:17" s="429" customFormat="1" ht="15.75" thickTop="1">
      <c r="A74" s="509"/>
      <c r="B74" s="502">
        <f>B14</f>
        <v>111</v>
      </c>
      <c r="C74" s="510"/>
      <c r="D74" s="510"/>
      <c r="E74" s="510"/>
      <c r="F74" s="510"/>
      <c r="G74" s="479"/>
      <c r="H74" s="520"/>
      <c r="I74" s="520"/>
      <c r="J74" s="520"/>
      <c r="K74" s="520"/>
      <c r="L74" s="521"/>
      <c r="M74" s="522"/>
      <c r="N74" s="1059"/>
      <c r="O74" s="1059"/>
      <c r="P74" s="2104"/>
      <c r="Q74" s="515"/>
    </row>
    <row r="75" spans="1:17" s="429" customFormat="1" ht="15.75" thickBot="1">
      <c r="A75" s="524"/>
      <c r="B75" s="525"/>
      <c r="C75" s="526"/>
      <c r="D75" s="526"/>
      <c r="E75" s="526"/>
      <c r="F75" s="526"/>
      <c r="G75" s="526"/>
      <c r="H75" s="527"/>
      <c r="I75" s="527"/>
      <c r="J75" s="527"/>
      <c r="K75" s="527"/>
      <c r="L75" s="527"/>
      <c r="M75" s="528"/>
      <c r="N75" s="1059"/>
      <c r="O75" s="1059"/>
      <c r="P75" s="2102"/>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57"/>
      <c r="O76" s="1057"/>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1"/>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57"/>
      <c r="O78" s="1057"/>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1"/>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57"/>
      <c r="O80" s="1057"/>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1"/>
      <c r="Q81" s="460"/>
    </row>
    <row r="82" spans="1:17" ht="15.75" thickTop="1">
      <c r="A82" s="490"/>
      <c r="B82" s="502" t="s">
        <v>1946</v>
      </c>
      <c r="C82" s="495" t="s">
        <v>2422</v>
      </c>
      <c r="D82" s="495" t="s">
        <v>2423</v>
      </c>
      <c r="E82" s="495" t="s">
        <v>2424</v>
      </c>
      <c r="F82" s="495" t="s">
        <v>2425</v>
      </c>
      <c r="G82" s="495" t="s">
        <v>2426</v>
      </c>
      <c r="H82" s="495"/>
      <c r="I82" s="495"/>
      <c r="J82" s="495"/>
      <c r="K82" s="495"/>
      <c r="L82" s="495"/>
      <c r="M82" s="1284"/>
      <c r="N82" s="1058"/>
      <c r="O82" s="1058"/>
      <c r="P82" s="2101"/>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58"/>
      <c r="O83" s="1058"/>
      <c r="P83" s="2101"/>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57"/>
      <c r="O84" s="1057"/>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1"/>
      <c r="Q85" s="460"/>
    </row>
    <row r="86" spans="1:17" s="112" customFormat="1" ht="15.75" thickTop="1">
      <c r="A86" s="535"/>
      <c r="B86" s="494" t="s">
        <v>2428</v>
      </c>
      <c r="C86" s="510"/>
      <c r="D86" s="510"/>
      <c r="E86" s="510"/>
      <c r="F86" s="510"/>
      <c r="G86" s="510"/>
      <c r="H86" s="510"/>
      <c r="I86" s="510"/>
      <c r="J86" s="510"/>
      <c r="K86" s="510"/>
      <c r="L86" s="536"/>
      <c r="M86" s="537"/>
      <c r="N86" s="1056"/>
      <c r="O86" s="1056"/>
      <c r="P86" s="2101"/>
      <c r="Q86" s="460"/>
    </row>
    <row r="87" spans="1:17" s="112"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58"/>
      <c r="O87" s="1058"/>
      <c r="P87" s="2101"/>
      <c r="Q87" s="460"/>
    </row>
    <row r="88" spans="1:17" s="112" customFormat="1" ht="15.75" thickTop="1">
      <c r="A88" s="535"/>
      <c r="B88" s="494" t="s">
        <v>2429</v>
      </c>
      <c r="C88" s="510"/>
      <c r="D88" s="510"/>
      <c r="E88" s="510"/>
      <c r="F88" s="2106"/>
      <c r="G88" s="510"/>
      <c r="H88" s="510"/>
      <c r="I88" s="510"/>
      <c r="J88" s="510"/>
      <c r="K88" s="510"/>
      <c r="L88" s="510"/>
      <c r="M88" s="537"/>
      <c r="N88" s="1056"/>
      <c r="O88" s="1056"/>
      <c r="P88" s="2101"/>
      <c r="Q88" s="460"/>
    </row>
    <row r="89" spans="1:17" s="112"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58"/>
      <c r="O89" s="1058"/>
      <c r="P89" s="2101"/>
      <c r="Q89" s="460"/>
    </row>
    <row r="90" spans="1:17" s="429" customFormat="1" ht="15.75" thickTop="1">
      <c r="A90" s="509"/>
      <c r="B90" s="494">
        <f>B27</f>
        <v>111</v>
      </c>
      <c r="C90" s="510"/>
      <c r="D90" s="510"/>
      <c r="E90" s="510"/>
      <c r="F90" s="510"/>
      <c r="G90" s="510"/>
      <c r="H90" s="511"/>
      <c r="I90" s="511"/>
      <c r="J90" s="511"/>
      <c r="K90" s="511"/>
      <c r="L90" s="512"/>
      <c r="M90" s="513"/>
      <c r="N90" s="1059"/>
      <c r="O90" s="1059"/>
      <c r="P90" s="2102"/>
      <c r="Q90" s="515"/>
    </row>
    <row r="91" spans="1:17" s="429" customFormat="1" ht="15.75" thickBot="1">
      <c r="A91" s="509"/>
      <c r="B91" s="499"/>
      <c r="C91" s="516"/>
      <c r="D91" s="516"/>
      <c r="E91" s="516"/>
      <c r="F91" s="516"/>
      <c r="G91" s="516"/>
      <c r="H91" s="518"/>
      <c r="I91" s="518"/>
      <c r="J91" s="518"/>
      <c r="K91" s="518"/>
      <c r="L91" s="518"/>
      <c r="M91" s="519"/>
      <c r="N91" s="1059"/>
      <c r="O91" s="1059"/>
      <c r="P91" s="2102"/>
      <c r="Q91" s="515"/>
    </row>
    <row r="92" spans="1:17" ht="15.75" thickTop="1">
      <c r="A92" s="490"/>
      <c r="B92" s="494">
        <f>B28</f>
        <v>111</v>
      </c>
      <c r="C92" s="510"/>
      <c r="D92" s="510"/>
      <c r="E92" s="510"/>
      <c r="F92" s="510"/>
      <c r="G92" s="539"/>
      <c r="H92" s="539"/>
      <c r="I92" s="539"/>
      <c r="J92" s="539"/>
      <c r="K92" s="540"/>
      <c r="L92" s="541"/>
      <c r="M92" s="542"/>
      <c r="N92" s="1057"/>
      <c r="O92" s="1057"/>
      <c r="P92" s="2101"/>
      <c r="Q92" s="460"/>
    </row>
    <row r="93" spans="1:17" ht="15.75" thickBot="1">
      <c r="A93" s="490"/>
      <c r="B93" s="499"/>
      <c r="C93" s="516"/>
      <c r="D93" s="492"/>
      <c r="E93" s="492"/>
      <c r="F93" s="492"/>
      <c r="G93" s="492"/>
      <c r="H93" s="492"/>
      <c r="I93" s="492"/>
      <c r="J93" s="492"/>
      <c r="K93" s="492"/>
      <c r="L93" s="492"/>
      <c r="M93" s="493"/>
      <c r="N93" s="1058"/>
      <c r="O93" s="1058"/>
      <c r="P93" s="2101"/>
      <c r="Q93" s="460"/>
    </row>
    <row r="94" spans="1:17" ht="15.75" thickTop="1">
      <c r="A94" s="490"/>
      <c r="B94" s="494">
        <f>B29</f>
        <v>111</v>
      </c>
      <c r="C94" s="510"/>
      <c r="D94" s="510"/>
      <c r="E94" s="510"/>
      <c r="F94" s="510"/>
      <c r="G94" s="539"/>
      <c r="H94" s="539"/>
      <c r="I94" s="539"/>
      <c r="J94" s="539"/>
      <c r="K94" s="540"/>
      <c r="L94" s="541"/>
      <c r="M94" s="542"/>
      <c r="N94" s="1057"/>
      <c r="O94" s="1057"/>
      <c r="P94" s="2101"/>
      <c r="Q94" s="460"/>
    </row>
    <row r="95" spans="1:17" ht="15.75" thickBot="1">
      <c r="A95" s="490"/>
      <c r="B95" s="499"/>
      <c r="C95" s="516"/>
      <c r="D95" s="516"/>
      <c r="E95" s="516"/>
      <c r="F95" s="516"/>
      <c r="G95" s="492"/>
      <c r="H95" s="492"/>
      <c r="I95" s="492"/>
      <c r="J95" s="492"/>
      <c r="K95" s="492"/>
      <c r="L95" s="492"/>
      <c r="M95" s="493"/>
      <c r="N95" s="1058"/>
      <c r="O95" s="1058"/>
      <c r="P95" s="2101"/>
      <c r="Q95" s="460"/>
    </row>
    <row r="96" spans="1:17" ht="15.75" thickTop="1">
      <c r="A96" s="490"/>
      <c r="B96" s="494">
        <f>B30</f>
        <v>111</v>
      </c>
      <c r="C96" s="510"/>
      <c r="D96" s="510"/>
      <c r="E96" s="510"/>
      <c r="F96" s="510"/>
      <c r="G96" s="539"/>
      <c r="H96" s="539"/>
      <c r="I96" s="539"/>
      <c r="J96" s="539"/>
      <c r="K96" s="540"/>
      <c r="L96" s="541"/>
      <c r="M96" s="542"/>
      <c r="N96" s="1057"/>
      <c r="O96" s="1057"/>
      <c r="P96" s="2101"/>
      <c r="Q96" s="460"/>
    </row>
    <row r="97" spans="1:17" ht="15.75" thickBot="1">
      <c r="A97" s="490"/>
      <c r="B97" s="499"/>
      <c r="C97" s="526"/>
      <c r="D97" s="526"/>
      <c r="E97" s="526"/>
      <c r="F97" s="526"/>
      <c r="G97" s="492"/>
      <c r="H97" s="492"/>
      <c r="I97" s="492"/>
      <c r="J97" s="492"/>
      <c r="K97" s="492"/>
      <c r="L97" s="492"/>
      <c r="M97" s="493"/>
      <c r="N97" s="1058"/>
      <c r="O97" s="1058"/>
      <c r="P97" s="2101"/>
      <c r="Q97" s="460"/>
    </row>
    <row r="98" spans="1:17" ht="15.75" thickTop="1">
      <c r="A98" s="490"/>
      <c r="B98" s="502">
        <f>B31</f>
        <v>111</v>
      </c>
      <c r="C98" s="543"/>
      <c r="D98" s="543"/>
      <c r="E98" s="543"/>
      <c r="F98" s="543"/>
      <c r="G98" s="543"/>
      <c r="H98" s="543"/>
      <c r="I98" s="543"/>
      <c r="J98" s="543"/>
      <c r="K98" s="544"/>
      <c r="L98" s="545"/>
      <c r="M98" s="546"/>
      <c r="N98" s="1057"/>
      <c r="O98" s="1057"/>
      <c r="P98" s="2101"/>
      <c r="Q98" s="460"/>
    </row>
    <row r="99" spans="1:17" ht="15.75" thickBot="1">
      <c r="A99" s="2107"/>
      <c r="B99" s="525"/>
      <c r="C99" s="547"/>
      <c r="D99" s="547"/>
      <c r="E99" s="547"/>
      <c r="F99" s="547"/>
      <c r="G99" s="547"/>
      <c r="H99" s="547"/>
      <c r="I99" s="547"/>
      <c r="J99" s="547"/>
      <c r="K99" s="547"/>
      <c r="L99" s="547"/>
      <c r="M99" s="548"/>
      <c r="N99" s="1058"/>
      <c r="O99" s="1058"/>
      <c r="P99" s="2101"/>
      <c r="Q99" s="460"/>
    </row>
    <row r="100" spans="1:17">
      <c r="A100" s="483" t="s">
        <v>2381</v>
      </c>
      <c r="B100" s="484" t="s">
        <v>2430</v>
      </c>
      <c r="C100" s="486"/>
      <c r="D100" s="486"/>
      <c r="E100" s="486"/>
      <c r="F100" s="486"/>
      <c r="G100" s="486"/>
      <c r="H100" s="486"/>
      <c r="I100" s="486"/>
      <c r="J100" s="486"/>
      <c r="K100" s="487"/>
      <c r="L100" s="488"/>
      <c r="M100" s="489"/>
      <c r="N100" s="1057"/>
      <c r="O100" s="1057"/>
      <c r="P100" s="2101"/>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58"/>
      <c r="O101" s="1058"/>
      <c r="P101" s="2101"/>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56"/>
      <c r="O102" s="1056"/>
      <c r="P102" s="2101"/>
      <c r="Q102" s="460"/>
    </row>
    <row r="103" spans="1:17" s="429" customFormat="1">
      <c r="A103" s="549"/>
      <c r="B103" s="550"/>
      <c r="C103" s="551"/>
      <c r="D103" s="551"/>
      <c r="E103" s="551"/>
      <c r="F103" s="551"/>
      <c r="G103" s="551"/>
      <c r="H103" s="551"/>
      <c r="I103" s="551"/>
      <c r="J103" s="552"/>
      <c r="K103" s="552"/>
      <c r="L103" s="553"/>
      <c r="M103" s="554"/>
      <c r="N103" s="1059"/>
      <c r="O103" s="1059"/>
      <c r="P103" s="2102"/>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2"/>
      <c r="Q104" s="515"/>
    </row>
    <row r="105" spans="1:17" ht="15" thickTop="1">
      <c r="A105" s="555"/>
      <c r="B105" s="494" t="s">
        <v>2432</v>
      </c>
      <c r="C105" s="510"/>
      <c r="D105" s="510"/>
      <c r="E105" s="539"/>
      <c r="F105" s="539"/>
      <c r="G105" s="539"/>
      <c r="H105" s="539"/>
      <c r="I105" s="539"/>
      <c r="J105" s="539"/>
      <c r="K105" s="540"/>
      <c r="L105" s="541"/>
      <c r="M105" s="542"/>
      <c r="N105" s="1057"/>
      <c r="O105" s="1057"/>
      <c r="P105" s="2101"/>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58"/>
      <c r="O106" s="1058"/>
      <c r="P106" s="2101"/>
      <c r="Q106" s="460"/>
    </row>
    <row r="107" spans="1:17" ht="15" thickTop="1">
      <c r="A107" s="555"/>
      <c r="B107" s="494" t="s">
        <v>2433</v>
      </c>
      <c r="C107" s="539"/>
      <c r="D107" s="539"/>
      <c r="E107" s="539"/>
      <c r="F107" s="539"/>
      <c r="G107" s="539"/>
      <c r="H107" s="539"/>
      <c r="I107" s="539"/>
      <c r="J107" s="539"/>
      <c r="K107" s="540"/>
      <c r="L107" s="541"/>
      <c r="M107" s="542"/>
      <c r="N107" s="1057"/>
      <c r="O107" s="1057"/>
      <c r="P107" s="2101"/>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58"/>
      <c r="O108" s="1058"/>
      <c r="P108" s="2101"/>
      <c r="Q108" s="460"/>
    </row>
    <row r="109" spans="1:17" ht="15" thickTop="1">
      <c r="A109" s="555"/>
      <c r="B109" s="494" t="s">
        <v>2434</v>
      </c>
      <c r="C109" s="510"/>
      <c r="D109" s="510"/>
      <c r="E109" s="510"/>
      <c r="F109" s="539"/>
      <c r="G109" s="539"/>
      <c r="H109" s="539"/>
      <c r="I109" s="539"/>
      <c r="J109" s="539"/>
      <c r="K109" s="540"/>
      <c r="L109" s="541"/>
      <c r="M109" s="542"/>
      <c r="N109" s="1057"/>
      <c r="O109" s="1057"/>
      <c r="P109" s="2101"/>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58"/>
      <c r="O110" s="1058"/>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2"/>
      <c r="Q113" s="515"/>
    </row>
    <row r="114" spans="1:17" ht="15" thickTop="1">
      <c r="A114" s="555"/>
      <c r="B114" s="494" t="s">
        <v>2435</v>
      </c>
      <c r="C114" s="510"/>
      <c r="D114" s="510"/>
      <c r="E114" s="539"/>
      <c r="F114" s="539"/>
      <c r="G114" s="539"/>
      <c r="H114" s="539"/>
      <c r="I114" s="539"/>
      <c r="J114" s="539"/>
      <c r="K114" s="540"/>
      <c r="L114" s="541"/>
      <c r="M114" s="542"/>
      <c r="N114" s="1057"/>
      <c r="O114" s="1057"/>
      <c r="P114" s="2101"/>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58"/>
      <c r="O115" s="1058"/>
      <c r="P115" s="2101"/>
      <c r="Q115" s="460"/>
    </row>
    <row r="116" spans="1:17" ht="15" thickTop="1">
      <c r="A116" s="555"/>
      <c r="B116" s="494" t="s">
        <v>2436</v>
      </c>
      <c r="C116" s="510"/>
      <c r="D116" s="510"/>
      <c r="E116" s="510"/>
      <c r="F116" s="510"/>
      <c r="G116" s="510"/>
      <c r="H116" s="539"/>
      <c r="I116" s="539"/>
      <c r="J116" s="539"/>
      <c r="K116" s="540"/>
      <c r="L116" s="541"/>
      <c r="M116" s="542"/>
      <c r="N116" s="1057"/>
      <c r="O116" s="1057"/>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1"/>
      <c r="Q117" s="460"/>
    </row>
    <row r="118" spans="1:17" ht="15" thickTop="1">
      <c r="A118" s="555"/>
      <c r="B118" s="494" t="s">
        <v>2437</v>
      </c>
      <c r="C118" s="539"/>
      <c r="D118" s="539"/>
      <c r="E118" s="539"/>
      <c r="F118" s="539"/>
      <c r="G118" s="539"/>
      <c r="H118" s="539"/>
      <c r="I118" s="539"/>
      <c r="J118" s="539"/>
      <c r="K118" s="540"/>
      <c r="L118" s="541"/>
      <c r="M118" s="542"/>
      <c r="N118" s="1057"/>
      <c r="O118" s="1057"/>
      <c r="P118" s="2101"/>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58"/>
      <c r="O119" s="1058"/>
      <c r="P119" s="2101"/>
      <c r="Q119" s="460"/>
    </row>
    <row r="120" spans="1:17" s="429" customFormat="1" ht="28.5" thickTop="1">
      <c r="A120" s="549"/>
      <c r="B120" s="494" t="s">
        <v>2392</v>
      </c>
      <c r="C120" s="510"/>
      <c r="D120" s="510"/>
      <c r="E120" s="510"/>
      <c r="F120" s="510"/>
      <c r="G120" s="510"/>
      <c r="H120" s="510"/>
      <c r="I120" s="510"/>
      <c r="J120" s="510"/>
      <c r="K120" s="510"/>
      <c r="L120" s="536"/>
      <c r="M120" s="537"/>
      <c r="N120" s="1059"/>
      <c r="O120" s="1059"/>
      <c r="P120" s="2102"/>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2"/>
      <c r="Q121" s="515"/>
    </row>
    <row r="122" spans="1:17" ht="15" thickTop="1">
      <c r="A122" s="555"/>
      <c r="B122" s="494" t="s">
        <v>2438</v>
      </c>
      <c r="C122" s="510"/>
      <c r="D122" s="510"/>
      <c r="E122" s="510"/>
      <c r="F122" s="539"/>
      <c r="G122" s="539"/>
      <c r="H122" s="539"/>
      <c r="I122" s="539"/>
      <c r="J122" s="539"/>
      <c r="K122" s="540"/>
      <c r="L122" s="541"/>
      <c r="M122" s="542"/>
      <c r="N122" s="1057"/>
      <c r="O122" s="1057"/>
      <c r="P122" s="2101"/>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58"/>
      <c r="O123" s="1058"/>
      <c r="P123" s="2101"/>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57"/>
      <c r="O124" s="1057"/>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1"/>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2"/>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2"/>
      <c r="Q127" s="515"/>
    </row>
    <row r="128" spans="1:17" ht="15" thickTop="1">
      <c r="A128" s="555"/>
      <c r="B128" s="494">
        <f>B45</f>
        <v>111</v>
      </c>
      <c r="C128" s="510"/>
      <c r="D128" s="510"/>
      <c r="E128" s="510"/>
      <c r="F128" s="510"/>
      <c r="G128" s="539"/>
      <c r="H128" s="539"/>
      <c r="I128" s="539"/>
      <c r="J128" s="539"/>
      <c r="K128" s="540"/>
      <c r="L128" s="541"/>
      <c r="M128" s="542"/>
      <c r="N128" s="1057"/>
      <c r="O128" s="1057"/>
      <c r="P128" s="2101"/>
      <c r="Q128" s="460"/>
    </row>
    <row r="129" spans="1:17" ht="15.75" thickBot="1">
      <c r="A129" s="490"/>
      <c r="B129" s="499"/>
      <c r="C129" s="516"/>
      <c r="D129" s="516"/>
      <c r="E129" s="516"/>
      <c r="F129" s="516"/>
      <c r="G129" s="492"/>
      <c r="H129" s="492"/>
      <c r="I129" s="492"/>
      <c r="J129" s="492"/>
      <c r="K129" s="492"/>
      <c r="L129" s="492"/>
      <c r="M129" s="493"/>
      <c r="N129" s="1058"/>
      <c r="O129" s="1058"/>
      <c r="P129" s="2101"/>
      <c r="Q129" s="460"/>
    </row>
    <row r="130" spans="1:17" ht="15" thickTop="1">
      <c r="A130" s="555"/>
      <c r="B130" s="502">
        <f>B46</f>
        <v>111</v>
      </c>
      <c r="C130" s="510"/>
      <c r="D130" s="510"/>
      <c r="E130" s="510"/>
      <c r="F130" s="510"/>
      <c r="G130" s="543"/>
      <c r="H130" s="543"/>
      <c r="I130" s="543"/>
      <c r="J130" s="543"/>
      <c r="K130" s="479"/>
      <c r="L130" s="480"/>
      <c r="M130" s="546"/>
      <c r="N130" s="1057"/>
      <c r="O130" s="1057"/>
      <c r="P130" s="2101"/>
      <c r="Q130" s="460"/>
    </row>
    <row r="131" spans="1:17" ht="15.75" thickBot="1">
      <c r="A131" s="2107"/>
      <c r="B131" s="525"/>
      <c r="C131" s="526"/>
      <c r="D131" s="526"/>
      <c r="E131" s="526"/>
      <c r="F131" s="526"/>
      <c r="G131" s="547"/>
      <c r="H131" s="547"/>
      <c r="I131" s="547"/>
      <c r="J131" s="547"/>
      <c r="K131" s="547"/>
      <c r="L131" s="547"/>
      <c r="M131" s="548"/>
      <c r="N131" s="1058"/>
      <c r="O131" s="1058"/>
      <c r="P131" s="2101"/>
      <c r="Q131" s="460"/>
    </row>
    <row r="136" spans="1:17" ht="15" thickBot="1">
      <c r="B136" s="2108" t="s">
        <v>2440</v>
      </c>
    </row>
    <row r="137" spans="1:17" ht="15">
      <c r="B137" s="2109" t="s">
        <v>2441</v>
      </c>
      <c r="C137" s="2110"/>
      <c r="D137" s="2110"/>
      <c r="E137" s="2110"/>
      <c r="F137" s="2110"/>
      <c r="G137" s="2111"/>
      <c r="H137" s="2112"/>
      <c r="I137" s="2113" t="s">
        <v>2442</v>
      </c>
      <c r="J137" s="2110"/>
      <c r="K137" s="2114"/>
    </row>
    <row r="138" spans="1:17" ht="15">
      <c r="B138" s="2115"/>
      <c r="C138" s="141" t="s">
        <v>2443</v>
      </c>
      <c r="D138" s="141" t="s">
        <v>2444</v>
      </c>
      <c r="E138" s="2116" t="s">
        <v>2445</v>
      </c>
      <c r="F138" s="2117" t="s">
        <v>2446</v>
      </c>
      <c r="G138" s="141" t="s">
        <v>2444</v>
      </c>
      <c r="H138" s="142" t="s">
        <v>2445</v>
      </c>
      <c r="I138" s="2118"/>
      <c r="J138" s="141" t="s">
        <v>2447</v>
      </c>
      <c r="K138" s="142" t="s">
        <v>2448</v>
      </c>
    </row>
    <row r="139" spans="1:17" ht="15">
      <c r="B139" s="991">
        <v>6</v>
      </c>
      <c r="C139" s="992">
        <v>96</v>
      </c>
      <c r="D139" s="2119" t="s">
        <v>2449</v>
      </c>
      <c r="E139" s="993">
        <v>100</v>
      </c>
      <c r="F139" s="994">
        <v>102.5</v>
      </c>
      <c r="G139" s="2119" t="s">
        <v>2449</v>
      </c>
      <c r="H139" s="995">
        <v>105</v>
      </c>
      <c r="I139" s="2120" t="s">
        <v>2450</v>
      </c>
      <c r="J139" s="992">
        <v>20</v>
      </c>
      <c r="K139" s="996">
        <f>C145/(J139-2)</f>
        <v>4.0555555555555553E-3</v>
      </c>
    </row>
    <row r="140" spans="1:17" ht="15">
      <c r="B140" s="997">
        <v>5</v>
      </c>
      <c r="C140" s="998">
        <v>100</v>
      </c>
      <c r="D140" s="998"/>
      <c r="E140" s="999"/>
      <c r="F140" s="1000">
        <v>102</v>
      </c>
      <c r="G140" s="998"/>
      <c r="H140" s="1001"/>
      <c r="I140" s="2121" t="s">
        <v>2451</v>
      </c>
      <c r="J140" s="276">
        <f>ROUNDUP((J139-1)/2,0)</f>
        <v>10</v>
      </c>
      <c r="K140" s="1002">
        <v>100</v>
      </c>
    </row>
    <row r="141" spans="1:17" ht="15">
      <c r="B141" s="997">
        <v>4</v>
      </c>
      <c r="C141" s="998">
        <v>102</v>
      </c>
      <c r="D141" s="998"/>
      <c r="E141" s="999"/>
      <c r="F141" s="1000">
        <v>101.5</v>
      </c>
      <c r="G141" s="998"/>
      <c r="H141" s="1001"/>
      <c r="I141" s="2121" t="s">
        <v>2452</v>
      </c>
      <c r="J141" s="276">
        <v>1</v>
      </c>
      <c r="K141" s="1003">
        <f>ROUND(100+(J141-J140)*K139*100,1)</f>
        <v>96.4</v>
      </c>
    </row>
    <row r="142" spans="1:17" ht="15">
      <c r="B142" s="997">
        <v>3</v>
      </c>
      <c r="C142" s="998">
        <v>103</v>
      </c>
      <c r="D142" s="998"/>
      <c r="E142" s="999"/>
      <c r="F142" s="1000">
        <v>101</v>
      </c>
      <c r="G142" s="998"/>
      <c r="H142" s="1001"/>
      <c r="I142" s="2121" t="s">
        <v>2453</v>
      </c>
      <c r="J142" s="276">
        <f>J139</f>
        <v>20</v>
      </c>
      <c r="K142" s="1004">
        <v>95</v>
      </c>
    </row>
    <row r="143" spans="1:17" ht="15">
      <c r="B143" s="997">
        <v>2</v>
      </c>
      <c r="C143" s="998">
        <v>100</v>
      </c>
      <c r="D143" s="998"/>
      <c r="E143" s="999"/>
      <c r="F143" s="1000">
        <v>100.5</v>
      </c>
      <c r="G143" s="998"/>
      <c r="H143" s="1001"/>
      <c r="I143" s="2121" t="s">
        <v>2454</v>
      </c>
      <c r="J143" s="998">
        <v>15</v>
      </c>
      <c r="K143" s="1003">
        <f>ROUND(100+(J143-J140)*K139*100,1)</f>
        <v>102</v>
      </c>
    </row>
    <row r="144" spans="1:17" ht="15">
      <c r="B144" s="997">
        <v>1</v>
      </c>
      <c r="C144" s="998">
        <v>98</v>
      </c>
      <c r="D144" s="2122" t="s">
        <v>2455</v>
      </c>
      <c r="E144" s="999">
        <v>102</v>
      </c>
      <c r="F144" s="1005">
        <v>100</v>
      </c>
      <c r="G144" s="2122" t="s">
        <v>2455</v>
      </c>
      <c r="H144" s="1001">
        <v>105</v>
      </c>
      <c r="I144" s="2121" t="s">
        <v>2454</v>
      </c>
      <c r="J144" s="998">
        <v>18</v>
      </c>
      <c r="K144" s="1003">
        <f>ROUND(100+(J144-J140)*K139*100,1)</f>
        <v>103.2</v>
      </c>
    </row>
    <row r="145" spans="2:11" ht="15.75" thickBot="1">
      <c r="B145" s="2123" t="s">
        <v>2456</v>
      </c>
      <c r="C145" s="1006">
        <f>ROUND(MAX(C139:C144)/MIN(C139:C144)-1,3)</f>
        <v>7.2999999999999995E-2</v>
      </c>
      <c r="D145" s="1007"/>
      <c r="E145" s="1007"/>
      <c r="F145" s="2124" t="s">
        <v>2457</v>
      </c>
      <c r="G145" s="2125"/>
      <c r="H145" s="2126"/>
      <c r="I145" s="2127" t="s">
        <v>2454</v>
      </c>
      <c r="J145" s="1008">
        <v>8</v>
      </c>
      <c r="K145" s="1009">
        <f>ROUND(100+(J145-J140)*K139*100,1)</f>
        <v>99.2</v>
      </c>
    </row>
    <row r="147" spans="2:11">
      <c r="B147" s="2108" t="s">
        <v>2458</v>
      </c>
    </row>
    <row r="148" spans="2:11">
      <c r="B148" s="2108"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2460</v>
      </c>
      <c r="C1" s="1398" t="s">
        <v>2348</v>
      </c>
      <c r="D1" s="1385"/>
      <c r="E1" s="2536"/>
      <c r="F1" s="2058"/>
      <c r="G1" s="1395" t="s">
        <v>2461</v>
      </c>
      <c r="H1" s="1394"/>
      <c r="I1" s="1394"/>
      <c r="J1" s="1394"/>
      <c r="K1" s="1396"/>
      <c r="L1" s="1397"/>
      <c r="M1" s="1398"/>
      <c r="N1" s="1398"/>
      <c r="O1" s="1398"/>
      <c r="P1" s="2128"/>
      <c r="Q1" s="2129"/>
      <c r="R1" s="2129"/>
      <c r="S1" s="2129"/>
      <c r="T1" s="2129"/>
      <c r="U1" s="2129"/>
      <c r="V1" s="2129"/>
      <c r="W1" s="2129"/>
      <c r="X1" s="2129"/>
      <c r="Y1" s="2129"/>
      <c r="Z1" s="2129"/>
      <c r="AA1" s="2129"/>
      <c r="AB1" s="2129"/>
      <c r="AC1" s="2130"/>
    </row>
    <row r="2" spans="1:29" s="357" customFormat="1" ht="28.5" customHeight="1" thickTop="1">
      <c r="A2" s="1381" t="s">
        <v>2148</v>
      </c>
      <c r="B2" s="1319" t="e">
        <f ca="1">IF(C2="——",ROUND(C49*D3/10000,0),ROUND(C49*D3/10000,0)-D2)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2131"/>
      <c r="Q2" s="1036"/>
      <c r="R2" s="1036"/>
      <c r="S2" s="1036"/>
      <c r="T2" s="1036"/>
      <c r="U2" s="1036"/>
      <c r="V2" s="1036"/>
      <c r="W2" s="1036"/>
      <c r="X2" s="1036"/>
      <c r="Y2" s="1036"/>
      <c r="Z2" s="1036"/>
      <c r="AA2" s="1036"/>
      <c r="AB2" s="1036"/>
      <c r="AC2" s="2132"/>
    </row>
    <row r="3" spans="1:29" s="357" customFormat="1" ht="28.5" customHeight="1" thickBot="1">
      <c r="A3" s="208" t="s">
        <v>2150</v>
      </c>
      <c r="B3" s="565" t="e">
        <f ca="1">IF(C2="——",C49,ROUND(B2*10000/D3,0))</f>
        <v>#DIV/0!</v>
      </c>
      <c r="C3" s="359" t="s">
        <v>2462</v>
      </c>
      <c r="D3" s="358">
        <f>IF(D1="",'数据-汇总表'!E3,SUMIF('数据-汇总表'!$C19:$C33,D1,'数据-汇总表'!$E19:$E33))</f>
        <v>101912.04000000001</v>
      </c>
      <c r="E3" s="2133"/>
      <c r="F3" s="1033"/>
      <c r="G3" s="1032"/>
      <c r="H3" s="1032"/>
      <c r="I3" s="1032"/>
      <c r="J3" s="1032"/>
      <c r="K3" s="1034"/>
      <c r="L3" s="2953"/>
      <c r="M3" s="2954"/>
      <c r="N3" s="2954"/>
      <c r="O3" s="2954"/>
      <c r="P3" s="2131"/>
      <c r="Q3" s="1036"/>
      <c r="R3" s="1036"/>
      <c r="S3" s="1036"/>
      <c r="T3" s="1036"/>
      <c r="U3" s="1036"/>
      <c r="V3" s="1036"/>
      <c r="W3" s="1036"/>
      <c r="X3" s="1036"/>
      <c r="Y3" s="1036"/>
      <c r="Z3" s="1036"/>
      <c r="AA3" s="1036"/>
      <c r="AB3" s="1036"/>
      <c r="AC3" s="2133"/>
    </row>
    <row r="4" spans="1:29" ht="15">
      <c r="A4" s="360" t="s">
        <v>2463</v>
      </c>
      <c r="B4" s="361"/>
      <c r="C4" s="3344" t="s">
        <v>2464</v>
      </c>
      <c r="D4" s="3345"/>
      <c r="E4" s="3346" t="s">
        <v>2465</v>
      </c>
      <c r="F4" s="3347"/>
      <c r="G4" s="3344" t="s">
        <v>2466</v>
      </c>
      <c r="H4" s="3345"/>
      <c r="I4" s="3344" t="s">
        <v>2467</v>
      </c>
      <c r="J4" s="3345"/>
      <c r="K4" s="566" t="s">
        <v>2468</v>
      </c>
      <c r="L4" s="2934"/>
      <c r="M4" s="2935"/>
      <c r="N4" s="2935"/>
      <c r="O4" s="2935"/>
      <c r="P4" s="3348" t="s">
        <v>2469</v>
      </c>
      <c r="Q4" s="3349"/>
      <c r="R4" s="3331" t="s">
        <v>2465</v>
      </c>
      <c r="S4" s="3332"/>
      <c r="T4" s="3331" t="s">
        <v>2466</v>
      </c>
      <c r="U4" s="3332"/>
      <c r="V4" s="3356" t="s">
        <v>2467</v>
      </c>
      <c r="W4" s="3356"/>
      <c r="X4" s="1533"/>
      <c r="Y4" s="3331" t="s">
        <v>2469</v>
      </c>
      <c r="Z4" s="3332"/>
      <c r="AA4" s="3326" t="s">
        <v>2465</v>
      </c>
      <c r="AB4" s="3356" t="s">
        <v>2466</v>
      </c>
      <c r="AC4" s="3326" t="s">
        <v>2467</v>
      </c>
    </row>
    <row r="5" spans="1:29" ht="15">
      <c r="A5" s="363"/>
      <c r="B5" s="364"/>
      <c r="C5" s="3337" t="s">
        <v>2360</v>
      </c>
      <c r="D5" s="3338"/>
      <c r="E5" s="3335" t="s">
        <v>2361</v>
      </c>
      <c r="F5" s="3336"/>
      <c r="G5" s="3337" t="s">
        <v>2362</v>
      </c>
      <c r="H5" s="3338"/>
      <c r="I5" s="3337" t="s">
        <v>2363</v>
      </c>
      <c r="J5" s="3338"/>
      <c r="K5" s="566"/>
      <c r="L5" s="2934"/>
      <c r="M5" s="2935"/>
      <c r="N5" s="2935"/>
      <c r="O5" s="2935"/>
      <c r="P5" s="3350"/>
      <c r="Q5" s="3351"/>
      <c r="R5" s="3333"/>
      <c r="S5" s="3334"/>
      <c r="T5" s="3333"/>
      <c r="U5" s="3334"/>
      <c r="V5" s="3356"/>
      <c r="W5" s="3356"/>
      <c r="X5" s="1533"/>
      <c r="Y5" s="3333"/>
      <c r="Z5" s="3334"/>
      <c r="AA5" s="3327"/>
      <c r="AB5" s="3356"/>
      <c r="AC5" s="3327"/>
    </row>
    <row r="6" spans="1:29" ht="15.75" thickBot="1">
      <c r="A6" s="365"/>
      <c r="B6" s="366"/>
      <c r="C6" s="3339" t="s">
        <v>2364</v>
      </c>
      <c r="D6" s="3340"/>
      <c r="E6" s="3341" t="s">
        <v>2364</v>
      </c>
      <c r="F6" s="3342"/>
      <c r="G6" s="3339" t="s">
        <v>2364</v>
      </c>
      <c r="H6" s="3340"/>
      <c r="I6" s="3339" t="s">
        <v>2364</v>
      </c>
      <c r="J6" s="3340"/>
      <c r="K6" s="566" t="s">
        <v>2365</v>
      </c>
      <c r="L6" s="2934"/>
      <c r="M6" s="2935"/>
      <c r="N6" s="2935"/>
      <c r="O6" s="2935"/>
      <c r="P6" s="3352"/>
      <c r="Q6" s="3353"/>
      <c r="R6" s="3333"/>
      <c r="S6" s="3334"/>
      <c r="T6" s="3354"/>
      <c r="U6" s="3355"/>
      <c r="V6" s="3356"/>
      <c r="W6" s="3356"/>
      <c r="X6" s="1533"/>
      <c r="Y6" s="3354"/>
      <c r="Z6" s="3355"/>
      <c r="AA6" s="3328"/>
      <c r="AB6" s="3356"/>
      <c r="AC6" s="3328"/>
    </row>
    <row r="7" spans="1:29" s="112"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567"/>
      <c r="L7" s="2936"/>
      <c r="M7" s="2937"/>
      <c r="N7" s="2937"/>
      <c r="O7" s="2937"/>
      <c r="P7" s="3329" t="s">
        <v>2367</v>
      </c>
      <c r="Q7" s="3357"/>
      <c r="R7" s="709" t="s">
        <v>17</v>
      </c>
      <c r="S7" s="710">
        <f t="shared" ref="S7:S15" si="0">F7</f>
        <v>0</v>
      </c>
      <c r="T7" s="709" t="s">
        <v>17</v>
      </c>
      <c r="U7" s="710">
        <f t="shared" ref="U7:U15" si="1">H7</f>
        <v>0</v>
      </c>
      <c r="V7" s="709" t="s">
        <v>17</v>
      </c>
      <c r="W7" s="710">
        <f t="shared" ref="W7:W15" si="2">J7</f>
        <v>0</v>
      </c>
      <c r="X7" s="711"/>
      <c r="Y7" s="3329" t="s">
        <v>2367</v>
      </c>
      <c r="Z7" s="3330"/>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6"/>
      <c r="M8" s="2937"/>
      <c r="N8" s="2937"/>
      <c r="O8" s="2937"/>
      <c r="P8" s="3329" t="s">
        <v>2370</v>
      </c>
      <c r="Q8" s="3330"/>
      <c r="R8" s="709" t="s">
        <v>17</v>
      </c>
      <c r="S8" s="710">
        <f t="shared" si="0"/>
        <v>0</v>
      </c>
      <c r="T8" s="709" t="s">
        <v>17</v>
      </c>
      <c r="U8" s="710">
        <f t="shared" si="1"/>
        <v>0</v>
      </c>
      <c r="V8" s="709" t="s">
        <v>17</v>
      </c>
      <c r="W8" s="710">
        <f t="shared" si="2"/>
        <v>0</v>
      </c>
      <c r="X8" s="711"/>
      <c r="Y8" s="3329" t="s">
        <v>2370</v>
      </c>
      <c r="Z8" s="3330"/>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6"/>
      <c r="M9" s="2937"/>
      <c r="N9" s="2937"/>
      <c r="O9" s="2937"/>
      <c r="P9" s="3343"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8"/>
      <c r="M10" s="2939"/>
      <c r="N10" s="2939"/>
      <c r="O10" s="2939"/>
      <c r="P10" s="3343"/>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0"/>
      <c r="M11" s="2935"/>
      <c r="N11" s="2935"/>
      <c r="O11" s="2935"/>
      <c r="P11" s="3343"/>
      <c r="Q11" s="1521" t="str">
        <f t="shared" si="6"/>
        <v>容积率</v>
      </c>
      <c r="R11" s="709" t="s">
        <v>17</v>
      </c>
      <c r="S11" s="710" t="e">
        <f t="shared" si="0"/>
        <v>#N/A</v>
      </c>
      <c r="T11" s="709" t="s">
        <v>17</v>
      </c>
      <c r="U11" s="710" t="e">
        <f t="shared" si="1"/>
        <v>#N/A</v>
      </c>
      <c r="V11" s="709" t="s">
        <v>17</v>
      </c>
      <c r="W11" s="710" t="e">
        <f t="shared" si="2"/>
        <v>#N/A</v>
      </c>
      <c r="X11" s="711"/>
      <c r="Y11" s="3271"/>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343"/>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343"/>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343"/>
      <c r="Q14" s="1521">
        <f t="shared" si="6"/>
        <v>111</v>
      </c>
      <c r="R14" s="709" t="s">
        <v>17</v>
      </c>
      <c r="S14" s="710">
        <f t="shared" si="0"/>
        <v>100</v>
      </c>
      <c r="T14" s="709" t="s">
        <v>17</v>
      </c>
      <c r="U14" s="710">
        <f t="shared" si="1"/>
        <v>100</v>
      </c>
      <c r="V14" s="709" t="s">
        <v>17</v>
      </c>
      <c r="W14" s="710">
        <f t="shared" si="2"/>
        <v>100</v>
      </c>
      <c r="X14" s="711"/>
      <c r="Y14" s="3271"/>
      <c r="Z14" s="55">
        <f t="shared" si="7"/>
        <v>111</v>
      </c>
      <c r="AA14" s="712">
        <f t="shared" si="3"/>
        <v>1</v>
      </c>
      <c r="AB14" s="712">
        <f t="shared" si="4"/>
        <v>1</v>
      </c>
      <c r="AC14" s="712">
        <f t="shared" si="5"/>
        <v>1</v>
      </c>
    </row>
    <row r="15" spans="1:29" ht="71.25">
      <c r="A15" s="398" t="s">
        <v>2377</v>
      </c>
      <c r="B15" s="65" t="s">
        <v>2471</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1"/>
      <c r="M15" s="2935"/>
      <c r="N15" s="2935"/>
      <c r="O15" s="2935"/>
      <c r="P15" s="3370" t="s">
        <v>2378</v>
      </c>
      <c r="Q15" s="1530" t="str">
        <f t="shared" si="6"/>
        <v>商业繁华度</v>
      </c>
      <c r="R15" s="713" t="s">
        <v>17</v>
      </c>
      <c r="S15" s="714">
        <f t="shared" si="0"/>
        <v>100</v>
      </c>
      <c r="T15" s="713" t="s">
        <v>17</v>
      </c>
      <c r="U15" s="714">
        <f t="shared" si="1"/>
        <v>100</v>
      </c>
      <c r="V15" s="713" t="s">
        <v>17</v>
      </c>
      <c r="W15" s="714">
        <f t="shared" si="2"/>
        <v>100</v>
      </c>
      <c r="X15" s="1533"/>
      <c r="Y15" s="3363" t="s">
        <v>2378</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1"/>
      <c r="M16" s="2935"/>
      <c r="N16" s="2935"/>
      <c r="O16" s="2935"/>
      <c r="P16" s="3371"/>
      <c r="Q16" s="1530"/>
      <c r="R16" s="713"/>
      <c r="S16" s="714"/>
      <c r="T16" s="713"/>
      <c r="U16" s="714"/>
      <c r="V16" s="713"/>
      <c r="W16" s="714"/>
      <c r="X16" s="1533"/>
      <c r="Y16" s="3364"/>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0"/>
      <c r="F17" s="411">
        <f>SUMIF(78:78,E18,79:79)-SUMIF(78:78,C18,79:79)+100</f>
        <v>100</v>
      </c>
      <c r="G17" s="412"/>
      <c r="H17" s="413">
        <f>SUMIF(78:78,G18,79:79)-SUMIF(78:78,C18,79:79)+100</f>
        <v>100</v>
      </c>
      <c r="I17" s="410"/>
      <c r="J17" s="413">
        <f>SUMIF(78:78,I18,79:79)-SUMIF(78:78,C18,79:79)+100</f>
        <v>100</v>
      </c>
      <c r="K17" s="570"/>
      <c r="L17" s="2941"/>
      <c r="M17" s="2935"/>
      <c r="N17" s="2935"/>
      <c r="O17" s="2935"/>
      <c r="P17" s="3371"/>
      <c r="Q17" s="1530" t="str">
        <f>B17</f>
        <v>交通便捷度</v>
      </c>
      <c r="R17" s="713" t="s">
        <v>17</v>
      </c>
      <c r="S17" s="714">
        <f>F17</f>
        <v>100</v>
      </c>
      <c r="T17" s="713" t="s">
        <v>17</v>
      </c>
      <c r="U17" s="714">
        <f>H17</f>
        <v>100</v>
      </c>
      <c r="V17" s="713" t="s">
        <v>17</v>
      </c>
      <c r="W17" s="714">
        <f>J17</f>
        <v>100</v>
      </c>
      <c r="X17" s="1533"/>
      <c r="Y17" s="3364"/>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1"/>
      <c r="M18" s="2935"/>
      <c r="N18" s="2935"/>
      <c r="O18" s="2935"/>
      <c r="P18" s="3371"/>
      <c r="Q18" s="1530"/>
      <c r="R18" s="713"/>
      <c r="S18" s="714"/>
      <c r="T18" s="713"/>
      <c r="U18" s="714"/>
      <c r="V18" s="713"/>
      <c r="W18" s="714"/>
      <c r="X18" s="1533"/>
      <c r="Y18" s="3364"/>
      <c r="Z18" s="1534"/>
      <c r="AA18" s="1531">
        <v>1</v>
      </c>
      <c r="AB18" s="1531">
        <v>1</v>
      </c>
      <c r="AC18" s="1531">
        <v>1</v>
      </c>
    </row>
    <row r="19" spans="1:29" ht="156.75">
      <c r="A19" s="386"/>
      <c r="B19" s="409" t="s">
        <v>2472</v>
      </c>
      <c r="C19" s="2079" t="str">
        <f>估价对象房地状况!C7</f>
        <v>周边1公里范围内有购物场所（华联超市）、医院（无）、银行（工商银行、北京农商银行）、学校（海淀科技园小学）、餐饮等公共服务配套设施，公共配套设施状况一般。</v>
      </c>
      <c r="D19" s="413">
        <v>100</v>
      </c>
      <c r="E19" s="415"/>
      <c r="F19" s="416">
        <f>SUMIF(80:80,E20,81:81)-SUMIF(80:80,C20,81:81)+100</f>
        <v>100</v>
      </c>
      <c r="G19" s="417"/>
      <c r="H19" s="408">
        <f>SUMIF(80:80,G20,81:81)-SUMIF(80:80,C20,81:81)+100</f>
        <v>100</v>
      </c>
      <c r="I19" s="415"/>
      <c r="J19" s="408">
        <f>SUMIF(80:80,I20,81:81)-SUMIF(80:80,C20,81:81)+100</f>
        <v>100</v>
      </c>
      <c r="K19" s="570"/>
      <c r="L19" s="2941"/>
      <c r="M19" s="2935"/>
      <c r="N19" s="2935"/>
      <c r="O19" s="2935"/>
      <c r="P19" s="3371"/>
      <c r="Q19" s="1530" t="str">
        <f>B19</f>
        <v>公共配套设施</v>
      </c>
      <c r="R19" s="713" t="s">
        <v>17</v>
      </c>
      <c r="S19" s="714">
        <f>F19</f>
        <v>100</v>
      </c>
      <c r="T19" s="713" t="s">
        <v>17</v>
      </c>
      <c r="U19" s="714">
        <f>H19</f>
        <v>100</v>
      </c>
      <c r="V19" s="713" t="s">
        <v>17</v>
      </c>
      <c r="W19" s="714">
        <f>J19</f>
        <v>100</v>
      </c>
      <c r="X19" s="1533"/>
      <c r="Y19" s="3364"/>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1"/>
      <c r="M20" s="2935"/>
      <c r="N20" s="2935"/>
      <c r="O20" s="2935"/>
      <c r="P20" s="3371"/>
      <c r="Q20" s="1530"/>
      <c r="R20" s="713"/>
      <c r="S20" s="714"/>
      <c r="T20" s="713"/>
      <c r="U20" s="714"/>
      <c r="V20" s="713"/>
      <c r="W20" s="714"/>
      <c r="X20" s="1533"/>
      <c r="Y20" s="3364"/>
      <c r="Z20" s="1534"/>
      <c r="AA20" s="1531">
        <v>1</v>
      </c>
      <c r="AB20" s="1531">
        <v>1</v>
      </c>
      <c r="AC20" s="1531">
        <v>1</v>
      </c>
    </row>
    <row r="21" spans="1:29" ht="15">
      <c r="A21" s="386"/>
      <c r="B21" s="1286" t="s">
        <v>2473</v>
      </c>
      <c r="C21" s="2079"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1"/>
      <c r="M21" s="2935"/>
      <c r="N21" s="2935"/>
      <c r="O21" s="2935"/>
      <c r="P21" s="3371"/>
      <c r="Q21" s="1530" t="str">
        <f>B21</f>
        <v>基础设施水平</v>
      </c>
      <c r="R21" s="713" t="s">
        <v>17</v>
      </c>
      <c r="S21" s="714">
        <f>F21</f>
        <v>100</v>
      </c>
      <c r="T21" s="713" t="s">
        <v>17</v>
      </c>
      <c r="U21" s="714">
        <f>H21</f>
        <v>100</v>
      </c>
      <c r="V21" s="713" t="s">
        <v>17</v>
      </c>
      <c r="W21" s="714">
        <f>J21</f>
        <v>100</v>
      </c>
      <c r="X21" s="1533"/>
      <c r="Y21" s="3364"/>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2941"/>
      <c r="M22" s="2935"/>
      <c r="N22" s="2935"/>
      <c r="O22" s="2935"/>
      <c r="P22" s="3371"/>
      <c r="Q22" s="1530"/>
      <c r="R22" s="713"/>
      <c r="S22" s="714"/>
      <c r="T22" s="713"/>
      <c r="U22" s="714"/>
      <c r="V22" s="713"/>
      <c r="W22" s="714"/>
      <c r="X22" s="1533"/>
      <c r="Y22" s="3364"/>
      <c r="Z22" s="1534"/>
      <c r="AA22" s="1531">
        <v>1</v>
      </c>
      <c r="AB22" s="1531">
        <v>1</v>
      </c>
      <c r="AC22" s="1531">
        <v>1</v>
      </c>
    </row>
    <row r="23" spans="1:29" ht="85.5">
      <c r="A23" s="386"/>
      <c r="B23" s="409" t="s">
        <v>1947</v>
      </c>
      <c r="C23" s="2134" t="str">
        <f>估价对象房地状况!C9</f>
        <v>周边1公里无大型公园，人文环境有北京北大资源研修学院，自然及人文环境一般。</v>
      </c>
      <c r="D23" s="408">
        <v>100</v>
      </c>
      <c r="E23" s="410"/>
      <c r="F23" s="411">
        <f>SUMIF(84:84,E24,85:85)-SUMIF(84:84,C24,85:85)+100</f>
        <v>100</v>
      </c>
      <c r="G23" s="412"/>
      <c r="H23" s="408">
        <f>SUMIF(84:84,G24,85:85)-SUMIF(84:84,C24,85:85)+100</f>
        <v>100</v>
      </c>
      <c r="I23" s="410"/>
      <c r="J23" s="408">
        <f>SUMIF(84:84,I24,85:85)-SUMIF(84:84,C24,85:85)+100</f>
        <v>100</v>
      </c>
      <c r="K23" s="570"/>
      <c r="L23" s="2941"/>
      <c r="M23" s="2935"/>
      <c r="N23" s="2935"/>
      <c r="O23" s="2935"/>
      <c r="P23" s="3371"/>
      <c r="Q23" s="1530" t="str">
        <f>B23</f>
        <v>自然及人文环境</v>
      </c>
      <c r="R23" s="713" t="s">
        <v>17</v>
      </c>
      <c r="S23" s="714">
        <f>F23</f>
        <v>100</v>
      </c>
      <c r="T23" s="713" t="s">
        <v>17</v>
      </c>
      <c r="U23" s="714">
        <f>H23</f>
        <v>100</v>
      </c>
      <c r="V23" s="713" t="s">
        <v>17</v>
      </c>
      <c r="W23" s="714">
        <f>J23</f>
        <v>100</v>
      </c>
      <c r="X23" s="1533"/>
      <c r="Y23" s="3364"/>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1"/>
      <c r="M24" s="2935"/>
      <c r="N24" s="2935"/>
      <c r="O24" s="2935"/>
      <c r="P24" s="3371"/>
      <c r="Q24" s="1530"/>
      <c r="R24" s="713"/>
      <c r="S24" s="714"/>
      <c r="T24" s="713"/>
      <c r="U24" s="714"/>
      <c r="V24" s="713"/>
      <c r="W24" s="714"/>
      <c r="X24" s="1533"/>
      <c r="Y24" s="3364"/>
      <c r="Z24" s="1534"/>
      <c r="AA24" s="1531">
        <v>1</v>
      </c>
      <c r="AB24" s="1531">
        <v>1</v>
      </c>
      <c r="AC24" s="1531">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1"/>
      <c r="M25" s="2935"/>
      <c r="N25" s="2935"/>
      <c r="O25" s="2935"/>
      <c r="P25" s="3371"/>
      <c r="Q25" s="1530" t="str">
        <f t="shared" ref="Q25:Q46" si="8">B25</f>
        <v>临街状况</v>
      </c>
      <c r="R25" s="713" t="s">
        <v>17</v>
      </c>
      <c r="S25" s="714">
        <f>F25</f>
        <v>100</v>
      </c>
      <c r="T25" s="713" t="s">
        <v>17</v>
      </c>
      <c r="U25" s="714">
        <f>H25</f>
        <v>100</v>
      </c>
      <c r="V25" s="713" t="s">
        <v>17</v>
      </c>
      <c r="W25" s="714">
        <f>J25</f>
        <v>100</v>
      </c>
      <c r="X25" s="1533"/>
      <c r="Y25" s="3364"/>
      <c r="Z25" s="1534" t="str">
        <f>Q25</f>
        <v>临街状况</v>
      </c>
      <c r="AA25" s="1531">
        <f t="shared" si="3"/>
        <v>1</v>
      </c>
      <c r="AB25" s="1531">
        <f t="shared" si="4"/>
        <v>1</v>
      </c>
      <c r="AC25" s="1531">
        <f t="shared" si="5"/>
        <v>1</v>
      </c>
    </row>
    <row r="26" spans="1:29" ht="15">
      <c r="A26" s="386"/>
      <c r="B26" s="1288" t="s">
        <v>2475</v>
      </c>
      <c r="C26" s="392"/>
      <c r="D26" s="393">
        <v>100</v>
      </c>
      <c r="E26" s="392"/>
      <c r="F26" s="419">
        <f>SUMIF(88:88,E26,89:89)-SUMIF(88:88,C26,89:89)+100</f>
        <v>100</v>
      </c>
      <c r="G26" s="392"/>
      <c r="H26" s="393">
        <f>SUMIF(88:88,G26,89:89)-SUMIF(88:88,C26,89:89)+100</f>
        <v>100</v>
      </c>
      <c r="I26" s="392"/>
      <c r="J26" s="393">
        <f>SUMIF(88:88,I26,89:89)-SUMIF(88:88,C26,89:89)+100</f>
        <v>100</v>
      </c>
      <c r="K26" s="569"/>
      <c r="L26" s="2941"/>
      <c r="M26" s="2935"/>
      <c r="N26" s="2935"/>
      <c r="O26" s="2935"/>
      <c r="P26" s="3371"/>
      <c r="Q26" s="1530" t="str">
        <f t="shared" si="8"/>
        <v>平面位置/可视性</v>
      </c>
      <c r="R26" s="713" t="s">
        <v>17</v>
      </c>
      <c r="S26" s="714">
        <f>F26</f>
        <v>100</v>
      </c>
      <c r="T26" s="713" t="s">
        <v>17</v>
      </c>
      <c r="U26" s="714">
        <f>H26</f>
        <v>100</v>
      </c>
      <c r="V26" s="713" t="s">
        <v>17</v>
      </c>
      <c r="W26" s="714">
        <f>J26</f>
        <v>100</v>
      </c>
      <c r="X26" s="1533"/>
      <c r="Y26" s="3364"/>
      <c r="Z26" s="1534" t="str">
        <f>Q26</f>
        <v>平面位置/可视性</v>
      </c>
      <c r="AA26" s="1531">
        <f t="shared" si="3"/>
        <v>1</v>
      </c>
      <c r="AB26" s="1531">
        <f t="shared" si="4"/>
        <v>1</v>
      </c>
      <c r="AC26" s="1531">
        <f t="shared" si="5"/>
        <v>1</v>
      </c>
    </row>
    <row r="27" spans="1:29" s="112" customFormat="1" ht="15">
      <c r="A27" s="389"/>
      <c r="B27" s="409" t="s">
        <v>2476</v>
      </c>
      <c r="C27" s="2135"/>
      <c r="D27" s="420">
        <v>100</v>
      </c>
      <c r="E27" s="2135"/>
      <c r="F27" s="422">
        <f>SUMIF(90:90,E27,91:91)-SUMIF(90:90,C27,91:91)+100</f>
        <v>100</v>
      </c>
      <c r="G27" s="2135"/>
      <c r="H27" s="420">
        <f>SUMIF(90:90,G27,91:91)-SUMIF(90:90,C27,91:91)+100</f>
        <v>100</v>
      </c>
      <c r="I27" s="2135"/>
      <c r="J27" s="420">
        <f>SUMIF(90:90,I27,91:91)-SUMIF(90:90,C27,91:91)+100</f>
        <v>100</v>
      </c>
      <c r="K27" s="568"/>
      <c r="L27" s="2936"/>
      <c r="M27" s="2937"/>
      <c r="N27" s="2937"/>
      <c r="O27" s="2937"/>
      <c r="P27" s="3371"/>
      <c r="Q27" s="1521" t="str">
        <f t="shared" si="8"/>
        <v>人流量</v>
      </c>
      <c r="R27" s="709" t="s">
        <v>17</v>
      </c>
      <c r="S27" s="710">
        <f>F27</f>
        <v>100</v>
      </c>
      <c r="T27" s="709" t="s">
        <v>17</v>
      </c>
      <c r="U27" s="710">
        <f>H27</f>
        <v>100</v>
      </c>
      <c r="V27" s="709" t="s">
        <v>17</v>
      </c>
      <c r="W27" s="710">
        <f>J27</f>
        <v>100</v>
      </c>
      <c r="X27" s="711"/>
      <c r="Y27" s="3364"/>
      <c r="Z27" s="55" t="str">
        <f>Q27</f>
        <v>人流量</v>
      </c>
      <c r="AA27" s="1531">
        <f>D27/F27</f>
        <v>1</v>
      </c>
      <c r="AB27" s="1531">
        <f>D27/H27</f>
        <v>1</v>
      </c>
      <c r="AC27" s="1531">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1"/>
      <c r="M28" s="2935"/>
      <c r="N28" s="2935"/>
      <c r="O28" s="2935"/>
      <c r="P28" s="3371"/>
      <c r="Q28" s="1530" t="str">
        <f t="shared" si="8"/>
        <v>楼层</v>
      </c>
      <c r="R28" s="713" t="s">
        <v>17</v>
      </c>
      <c r="S28" s="714">
        <f t="shared" ref="S28:S46" si="9">F28</f>
        <v>100</v>
      </c>
      <c r="T28" s="713" t="s">
        <v>17</v>
      </c>
      <c r="U28" s="714">
        <f t="shared" ref="U28:U46" si="10">H28</f>
        <v>100</v>
      </c>
      <c r="V28" s="713" t="s">
        <v>17</v>
      </c>
      <c r="W28" s="714">
        <f t="shared" ref="W28:W46" si="11">J28</f>
        <v>100</v>
      </c>
      <c r="X28" s="1533"/>
      <c r="Y28" s="3364"/>
      <c r="Z28" s="1534" t="str">
        <f t="shared" ref="Z28:Z46" si="12">Q28</f>
        <v>楼层</v>
      </c>
      <c r="AA28" s="1531">
        <f t="shared" si="3"/>
        <v>1</v>
      </c>
      <c r="AB28" s="1531">
        <f t="shared" si="4"/>
        <v>1</v>
      </c>
      <c r="AC28" s="1531">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371"/>
      <c r="Q29" s="1530">
        <f t="shared" si="8"/>
        <v>111</v>
      </c>
      <c r="R29" s="713" t="s">
        <v>17</v>
      </c>
      <c r="S29" s="714">
        <f t="shared" si="9"/>
        <v>100</v>
      </c>
      <c r="T29" s="713" t="s">
        <v>17</v>
      </c>
      <c r="U29" s="714">
        <f t="shared" si="10"/>
        <v>100</v>
      </c>
      <c r="V29" s="713" t="s">
        <v>17</v>
      </c>
      <c r="W29" s="714">
        <f t="shared" si="11"/>
        <v>100</v>
      </c>
      <c r="X29" s="1533"/>
      <c r="Y29" s="3364"/>
      <c r="Z29" s="1534">
        <f t="shared" si="12"/>
        <v>111</v>
      </c>
      <c r="AA29" s="1531">
        <f t="shared" si="3"/>
        <v>1</v>
      </c>
      <c r="AB29" s="1531">
        <f t="shared" si="4"/>
        <v>1</v>
      </c>
      <c r="AC29" s="1531">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371"/>
      <c r="Q30" s="1530">
        <f t="shared" si="8"/>
        <v>111</v>
      </c>
      <c r="R30" s="713" t="s">
        <v>17</v>
      </c>
      <c r="S30" s="714">
        <f t="shared" si="9"/>
        <v>100</v>
      </c>
      <c r="T30" s="713" t="s">
        <v>17</v>
      </c>
      <c r="U30" s="714">
        <f t="shared" si="10"/>
        <v>100</v>
      </c>
      <c r="V30" s="713" t="s">
        <v>17</v>
      </c>
      <c r="W30" s="714">
        <f t="shared" si="11"/>
        <v>100</v>
      </c>
      <c r="X30" s="1533"/>
      <c r="Y30" s="3364"/>
      <c r="Z30" s="1534">
        <f t="shared" si="12"/>
        <v>111</v>
      </c>
      <c r="AA30" s="1531">
        <f t="shared" si="3"/>
        <v>1</v>
      </c>
      <c r="AB30" s="1531">
        <f t="shared" si="4"/>
        <v>1</v>
      </c>
      <c r="AC30" s="1531">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371"/>
      <c r="Q31" s="1530">
        <f t="shared" si="8"/>
        <v>111</v>
      </c>
      <c r="R31" s="713" t="s">
        <v>17</v>
      </c>
      <c r="S31" s="714">
        <f t="shared" si="9"/>
        <v>100</v>
      </c>
      <c r="T31" s="713" t="s">
        <v>17</v>
      </c>
      <c r="U31" s="714">
        <f t="shared" si="10"/>
        <v>100</v>
      </c>
      <c r="V31" s="713" t="s">
        <v>17</v>
      </c>
      <c r="W31" s="714">
        <f t="shared" si="11"/>
        <v>100</v>
      </c>
      <c r="X31" s="1533"/>
      <c r="Y31" s="3364"/>
      <c r="Z31" s="1534">
        <f t="shared" si="12"/>
        <v>111</v>
      </c>
      <c r="AA31" s="1531">
        <f t="shared" si="3"/>
        <v>1</v>
      </c>
      <c r="AB31" s="1531">
        <f t="shared" si="4"/>
        <v>1</v>
      </c>
      <c r="AC31" s="1531">
        <f t="shared" si="5"/>
        <v>1</v>
      </c>
    </row>
    <row r="32" spans="1:29" ht="15">
      <c r="A32" s="398" t="s">
        <v>2381</v>
      </c>
      <c r="B32" s="67" t="s">
        <v>2478</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1"/>
      <c r="M32" s="2935"/>
      <c r="N32" s="2935"/>
      <c r="O32" s="2935"/>
      <c r="P32" s="3365" t="s">
        <v>2383</v>
      </c>
      <c r="Q32" s="1530" t="str">
        <f t="shared" si="8"/>
        <v>商业类型</v>
      </c>
      <c r="R32" s="713" t="s">
        <v>17</v>
      </c>
      <c r="S32" s="714">
        <f t="shared" si="9"/>
        <v>100</v>
      </c>
      <c r="T32" s="713" t="s">
        <v>17</v>
      </c>
      <c r="U32" s="714">
        <f t="shared" si="10"/>
        <v>100</v>
      </c>
      <c r="V32" s="713" t="s">
        <v>17</v>
      </c>
      <c r="W32" s="714">
        <f t="shared" si="11"/>
        <v>100</v>
      </c>
      <c r="X32" s="1533"/>
      <c r="Y32" s="3368" t="s">
        <v>2383</v>
      </c>
      <c r="Z32" s="1534" t="str">
        <f t="shared" si="12"/>
        <v>商业类型</v>
      </c>
      <c r="AA32" s="1531">
        <f t="shared" si="3"/>
        <v>1</v>
      </c>
      <c r="AB32" s="1531">
        <f t="shared" si="4"/>
        <v>1</v>
      </c>
      <c r="AC32" s="1531">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0"/>
      <c r="M33" s="2942"/>
      <c r="N33" s="2942"/>
      <c r="O33" s="2942"/>
      <c r="P33" s="3366"/>
      <c r="Q33" s="715" t="str">
        <f t="shared" si="8"/>
        <v>项目建筑规模</v>
      </c>
      <c r="R33" s="716" t="s">
        <v>17</v>
      </c>
      <c r="S33" s="717" t="e">
        <f t="shared" si="9"/>
        <v>#N/A</v>
      </c>
      <c r="T33" s="716" t="s">
        <v>17</v>
      </c>
      <c r="U33" s="717" t="e">
        <f t="shared" si="10"/>
        <v>#N/A</v>
      </c>
      <c r="V33" s="716" t="s">
        <v>17</v>
      </c>
      <c r="W33" s="717" t="e">
        <f t="shared" si="11"/>
        <v>#N/A</v>
      </c>
      <c r="X33" s="718"/>
      <c r="Y33" s="3368"/>
      <c r="Z33" s="719" t="str">
        <f t="shared" si="12"/>
        <v>项目建筑规模</v>
      </c>
      <c r="AA33" s="1531" t="e">
        <f t="shared" si="3"/>
        <v>#N/A</v>
      </c>
      <c r="AB33" s="1531" t="e">
        <f t="shared" si="4"/>
        <v>#N/A</v>
      </c>
      <c r="AC33" s="1531" t="e">
        <f t="shared" si="5"/>
        <v>#N/A</v>
      </c>
    </row>
    <row r="34" spans="1:29" ht="15">
      <c r="A34" s="430"/>
      <c r="B34" s="380" t="s">
        <v>2385</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1"/>
      <c r="M34" s="2935"/>
      <c r="N34" s="2935"/>
      <c r="O34" s="2935"/>
      <c r="P34" s="3366"/>
      <c r="Q34" s="1530" t="str">
        <f t="shared" si="8"/>
        <v>建筑结构</v>
      </c>
      <c r="R34" s="713" t="s">
        <v>17</v>
      </c>
      <c r="S34" s="714">
        <f t="shared" si="9"/>
        <v>100</v>
      </c>
      <c r="T34" s="713" t="s">
        <v>17</v>
      </c>
      <c r="U34" s="714">
        <f t="shared" si="10"/>
        <v>100</v>
      </c>
      <c r="V34" s="713" t="s">
        <v>17</v>
      </c>
      <c r="W34" s="714">
        <f t="shared" si="11"/>
        <v>100</v>
      </c>
      <c r="X34" s="1533"/>
      <c r="Y34" s="3368"/>
      <c r="Z34" s="1534" t="str">
        <f t="shared" si="12"/>
        <v>建筑结构</v>
      </c>
      <c r="AA34" s="1531">
        <f t="shared" si="3"/>
        <v>1</v>
      </c>
      <c r="AB34" s="1531">
        <f t="shared" si="4"/>
        <v>1</v>
      </c>
      <c r="AC34" s="1531">
        <f t="shared" si="5"/>
        <v>1</v>
      </c>
    </row>
    <row r="35" spans="1:29" ht="15">
      <c r="A35" s="430"/>
      <c r="B35" s="380" t="s">
        <v>2479</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1"/>
      <c r="M35" s="2935"/>
      <c r="N35" s="2935"/>
      <c r="O35" s="2935"/>
      <c r="P35" s="3366"/>
      <c r="Q35" s="1530" t="str">
        <f t="shared" si="8"/>
        <v>公共部分装修</v>
      </c>
      <c r="R35" s="713" t="s">
        <v>17</v>
      </c>
      <c r="S35" s="714">
        <f t="shared" si="9"/>
        <v>100</v>
      </c>
      <c r="T35" s="713" t="s">
        <v>17</v>
      </c>
      <c r="U35" s="714">
        <f t="shared" si="10"/>
        <v>100</v>
      </c>
      <c r="V35" s="713" t="s">
        <v>17</v>
      </c>
      <c r="W35" s="714">
        <f t="shared" si="11"/>
        <v>100</v>
      </c>
      <c r="X35" s="1533"/>
      <c r="Y35" s="3368"/>
      <c r="Z35" s="1534" t="str">
        <f t="shared" si="12"/>
        <v>公共部分装修</v>
      </c>
      <c r="AA35" s="1531">
        <f t="shared" si="3"/>
        <v>1</v>
      </c>
      <c r="AB35" s="1531">
        <f t="shared" si="4"/>
        <v>1</v>
      </c>
      <c r="AC35" s="1531">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1"/>
      <c r="M36" s="2935"/>
      <c r="N36" s="2935"/>
      <c r="O36" s="2935"/>
      <c r="P36" s="3366"/>
      <c r="Q36" s="1530" t="str">
        <f t="shared" si="8"/>
        <v>成新度</v>
      </c>
      <c r="R36" s="713" t="s">
        <v>17</v>
      </c>
      <c r="S36" s="714" t="e">
        <f t="shared" si="9"/>
        <v>#N/A</v>
      </c>
      <c r="T36" s="713" t="s">
        <v>17</v>
      </c>
      <c r="U36" s="714" t="e">
        <f t="shared" si="10"/>
        <v>#N/A</v>
      </c>
      <c r="V36" s="713" t="s">
        <v>17</v>
      </c>
      <c r="W36" s="714" t="e">
        <f t="shared" si="11"/>
        <v>#N/A</v>
      </c>
      <c r="X36" s="1533"/>
      <c r="Y36" s="3368"/>
      <c r="Z36" s="1534" t="str">
        <f t="shared" si="12"/>
        <v>成新度</v>
      </c>
      <c r="AA36" s="1531" t="e">
        <f t="shared" si="3"/>
        <v>#N/A</v>
      </c>
      <c r="AB36" s="1531" t="e">
        <f t="shared" si="4"/>
        <v>#N/A</v>
      </c>
      <c r="AC36" s="1531" t="e">
        <f t="shared" si="5"/>
        <v>#N/A</v>
      </c>
    </row>
    <row r="37" spans="1:29" s="112" customFormat="1" ht="15">
      <c r="A37" s="431"/>
      <c r="B37" s="380" t="s">
        <v>2481</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6"/>
      <c r="M37" s="2937"/>
      <c r="N37" s="2937"/>
      <c r="O37" s="2937"/>
      <c r="P37" s="3366"/>
      <c r="Q37" s="1521" t="str">
        <f t="shared" si="8"/>
        <v>市政基础设施</v>
      </c>
      <c r="R37" s="709" t="s">
        <v>17</v>
      </c>
      <c r="S37" s="710">
        <f t="shared" si="9"/>
        <v>100</v>
      </c>
      <c r="T37" s="709" t="s">
        <v>17</v>
      </c>
      <c r="U37" s="710">
        <f t="shared" si="10"/>
        <v>100</v>
      </c>
      <c r="V37" s="709" t="s">
        <v>17</v>
      </c>
      <c r="W37" s="710">
        <f t="shared" si="11"/>
        <v>100</v>
      </c>
      <c r="X37" s="711"/>
      <c r="Y37" s="3368"/>
      <c r="Z37" s="55" t="str">
        <f t="shared" si="12"/>
        <v>市政基础设施</v>
      </c>
      <c r="AA37" s="712">
        <f t="shared" si="3"/>
        <v>1</v>
      </c>
      <c r="AB37" s="712">
        <f t="shared" si="4"/>
        <v>1</v>
      </c>
      <c r="AC37" s="712">
        <f t="shared" si="5"/>
        <v>1</v>
      </c>
    </row>
    <row r="38" spans="1:29" ht="15">
      <c r="A38" s="430"/>
      <c r="B38" s="380" t="s">
        <v>2482</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1"/>
      <c r="M38" s="2935"/>
      <c r="N38" s="2935"/>
      <c r="O38" s="2935"/>
      <c r="P38" s="3366" t="s">
        <v>2383</v>
      </c>
      <c r="Q38" s="1530" t="str">
        <f t="shared" si="8"/>
        <v>业态</v>
      </c>
      <c r="R38" s="713" t="s">
        <v>17</v>
      </c>
      <c r="S38" s="714">
        <f t="shared" si="9"/>
        <v>100</v>
      </c>
      <c r="T38" s="713" t="s">
        <v>17</v>
      </c>
      <c r="U38" s="714">
        <f t="shared" si="10"/>
        <v>100</v>
      </c>
      <c r="V38" s="713" t="s">
        <v>17</v>
      </c>
      <c r="W38" s="714">
        <f t="shared" si="11"/>
        <v>100</v>
      </c>
      <c r="X38" s="1533"/>
      <c r="Y38" s="3368" t="s">
        <v>2383</v>
      </c>
      <c r="Z38" s="1534" t="str">
        <f t="shared" si="12"/>
        <v>业态</v>
      </c>
      <c r="AA38" s="1531">
        <f t="shared" si="3"/>
        <v>1</v>
      </c>
      <c r="AB38" s="1531">
        <f t="shared" si="4"/>
        <v>1</v>
      </c>
      <c r="AC38" s="1531">
        <f t="shared" si="5"/>
        <v>1</v>
      </c>
    </row>
    <row r="39" spans="1:29" ht="15">
      <c r="A39" s="430"/>
      <c r="B39" s="380" t="s">
        <v>2483</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1"/>
      <c r="M39" s="2935"/>
      <c r="N39" s="2935"/>
      <c r="O39" s="2935"/>
      <c r="P39" s="3366"/>
      <c r="Q39" s="1530" t="str">
        <f t="shared" si="8"/>
        <v>层高</v>
      </c>
      <c r="R39" s="713" t="s">
        <v>17</v>
      </c>
      <c r="S39" s="714">
        <f t="shared" si="9"/>
        <v>100</v>
      </c>
      <c r="T39" s="713" t="s">
        <v>17</v>
      </c>
      <c r="U39" s="714">
        <f t="shared" si="10"/>
        <v>100</v>
      </c>
      <c r="V39" s="713" t="s">
        <v>17</v>
      </c>
      <c r="W39" s="714">
        <f t="shared" si="11"/>
        <v>100</v>
      </c>
      <c r="X39" s="1533"/>
      <c r="Y39" s="3368"/>
      <c r="Z39" s="1534" t="str">
        <f t="shared" si="12"/>
        <v>层高</v>
      </c>
      <c r="AA39" s="1531">
        <f t="shared" si="3"/>
        <v>1</v>
      </c>
      <c r="AB39" s="1531">
        <f t="shared" si="4"/>
        <v>1</v>
      </c>
      <c r="AC39" s="1531">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1"/>
      <c r="M40" s="2935"/>
      <c r="N40" s="2935"/>
      <c r="O40" s="2935"/>
      <c r="P40" s="3366"/>
      <c r="Q40" s="1530" t="str">
        <f t="shared" si="8"/>
        <v>单套建筑面积</v>
      </c>
      <c r="R40" s="713" t="s">
        <v>17</v>
      </c>
      <c r="S40" s="714">
        <f t="shared" si="9"/>
        <v>100</v>
      </c>
      <c r="T40" s="713" t="s">
        <v>17</v>
      </c>
      <c r="U40" s="714">
        <f t="shared" si="10"/>
        <v>100</v>
      </c>
      <c r="V40" s="713" t="s">
        <v>17</v>
      </c>
      <c r="W40" s="714">
        <f t="shared" si="11"/>
        <v>100</v>
      </c>
      <c r="X40" s="1533"/>
      <c r="Y40" s="3368"/>
      <c r="Z40" s="1534" t="str">
        <f t="shared" si="12"/>
        <v>单套建筑面积</v>
      </c>
      <c r="AA40" s="1531">
        <f t="shared" si="3"/>
        <v>1</v>
      </c>
      <c r="AB40" s="1531">
        <f t="shared" si="4"/>
        <v>1</v>
      </c>
      <c r="AC40" s="1531">
        <f t="shared" si="5"/>
        <v>1</v>
      </c>
    </row>
    <row r="41" spans="1:29" s="429" customFormat="1" ht="15">
      <c r="A41" s="426"/>
      <c r="B41" s="1532"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0"/>
      <c r="M41" s="2942"/>
      <c r="N41" s="2942"/>
      <c r="O41" s="2942"/>
      <c r="P41" s="3366"/>
      <c r="Q41" s="715" t="str">
        <f t="shared" si="8"/>
        <v>进深比</v>
      </c>
      <c r="R41" s="716" t="s">
        <v>17</v>
      </c>
      <c r="S41" s="717">
        <f t="shared" si="9"/>
        <v>100</v>
      </c>
      <c r="T41" s="716" t="s">
        <v>17</v>
      </c>
      <c r="U41" s="717">
        <f t="shared" si="10"/>
        <v>100</v>
      </c>
      <c r="V41" s="716" t="s">
        <v>17</v>
      </c>
      <c r="W41" s="717">
        <f t="shared" si="11"/>
        <v>100</v>
      </c>
      <c r="X41" s="718"/>
      <c r="Y41" s="3368"/>
      <c r="Z41" s="719" t="str">
        <f t="shared" si="12"/>
        <v>进深比</v>
      </c>
      <c r="AA41" s="1531">
        <f t="shared" si="3"/>
        <v>1</v>
      </c>
      <c r="AB41" s="1531">
        <f t="shared" si="4"/>
        <v>1</v>
      </c>
      <c r="AC41" s="1531">
        <f t="shared" si="5"/>
        <v>1</v>
      </c>
    </row>
    <row r="42" spans="1:29" ht="15">
      <c r="A42" s="430"/>
      <c r="B42" s="380" t="s">
        <v>2486</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1"/>
      <c r="M42" s="2935"/>
      <c r="N42" s="2935"/>
      <c r="O42" s="2935"/>
      <c r="P42" s="3366"/>
      <c r="Q42" s="1530" t="str">
        <f t="shared" si="8"/>
        <v>内部装修</v>
      </c>
      <c r="R42" s="713" t="s">
        <v>17</v>
      </c>
      <c r="S42" s="714">
        <f t="shared" si="9"/>
        <v>100</v>
      </c>
      <c r="T42" s="713" t="s">
        <v>17</v>
      </c>
      <c r="U42" s="714">
        <f t="shared" si="10"/>
        <v>100</v>
      </c>
      <c r="V42" s="713" t="s">
        <v>17</v>
      </c>
      <c r="W42" s="714">
        <f t="shared" si="11"/>
        <v>100</v>
      </c>
      <c r="X42" s="1533"/>
      <c r="Y42" s="3368"/>
      <c r="Z42" s="1534" t="str">
        <f t="shared" si="12"/>
        <v>内部装修</v>
      </c>
      <c r="AA42" s="1531">
        <f t="shared" si="3"/>
        <v>1</v>
      </c>
      <c r="AB42" s="1531">
        <f t="shared" si="4"/>
        <v>1</v>
      </c>
      <c r="AC42" s="1531">
        <f t="shared" si="5"/>
        <v>1</v>
      </c>
    </row>
    <row r="43" spans="1:29" ht="15">
      <c r="A43" s="430"/>
      <c r="B43" s="380" t="s">
        <v>2394</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1"/>
      <c r="M43" s="2935"/>
      <c r="N43" s="2935"/>
      <c r="O43" s="2935"/>
      <c r="P43" s="3366"/>
      <c r="Q43" s="1530" t="str">
        <f t="shared" si="8"/>
        <v>内部装修维护情况</v>
      </c>
      <c r="R43" s="713" t="s">
        <v>17</v>
      </c>
      <c r="S43" s="714">
        <f t="shared" si="9"/>
        <v>100</v>
      </c>
      <c r="T43" s="713" t="s">
        <v>17</v>
      </c>
      <c r="U43" s="714">
        <f t="shared" si="10"/>
        <v>100</v>
      </c>
      <c r="V43" s="713" t="s">
        <v>17</v>
      </c>
      <c r="W43" s="714">
        <f t="shared" si="11"/>
        <v>100</v>
      </c>
      <c r="X43" s="1533"/>
      <c r="Y43" s="3368"/>
      <c r="Z43" s="1534" t="str">
        <f t="shared" si="12"/>
        <v>内部装修维护情况</v>
      </c>
      <c r="AA43" s="1531">
        <f t="shared" si="3"/>
        <v>1</v>
      </c>
      <c r="AB43" s="1531">
        <f t="shared" si="4"/>
        <v>1</v>
      </c>
      <c r="AC43" s="1531">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366"/>
      <c r="Q44" s="1521">
        <f t="shared" si="8"/>
        <v>111</v>
      </c>
      <c r="R44" s="709" t="s">
        <v>17</v>
      </c>
      <c r="S44" s="710">
        <f t="shared" si="9"/>
        <v>100</v>
      </c>
      <c r="T44" s="709" t="s">
        <v>17</v>
      </c>
      <c r="U44" s="710">
        <f t="shared" si="10"/>
        <v>100</v>
      </c>
      <c r="V44" s="709" t="s">
        <v>17</v>
      </c>
      <c r="W44" s="710">
        <f t="shared" si="11"/>
        <v>100</v>
      </c>
      <c r="X44" s="711"/>
      <c r="Y44" s="3368"/>
      <c r="Z44" s="55">
        <f t="shared" si="12"/>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366"/>
      <c r="Q45" s="1530">
        <f t="shared" si="8"/>
        <v>111</v>
      </c>
      <c r="R45" s="713" t="s">
        <v>17</v>
      </c>
      <c r="S45" s="714">
        <f t="shared" si="9"/>
        <v>100</v>
      </c>
      <c r="T45" s="713" t="s">
        <v>17</v>
      </c>
      <c r="U45" s="714">
        <f t="shared" si="10"/>
        <v>100</v>
      </c>
      <c r="V45" s="713" t="s">
        <v>17</v>
      </c>
      <c r="W45" s="714">
        <f t="shared" si="11"/>
        <v>100</v>
      </c>
      <c r="X45" s="1533"/>
      <c r="Y45" s="3368"/>
      <c r="Z45" s="1534">
        <f t="shared" si="12"/>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367"/>
      <c r="Q46" s="1530">
        <f t="shared" si="8"/>
        <v>111</v>
      </c>
      <c r="R46" s="713" t="s">
        <v>17</v>
      </c>
      <c r="S46" s="714">
        <f t="shared" si="9"/>
        <v>100</v>
      </c>
      <c r="T46" s="713" t="s">
        <v>17</v>
      </c>
      <c r="U46" s="714">
        <f t="shared" si="10"/>
        <v>100</v>
      </c>
      <c r="V46" s="713" t="s">
        <v>17</v>
      </c>
      <c r="W46" s="714">
        <f t="shared" si="11"/>
        <v>100</v>
      </c>
      <c r="X46" s="1533"/>
      <c r="Y46" s="3369"/>
      <c r="Z46" s="1534">
        <f t="shared" si="12"/>
        <v>111</v>
      </c>
      <c r="AA46" s="1531">
        <f t="shared" si="3"/>
        <v>1</v>
      </c>
      <c r="AB46" s="1531">
        <f t="shared" si="4"/>
        <v>1</v>
      </c>
      <c r="AC46" s="1531">
        <f t="shared" si="5"/>
        <v>1</v>
      </c>
    </row>
    <row r="47" spans="1:29" ht="15">
      <c r="A47" s="437" t="s">
        <v>2395</v>
      </c>
      <c r="B47" s="438"/>
      <c r="C47" s="1309" t="s">
        <v>1</v>
      </c>
      <c r="D47" s="1310"/>
      <c r="E47" s="1311"/>
      <c r="F47" s="1312"/>
      <c r="G47" s="1313"/>
      <c r="H47" s="1314"/>
      <c r="I47" s="1311"/>
      <c r="J47" s="1314"/>
      <c r="K47" s="722"/>
      <c r="L47" s="2943"/>
      <c r="M47" s="2944"/>
      <c r="N47" s="2935"/>
      <c r="O47" s="2944"/>
      <c r="P47" s="3361" t="str">
        <f>A47</f>
        <v>成交单价（元/平方米）</v>
      </c>
      <c r="Q47" s="3361"/>
      <c r="R47" s="3356">
        <f>E47</f>
        <v>0</v>
      </c>
      <c r="S47" s="3356"/>
      <c r="T47" s="3356">
        <f>G47</f>
        <v>0</v>
      </c>
      <c r="U47" s="3356"/>
      <c r="V47" s="3356">
        <f>I47</f>
        <v>0</v>
      </c>
      <c r="W47" s="3356"/>
      <c r="X47" s="698"/>
      <c r="Y47" s="720"/>
      <c r="Z47" s="698"/>
      <c r="AA47" s="698"/>
      <c r="AB47" s="698"/>
      <c r="AC47" s="698"/>
    </row>
    <row r="48" spans="1:29" ht="15.75" thickBot="1">
      <c r="A48" s="444" t="s">
        <v>2487</v>
      </c>
      <c r="B48" s="445"/>
      <c r="C48" s="1315" t="e">
        <f>R49</f>
        <v>#DIV/0!</v>
      </c>
      <c r="D48" s="2531" t="s">
        <v>2878</v>
      </c>
      <c r="E48" s="1316" t="e">
        <f>R48</f>
        <v>#DIV/0!</v>
      </c>
      <c r="F48" s="2532"/>
      <c r="G48" s="1315" t="e">
        <f>T48</f>
        <v>#DIV/0!</v>
      </c>
      <c r="H48" s="2532"/>
      <c r="I48" s="1316" t="e">
        <f>V48</f>
        <v>#DIV/0!</v>
      </c>
      <c r="J48" s="2532"/>
      <c r="K48" s="2534">
        <f>F48+H48+J48</f>
        <v>0</v>
      </c>
      <c r="L48" s="2943"/>
      <c r="M48" s="2944"/>
      <c r="N48" s="2935"/>
      <c r="O48" s="2944"/>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698"/>
      <c r="Y48" s="698"/>
      <c r="Z48" s="698"/>
      <c r="AA48" s="698"/>
      <c r="AB48" s="698"/>
      <c r="AC48" s="698"/>
    </row>
    <row r="49" spans="1:29" ht="15.75" thickBot="1">
      <c r="A49" s="448" t="s">
        <v>2488</v>
      </c>
      <c r="B49" s="449"/>
      <c r="C49" s="1318" t="e">
        <f>R49</f>
        <v>#DIV/0!</v>
      </c>
      <c r="D49" s="1318"/>
      <c r="E49" s="1318"/>
      <c r="F49" s="1318"/>
      <c r="G49" s="1318"/>
      <c r="H49" s="1318"/>
      <c r="I49" s="1318"/>
      <c r="J49" s="1318"/>
      <c r="K49" s="723"/>
      <c r="L49" s="2943"/>
      <c r="M49" s="2944"/>
      <c r="N49" s="2935"/>
      <c r="O49" s="2944"/>
      <c r="P49" s="3358" t="str">
        <f>A49</f>
        <v>估价对象XX用房的比较价值（楼面单价，元/平方米）</v>
      </c>
      <c r="Q49" s="3359"/>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2492</v>
      </c>
      <c r="B57" s="698"/>
      <c r="C57" s="703"/>
      <c r="D57" s="703"/>
      <c r="E57" s="703"/>
      <c r="F57" s="704"/>
      <c r="G57" s="704"/>
      <c r="H57" s="703"/>
      <c r="I57" s="703"/>
      <c r="J57" s="703"/>
      <c r="K57" s="705"/>
      <c r="L57" s="1066"/>
      <c r="M57" s="1064"/>
      <c r="N57" s="1064"/>
      <c r="O57" s="1064"/>
      <c r="P57" s="2957"/>
      <c r="Q57" s="2958"/>
      <c r="R57" s="2944"/>
      <c r="S57" s="2944"/>
      <c r="T57" s="2944"/>
      <c r="U57" s="2944"/>
      <c r="V57" s="2944"/>
      <c r="W57" s="2944"/>
      <c r="X57" s="2944"/>
      <c r="Y57" s="2944"/>
      <c r="Z57" s="2944"/>
      <c r="AA57" s="2944"/>
      <c r="AB57" s="2944"/>
      <c r="AC57" s="2944"/>
    </row>
    <row r="58" spans="1:29" s="464" customFormat="1" ht="15">
      <c r="A58" s="461" t="s">
        <v>2366</v>
      </c>
      <c r="B58" s="462"/>
      <c r="C58" s="1338" t="str">
        <f>YEAR(C7)&amp;"-"&amp;MONTH(C7)</f>
        <v>2020-12</v>
      </c>
      <c r="D58" s="1339">
        <f>EDATE(C58,-1)</f>
        <v>44136</v>
      </c>
      <c r="E58" s="1339">
        <f t="shared" ref="E58:N58" si="13">EDATE(D58,-1)</f>
        <v>44105</v>
      </c>
      <c r="F58" s="1339">
        <f t="shared" si="13"/>
        <v>44075</v>
      </c>
      <c r="G58" s="1339">
        <f t="shared" si="13"/>
        <v>44044</v>
      </c>
      <c r="H58" s="1339">
        <f t="shared" si="13"/>
        <v>44013</v>
      </c>
      <c r="I58" s="1339">
        <f t="shared" si="13"/>
        <v>43983</v>
      </c>
      <c r="J58" s="1339">
        <f t="shared" si="13"/>
        <v>43952</v>
      </c>
      <c r="K58" s="1339">
        <f t="shared" si="13"/>
        <v>43922</v>
      </c>
      <c r="L58" s="1339">
        <f t="shared" si="13"/>
        <v>43891</v>
      </c>
      <c r="M58" s="1339">
        <f t="shared" si="13"/>
        <v>43862</v>
      </c>
      <c r="N58" s="1339">
        <f t="shared" si="13"/>
        <v>43831</v>
      </c>
      <c r="O58" s="1339">
        <f>EDATE(N58,-1)</f>
        <v>43800</v>
      </c>
      <c r="P58" s="2959"/>
      <c r="Q58" s="2960"/>
      <c r="R58" s="2960"/>
      <c r="S58" s="2960"/>
      <c r="T58" s="2960"/>
      <c r="U58" s="2960"/>
      <c r="V58" s="2960"/>
      <c r="W58" s="2960"/>
      <c r="X58" s="2960"/>
      <c r="Y58" s="2960"/>
      <c r="Z58" s="2960"/>
      <c r="AA58" s="2960"/>
      <c r="AB58" s="2960"/>
      <c r="AC58" s="2960"/>
    </row>
    <row r="59" spans="1:29" s="112" customFormat="1" ht="15">
      <c r="A59" s="465"/>
      <c r="B59" s="466"/>
      <c r="C59" s="1337">
        <v>100</v>
      </c>
      <c r="D59" s="468"/>
      <c r="E59" s="468"/>
      <c r="F59" s="468"/>
      <c r="G59" s="468"/>
      <c r="H59" s="468"/>
      <c r="I59" s="468"/>
      <c r="J59" s="468"/>
      <c r="K59" s="468"/>
      <c r="L59" s="468"/>
      <c r="M59" s="469"/>
      <c r="N59" s="468"/>
      <c r="O59" s="469"/>
      <c r="P59" s="2961"/>
      <c r="Q59" s="2878"/>
      <c r="R59" s="2878"/>
      <c r="S59" s="2878"/>
      <c r="T59" s="2878"/>
      <c r="U59" s="2878"/>
      <c r="V59" s="2878"/>
      <c r="W59" s="2878"/>
      <c r="X59" s="2878"/>
      <c r="Y59" s="2878"/>
      <c r="Z59" s="2878"/>
      <c r="AA59" s="2878"/>
      <c r="AB59" s="2878"/>
      <c r="AC59" s="2878"/>
    </row>
    <row r="60" spans="1:29" s="112" customFormat="1" ht="15.75" thickBot="1">
      <c r="A60" s="471" t="s">
        <v>2403</v>
      </c>
      <c r="B60" s="472"/>
      <c r="C60" s="473"/>
      <c r="D60" s="474"/>
      <c r="E60" s="474"/>
      <c r="F60" s="474"/>
      <c r="G60" s="474"/>
      <c r="H60" s="474"/>
      <c r="I60" s="474"/>
      <c r="J60" s="474"/>
      <c r="K60" s="474"/>
      <c r="L60" s="474"/>
      <c r="M60" s="475"/>
      <c r="N60" s="474"/>
      <c r="O60" s="475"/>
      <c r="P60" s="2961"/>
      <c r="Q60" s="2958"/>
      <c r="R60" s="2878"/>
      <c r="S60" s="2878"/>
      <c r="T60" s="2878"/>
      <c r="U60" s="2878"/>
      <c r="V60" s="2878"/>
      <c r="W60" s="2878"/>
      <c r="X60" s="2878"/>
      <c r="Y60" s="2878"/>
      <c r="Z60" s="2878"/>
      <c r="AA60" s="2878"/>
      <c r="AB60" s="2878"/>
      <c r="AC60" s="2878"/>
    </row>
    <row r="61" spans="1:29" s="112" customFormat="1" ht="15">
      <c r="A61" s="477" t="s">
        <v>2368</v>
      </c>
      <c r="B61" s="466"/>
      <c r="C61" s="478" t="s">
        <v>2470</v>
      </c>
      <c r="D61" s="479"/>
      <c r="E61" s="479"/>
      <c r="F61" s="479"/>
      <c r="G61" s="479"/>
      <c r="H61" s="479"/>
      <c r="I61" s="479"/>
      <c r="J61" s="479"/>
      <c r="K61" s="479"/>
      <c r="L61" s="480"/>
      <c r="M61" s="481"/>
      <c r="N61" s="2971"/>
      <c r="O61" s="2971"/>
      <c r="P61" s="2962"/>
      <c r="Q61" s="2958"/>
      <c r="R61" s="2878"/>
      <c r="S61" s="2878"/>
      <c r="T61" s="2878"/>
      <c r="U61" s="2878"/>
      <c r="V61" s="2878"/>
      <c r="W61" s="2878"/>
      <c r="X61" s="2878"/>
      <c r="Y61" s="2878"/>
      <c r="Z61" s="2878"/>
      <c r="AA61" s="2878"/>
      <c r="AB61" s="2878"/>
      <c r="AC61" s="2878"/>
    </row>
    <row r="62" spans="1:29" s="112" customFormat="1" ht="15.75" thickBot="1">
      <c r="A62" s="477"/>
      <c r="B62" s="466"/>
      <c r="C62" s="467">
        <v>100</v>
      </c>
      <c r="D62" s="468"/>
      <c r="E62" s="468"/>
      <c r="F62" s="468"/>
      <c r="G62" s="468"/>
      <c r="H62" s="468"/>
      <c r="I62" s="468"/>
      <c r="J62" s="468"/>
      <c r="K62" s="468"/>
      <c r="L62" s="468"/>
      <c r="M62" s="470"/>
      <c r="N62" s="2971"/>
      <c r="O62" s="2971"/>
      <c r="P62" s="2961"/>
      <c r="Q62" s="2958"/>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2"/>
      <c r="O63" s="2972"/>
      <c r="P63" s="2963"/>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3"/>
      <c r="O64" s="2973"/>
      <c r="P64" s="2963"/>
      <c r="Q64" s="2958"/>
      <c r="R64" s="2944"/>
      <c r="S64" s="2944"/>
      <c r="T64" s="2944"/>
      <c r="U64" s="2944"/>
      <c r="V64" s="2944"/>
      <c r="W64" s="2944"/>
      <c r="X64" s="2944"/>
      <c r="Y64" s="2944"/>
      <c r="Z64" s="2944"/>
      <c r="AA64" s="2944"/>
      <c r="AB64" s="2944"/>
      <c r="AC64" s="2944"/>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2"/>
      <c r="O65" s="2972"/>
      <c r="P65" s="2963"/>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3"/>
      <c r="O66" s="2973"/>
      <c r="P66" s="2963"/>
      <c r="Q66" s="2958"/>
      <c r="R66" s="2944"/>
      <c r="S66" s="2944"/>
      <c r="T66" s="2944"/>
      <c r="U66" s="2944"/>
      <c r="V66" s="2944"/>
      <c r="W66" s="2944"/>
      <c r="X66" s="2944"/>
      <c r="Y66" s="2944"/>
      <c r="Z66" s="2944"/>
      <c r="AA66" s="2944"/>
      <c r="AB66" s="2944"/>
      <c r="AC66" s="2944"/>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0"/>
      <c r="B68" s="504"/>
      <c r="C68" s="505"/>
      <c r="D68" s="505"/>
      <c r="E68" s="505"/>
      <c r="F68" s="505"/>
      <c r="G68" s="505"/>
      <c r="H68" s="505"/>
      <c r="I68" s="505"/>
      <c r="J68" s="505"/>
      <c r="K68" s="506"/>
      <c r="L68" s="507"/>
      <c r="M68" s="508"/>
      <c r="N68" s="2972"/>
      <c r="O68" s="2972"/>
      <c r="P68" s="2963"/>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3"/>
      <c r="O69" s="2973"/>
      <c r="P69" s="2963"/>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4"/>
      <c r="O70" s="2974"/>
      <c r="P70" s="2964"/>
      <c r="Q70" s="2965"/>
      <c r="R70" s="2966"/>
      <c r="S70" s="2966"/>
      <c r="T70" s="2966"/>
      <c r="U70" s="2966"/>
      <c r="V70" s="2966"/>
      <c r="W70" s="2966"/>
      <c r="X70" s="2966"/>
      <c r="Y70" s="2966"/>
      <c r="Z70" s="2966"/>
      <c r="AA70" s="2966"/>
      <c r="AB70" s="2966"/>
      <c r="AC70" s="2966"/>
    </row>
    <row r="71" spans="1:29" s="429" customFormat="1" ht="15.75" thickBot="1">
      <c r="A71" s="509"/>
      <c r="B71" s="499"/>
      <c r="C71" s="516"/>
      <c r="D71" s="492"/>
      <c r="E71" s="492"/>
      <c r="F71" s="492"/>
      <c r="G71" s="492"/>
      <c r="H71" s="492"/>
      <c r="I71" s="492"/>
      <c r="J71" s="492"/>
      <c r="K71" s="492"/>
      <c r="L71" s="492"/>
      <c r="M71" s="493"/>
      <c r="N71" s="2973"/>
      <c r="O71" s="2973"/>
      <c r="P71" s="2964"/>
      <c r="Q71" s="2965"/>
      <c r="R71" s="2966"/>
      <c r="S71" s="2966"/>
      <c r="T71" s="2966"/>
      <c r="U71" s="2966"/>
      <c r="V71" s="2966"/>
      <c r="W71" s="2966"/>
      <c r="X71" s="2966"/>
      <c r="Y71" s="2966"/>
      <c r="Z71" s="2966"/>
      <c r="AA71" s="2966"/>
      <c r="AB71" s="2966"/>
      <c r="AC71" s="2966"/>
    </row>
    <row r="72" spans="1:29" s="429" customFormat="1" ht="15.75" thickTop="1">
      <c r="A72" s="509"/>
      <c r="B72" s="494">
        <f>B13</f>
        <v>111</v>
      </c>
      <c r="C72" s="510"/>
      <c r="D72" s="510"/>
      <c r="E72" s="510"/>
      <c r="F72" s="510"/>
      <c r="G72" s="510"/>
      <c r="H72" s="511"/>
      <c r="I72" s="511"/>
      <c r="J72" s="511"/>
      <c r="K72" s="511"/>
      <c r="L72" s="512"/>
      <c r="M72" s="513"/>
      <c r="N72" s="2974"/>
      <c r="O72" s="2974"/>
      <c r="P72" s="2967"/>
      <c r="Q72" s="2968"/>
      <c r="R72" s="2966"/>
      <c r="S72" s="2966"/>
      <c r="T72" s="2966"/>
      <c r="U72" s="2966"/>
      <c r="V72" s="2966"/>
      <c r="W72" s="2966"/>
      <c r="X72" s="2966"/>
      <c r="Y72" s="2966"/>
      <c r="Z72" s="2966"/>
      <c r="AA72" s="2966"/>
      <c r="AB72" s="2966"/>
      <c r="AC72" s="2966"/>
    </row>
    <row r="73" spans="1:29" s="429" customFormat="1" ht="15.75" thickBot="1">
      <c r="A73" s="509"/>
      <c r="B73" s="499"/>
      <c r="C73" s="516"/>
      <c r="D73" s="492"/>
      <c r="E73" s="492"/>
      <c r="F73" s="492"/>
      <c r="G73" s="516"/>
      <c r="H73" s="518"/>
      <c r="I73" s="518"/>
      <c r="J73" s="518"/>
      <c r="K73" s="518"/>
      <c r="L73" s="518"/>
      <c r="M73" s="519"/>
      <c r="N73" s="2974"/>
      <c r="O73" s="2974"/>
      <c r="P73" s="2964"/>
      <c r="Q73" s="2965"/>
      <c r="R73" s="2966"/>
      <c r="S73" s="2966"/>
      <c r="T73" s="2966"/>
      <c r="U73" s="2966"/>
      <c r="V73" s="2966"/>
      <c r="W73" s="2966"/>
      <c r="X73" s="2966"/>
      <c r="Y73" s="2966"/>
      <c r="Z73" s="2966"/>
      <c r="AA73" s="2966"/>
      <c r="AB73" s="2966"/>
      <c r="AC73" s="2966"/>
    </row>
    <row r="74" spans="1:29" s="429" customFormat="1" ht="15.75" thickTop="1">
      <c r="A74" s="509"/>
      <c r="B74" s="502">
        <f>B14</f>
        <v>111</v>
      </c>
      <c r="C74" s="510"/>
      <c r="D74" s="510"/>
      <c r="E74" s="510"/>
      <c r="F74" s="510"/>
      <c r="G74" s="479"/>
      <c r="H74" s="520"/>
      <c r="I74" s="520"/>
      <c r="J74" s="520"/>
      <c r="K74" s="520"/>
      <c r="L74" s="521"/>
      <c r="M74" s="522"/>
      <c r="N74" s="2974"/>
      <c r="O74" s="2974"/>
      <c r="P74" s="2969"/>
      <c r="Q74" s="2965"/>
      <c r="R74" s="2966"/>
      <c r="S74" s="2966"/>
      <c r="T74" s="2966"/>
      <c r="U74" s="2966"/>
      <c r="V74" s="2966"/>
      <c r="W74" s="2966"/>
      <c r="X74" s="2966"/>
      <c r="Y74" s="2966"/>
      <c r="Z74" s="2966"/>
      <c r="AA74" s="2966"/>
      <c r="AB74" s="2966"/>
      <c r="AC74" s="2966"/>
    </row>
    <row r="75" spans="1:29" s="429" customFormat="1" ht="15.75" thickBot="1">
      <c r="A75" s="524"/>
      <c r="B75" s="525"/>
      <c r="C75" s="526"/>
      <c r="D75" s="526"/>
      <c r="E75" s="526"/>
      <c r="F75" s="526"/>
      <c r="G75" s="526"/>
      <c r="H75" s="527"/>
      <c r="I75" s="527"/>
      <c r="J75" s="527"/>
      <c r="K75" s="527"/>
      <c r="L75" s="527"/>
      <c r="M75" s="528"/>
      <c r="N75" s="2974"/>
      <c r="O75" s="2974"/>
      <c r="P75" s="2964"/>
      <c r="Q75" s="2965"/>
      <c r="R75" s="2966"/>
      <c r="S75" s="2966"/>
      <c r="T75" s="2966"/>
      <c r="U75" s="2966"/>
      <c r="V75" s="2966"/>
      <c r="W75" s="2966"/>
      <c r="X75" s="2966"/>
      <c r="Y75" s="2966"/>
      <c r="Z75" s="2966"/>
      <c r="AA75" s="2966"/>
      <c r="AB75" s="2966"/>
      <c r="AC75" s="2966"/>
    </row>
    <row r="76" spans="1:29">
      <c r="A76" s="483" t="s">
        <v>2377</v>
      </c>
      <c r="B76" s="484" t="s">
        <v>2414</v>
      </c>
      <c r="C76" s="529" t="s">
        <v>2415</v>
      </c>
      <c r="D76" s="529" t="s">
        <v>2416</v>
      </c>
      <c r="E76" s="529" t="s">
        <v>2417</v>
      </c>
      <c r="F76" s="529" t="s">
        <v>2418</v>
      </c>
      <c r="G76" s="529" t="s">
        <v>2419</v>
      </c>
      <c r="H76" s="485"/>
      <c r="I76" s="485"/>
      <c r="J76" s="485"/>
      <c r="K76" s="530"/>
      <c r="L76" s="531"/>
      <c r="M76" s="532"/>
      <c r="N76" s="2972"/>
      <c r="O76" s="2972"/>
      <c r="P76" s="2970"/>
      <c r="Q76" s="2958"/>
      <c r="R76" s="2944"/>
      <c r="S76" s="2944"/>
      <c r="T76" s="2944"/>
      <c r="U76" s="2944"/>
      <c r="V76" s="2944"/>
      <c r="W76" s="2944"/>
      <c r="X76" s="2944"/>
      <c r="Y76" s="2944"/>
      <c r="Z76" s="2944"/>
      <c r="AA76" s="2944"/>
      <c r="AB76" s="2944"/>
      <c r="AC76" s="294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3"/>
      <c r="O77" s="2973"/>
      <c r="P77" s="2963"/>
      <c r="Q77" s="2958"/>
      <c r="R77" s="2944"/>
      <c r="S77" s="2944"/>
      <c r="T77" s="2944"/>
      <c r="U77" s="2944"/>
      <c r="V77" s="2944"/>
      <c r="W77" s="2944"/>
      <c r="X77" s="2944"/>
      <c r="Y77" s="2944"/>
      <c r="Z77" s="2944"/>
      <c r="AA77" s="2944"/>
      <c r="AB77" s="2944"/>
      <c r="AC77" s="2944"/>
    </row>
    <row r="78" spans="1:29" ht="15.75" thickTop="1">
      <c r="A78" s="490"/>
      <c r="B78" s="494" t="s">
        <v>2420</v>
      </c>
      <c r="C78" s="534" t="s">
        <v>2415</v>
      </c>
      <c r="D78" s="534" t="s">
        <v>2416</v>
      </c>
      <c r="E78" s="534" t="s">
        <v>2417</v>
      </c>
      <c r="F78" s="534" t="s">
        <v>2418</v>
      </c>
      <c r="G78" s="534" t="s">
        <v>2419</v>
      </c>
      <c r="H78" s="495"/>
      <c r="I78" s="495"/>
      <c r="J78" s="495"/>
      <c r="K78" s="496"/>
      <c r="L78" s="497"/>
      <c r="M78" s="498"/>
      <c r="N78" s="2972"/>
      <c r="O78" s="2972"/>
      <c r="P78" s="2963"/>
      <c r="Q78" s="2958"/>
      <c r="R78" s="2944"/>
      <c r="S78" s="2944"/>
      <c r="T78" s="2944"/>
      <c r="U78" s="2944"/>
      <c r="V78" s="2944"/>
      <c r="W78" s="2944"/>
      <c r="X78" s="2944"/>
      <c r="Y78" s="2944"/>
      <c r="Z78" s="2944"/>
      <c r="AA78" s="2944"/>
      <c r="AB78" s="2944"/>
      <c r="AC78" s="294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3"/>
      <c r="O79" s="2973"/>
      <c r="P79" s="2963"/>
      <c r="Q79" s="2958"/>
      <c r="R79" s="2944"/>
      <c r="S79" s="2944"/>
      <c r="T79" s="2944"/>
      <c r="U79" s="2944"/>
      <c r="V79" s="2944"/>
      <c r="W79" s="2944"/>
      <c r="X79" s="2944"/>
      <c r="Y79" s="2944"/>
      <c r="Z79" s="2944"/>
      <c r="AA79" s="2944"/>
      <c r="AB79" s="2944"/>
      <c r="AC79" s="2944"/>
    </row>
    <row r="80" spans="1:29" ht="15.75" thickTop="1">
      <c r="A80" s="490"/>
      <c r="B80" s="494" t="s">
        <v>2421</v>
      </c>
      <c r="C80" s="534" t="s">
        <v>2415</v>
      </c>
      <c r="D80" s="534" t="s">
        <v>2416</v>
      </c>
      <c r="E80" s="534" t="s">
        <v>2417</v>
      </c>
      <c r="F80" s="534" t="s">
        <v>2418</v>
      </c>
      <c r="G80" s="534" t="s">
        <v>2419</v>
      </c>
      <c r="H80" s="495"/>
      <c r="I80" s="495"/>
      <c r="J80" s="495"/>
      <c r="K80" s="496"/>
      <c r="L80" s="497"/>
      <c r="M80" s="498"/>
      <c r="N80" s="2972"/>
      <c r="O80" s="2972"/>
      <c r="P80" s="2963"/>
      <c r="Q80" s="2958"/>
      <c r="R80" s="2944"/>
      <c r="S80" s="2944"/>
      <c r="T80" s="2944"/>
      <c r="U80" s="2944"/>
      <c r="V80" s="2944"/>
      <c r="W80" s="2944"/>
      <c r="X80" s="2944"/>
      <c r="Y80" s="2944"/>
      <c r="Z80" s="2944"/>
      <c r="AA80" s="2944"/>
      <c r="AB80" s="2944"/>
      <c r="AC80" s="294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3"/>
      <c r="O81" s="2973"/>
      <c r="P81" s="2963"/>
      <c r="Q81" s="2958"/>
      <c r="R81" s="2944"/>
      <c r="S81" s="2944"/>
      <c r="T81" s="2944"/>
      <c r="U81" s="2944"/>
      <c r="V81" s="2944"/>
      <c r="W81" s="2944"/>
      <c r="X81" s="2944"/>
      <c r="Y81" s="2944"/>
      <c r="Z81" s="2944"/>
      <c r="AA81" s="2944"/>
      <c r="AB81" s="2944"/>
      <c r="AC81" s="2944"/>
    </row>
    <row r="82" spans="1:29" ht="15.75" thickTop="1">
      <c r="A82" s="490"/>
      <c r="B82" s="502" t="s">
        <v>2473</v>
      </c>
      <c r="C82" s="615" t="s">
        <v>2493</v>
      </c>
      <c r="D82" s="615" t="s">
        <v>2494</v>
      </c>
      <c r="E82" s="615" t="s">
        <v>2495</v>
      </c>
      <c r="F82" s="615" t="s">
        <v>2496</v>
      </c>
      <c r="G82" s="615" t="s">
        <v>2497</v>
      </c>
      <c r="H82" s="495"/>
      <c r="I82" s="495"/>
      <c r="J82" s="495"/>
      <c r="K82" s="495"/>
      <c r="L82" s="495"/>
      <c r="M82" s="1284"/>
      <c r="N82" s="2973"/>
      <c r="O82" s="2973"/>
      <c r="P82" s="2963"/>
      <c r="Q82" s="2958"/>
      <c r="R82" s="2944"/>
      <c r="S82" s="2944"/>
      <c r="T82" s="2944"/>
      <c r="U82" s="2944"/>
      <c r="V82" s="2944"/>
      <c r="W82" s="2944"/>
      <c r="X82" s="2944"/>
      <c r="Y82" s="2944"/>
      <c r="Z82" s="2944"/>
      <c r="AA82" s="2944"/>
      <c r="AB82" s="2944"/>
      <c r="AC82" s="2944"/>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3"/>
      <c r="O83" s="2973"/>
      <c r="P83" s="2963"/>
      <c r="Q83" s="2958"/>
      <c r="R83" s="2944"/>
      <c r="S83" s="2944"/>
      <c r="T83" s="2944"/>
      <c r="U83" s="2944"/>
      <c r="V83" s="2944"/>
      <c r="W83" s="2944"/>
      <c r="X83" s="2944"/>
      <c r="Y83" s="2944"/>
      <c r="Z83" s="2944"/>
      <c r="AA83" s="2944"/>
      <c r="AB83" s="2944"/>
      <c r="AC83" s="2944"/>
    </row>
    <row r="84" spans="1:29" ht="15.75" thickTop="1">
      <c r="A84" s="490"/>
      <c r="B84" s="494" t="s">
        <v>2427</v>
      </c>
      <c r="C84" s="534" t="s">
        <v>2415</v>
      </c>
      <c r="D84" s="534" t="s">
        <v>2416</v>
      </c>
      <c r="E84" s="534" t="s">
        <v>2417</v>
      </c>
      <c r="F84" s="534" t="s">
        <v>2418</v>
      </c>
      <c r="G84" s="534" t="s">
        <v>2419</v>
      </c>
      <c r="H84" s="495"/>
      <c r="I84" s="495"/>
      <c r="J84" s="495"/>
      <c r="K84" s="496"/>
      <c r="L84" s="497"/>
      <c r="M84" s="498"/>
      <c r="N84" s="2972"/>
      <c r="O84" s="2972"/>
      <c r="P84" s="2963"/>
      <c r="Q84" s="2958"/>
      <c r="R84" s="2944"/>
      <c r="S84" s="2944"/>
      <c r="T84" s="2944"/>
      <c r="U84" s="2944"/>
      <c r="V84" s="2944"/>
      <c r="W84" s="2944"/>
      <c r="X84" s="2944"/>
      <c r="Y84" s="2944"/>
      <c r="Z84" s="2944"/>
      <c r="AA84" s="2944"/>
      <c r="AB84" s="2944"/>
      <c r="AC84" s="294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3"/>
      <c r="O85" s="2973"/>
      <c r="P85" s="2963"/>
      <c r="Q85" s="2958"/>
      <c r="R85" s="2944"/>
      <c r="S85" s="2944"/>
      <c r="T85" s="2944"/>
      <c r="U85" s="2944"/>
      <c r="V85" s="2944"/>
      <c r="W85" s="2944"/>
      <c r="X85" s="2944"/>
      <c r="Y85" s="2944"/>
      <c r="Z85" s="2944"/>
      <c r="AA85" s="2944"/>
      <c r="AB85" s="2944"/>
      <c r="AC85" s="2944"/>
    </row>
    <row r="86" spans="1:29" s="112" customFormat="1" ht="15.75" thickTop="1">
      <c r="A86" s="535"/>
      <c r="B86" s="494" t="s">
        <v>2498</v>
      </c>
      <c r="C86" s="510"/>
      <c r="D86" s="510"/>
      <c r="E86" s="510"/>
      <c r="F86" s="510"/>
      <c r="G86" s="510"/>
      <c r="H86" s="510"/>
      <c r="I86" s="510"/>
      <c r="J86" s="510"/>
      <c r="K86" s="510"/>
      <c r="L86" s="536"/>
      <c r="M86" s="537"/>
      <c r="N86" s="2971"/>
      <c r="O86" s="2971"/>
      <c r="P86" s="2963"/>
      <c r="Q86" s="2958"/>
      <c r="R86" s="2878"/>
      <c r="S86" s="2878"/>
      <c r="T86" s="2878"/>
      <c r="U86" s="2878"/>
      <c r="V86" s="2878"/>
      <c r="W86" s="2878"/>
      <c r="X86" s="2878"/>
      <c r="Y86" s="2878"/>
      <c r="Z86" s="2878"/>
      <c r="AA86" s="2878"/>
      <c r="AB86" s="2878"/>
      <c r="AC86" s="2878"/>
    </row>
    <row r="87" spans="1:29" s="112"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5"/>
      <c r="B88" s="494" t="str">
        <f>B26</f>
        <v>平面位置/可视性</v>
      </c>
      <c r="C88" s="510"/>
      <c r="D88" s="510"/>
      <c r="E88" s="510"/>
      <c r="F88" s="2106"/>
      <c r="G88" s="510"/>
      <c r="H88" s="510"/>
      <c r="I88" s="510"/>
      <c r="J88" s="510"/>
      <c r="K88" s="510"/>
      <c r="L88" s="510"/>
      <c r="M88" s="537"/>
      <c r="N88" s="2971"/>
      <c r="O88" s="2971"/>
      <c r="P88" s="2963"/>
      <c r="Q88" s="2958"/>
      <c r="R88" s="2878"/>
      <c r="S88" s="2878"/>
      <c r="T88" s="2878"/>
      <c r="U88" s="2878"/>
      <c r="V88" s="2878"/>
      <c r="W88" s="2878"/>
      <c r="X88" s="2878"/>
      <c r="Y88" s="2878"/>
      <c r="Z88" s="2878"/>
      <c r="AA88" s="2878"/>
      <c r="AB88" s="2878"/>
      <c r="AC88" s="2878"/>
    </row>
    <row r="89" spans="1:29" s="112" customFormat="1" ht="15.75" thickBot="1">
      <c r="A89" s="535"/>
      <c r="B89" s="499"/>
      <c r="C89" s="516"/>
      <c r="D89" s="492"/>
      <c r="E89" s="492"/>
      <c r="F89" s="492"/>
      <c r="G89" s="492"/>
      <c r="H89" s="492"/>
      <c r="I89" s="492"/>
      <c r="J89" s="492"/>
      <c r="K89" s="492"/>
      <c r="L89" s="492"/>
      <c r="M89" s="492"/>
      <c r="N89" s="2973"/>
      <c r="O89" s="2973"/>
      <c r="P89" s="2963"/>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4"/>
      <c r="O90" s="2974"/>
      <c r="P90" s="2964"/>
      <c r="Q90" s="2965"/>
      <c r="R90" s="2966"/>
      <c r="S90" s="2966"/>
      <c r="T90" s="2966"/>
      <c r="U90" s="2966"/>
      <c r="V90" s="2966"/>
      <c r="W90" s="2966"/>
      <c r="X90" s="2966"/>
      <c r="Y90" s="2966"/>
      <c r="Z90" s="2966"/>
      <c r="AA90" s="2966"/>
      <c r="AB90" s="2966"/>
      <c r="AC90" s="2966"/>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4"/>
      <c r="O91" s="2974"/>
      <c r="P91" s="2964"/>
      <c r="Q91" s="2965"/>
      <c r="R91" s="2966"/>
      <c r="S91" s="2966"/>
      <c r="T91" s="2966"/>
      <c r="U91" s="2966"/>
      <c r="V91" s="2966"/>
      <c r="W91" s="2966"/>
      <c r="X91" s="2966"/>
      <c r="Y91" s="2966"/>
      <c r="Z91" s="2966"/>
      <c r="AA91" s="2966"/>
      <c r="AB91" s="2966"/>
      <c r="AC91" s="2966"/>
    </row>
    <row r="92" spans="1:29" ht="15.75" thickTop="1">
      <c r="A92" s="490"/>
      <c r="B92" s="494" t="str">
        <f>B28</f>
        <v>楼层</v>
      </c>
      <c r="C92" s="510"/>
      <c r="D92" s="510"/>
      <c r="E92" s="510"/>
      <c r="F92" s="510"/>
      <c r="G92" s="510"/>
      <c r="H92" s="510"/>
      <c r="I92" s="510"/>
      <c r="J92" s="510"/>
      <c r="K92" s="510"/>
      <c r="L92" s="536"/>
      <c r="M92" s="537"/>
      <c r="N92" s="2972"/>
      <c r="O92" s="2972"/>
      <c r="P92" s="2963"/>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3"/>
      <c r="O93" s="2973"/>
      <c r="P93" s="2963"/>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2"/>
      <c r="O94" s="2972"/>
      <c r="P94" s="2963"/>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3"/>
      <c r="O95" s="2973"/>
      <c r="P95" s="2963"/>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2"/>
      <c r="O96" s="2972"/>
      <c r="P96" s="2963"/>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3"/>
      <c r="O97" s="2973"/>
      <c r="P97" s="2963"/>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2"/>
      <c r="O98" s="2972"/>
      <c r="P98" s="2963"/>
      <c r="Q98" s="2958"/>
      <c r="R98" s="2944"/>
      <c r="S98" s="2944"/>
      <c r="T98" s="2944"/>
      <c r="U98" s="2944"/>
      <c r="V98" s="2944"/>
      <c r="W98" s="2944"/>
      <c r="X98" s="2944"/>
      <c r="Y98" s="2944"/>
      <c r="Z98" s="2944"/>
      <c r="AA98" s="2944"/>
      <c r="AB98" s="2944"/>
      <c r="AC98" s="2944"/>
    </row>
    <row r="99" spans="1:29" ht="15.75" thickBot="1">
      <c r="A99" s="2107"/>
      <c r="B99" s="525"/>
      <c r="C99" s="526"/>
      <c r="D99" s="526"/>
      <c r="E99" s="526"/>
      <c r="F99" s="526"/>
      <c r="G99" s="547"/>
      <c r="H99" s="547"/>
      <c r="I99" s="547"/>
      <c r="J99" s="547"/>
      <c r="K99" s="547"/>
      <c r="L99" s="547"/>
      <c r="M99" s="548"/>
      <c r="N99" s="2973"/>
      <c r="O99" s="2973"/>
      <c r="P99" s="2963"/>
      <c r="Q99" s="2958"/>
      <c r="R99" s="2944"/>
      <c r="S99" s="2944"/>
      <c r="T99" s="2944"/>
      <c r="U99" s="2944"/>
      <c r="V99" s="2944"/>
      <c r="W99" s="2944"/>
      <c r="X99" s="2944"/>
      <c r="Y99" s="2944"/>
      <c r="Z99" s="2944"/>
      <c r="AA99" s="2944"/>
      <c r="AB99" s="2944"/>
      <c r="AC99" s="2944"/>
    </row>
    <row r="100" spans="1:29">
      <c r="A100" s="483" t="s">
        <v>2381</v>
      </c>
      <c r="B100" s="484" t="s">
        <v>2499</v>
      </c>
      <c r="C100" s="486"/>
      <c r="D100" s="486"/>
      <c r="E100" s="486"/>
      <c r="F100" s="486"/>
      <c r="G100" s="486"/>
      <c r="H100" s="486"/>
      <c r="I100" s="486"/>
      <c r="J100" s="486"/>
      <c r="K100" s="487"/>
      <c r="L100" s="488"/>
      <c r="M100" s="489"/>
      <c r="N100" s="2972"/>
      <c r="O100" s="2972"/>
      <c r="P100" s="2963"/>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9" customFormat="1">
      <c r="A103" s="549"/>
      <c r="B103" s="550"/>
      <c r="C103" s="551"/>
      <c r="D103" s="551"/>
      <c r="E103" s="551"/>
      <c r="F103" s="551"/>
      <c r="G103" s="551"/>
      <c r="H103" s="551"/>
      <c r="I103" s="551"/>
      <c r="J103" s="552"/>
      <c r="K103" s="552"/>
      <c r="L103" s="553"/>
      <c r="M103" s="554"/>
      <c r="N103" s="2974"/>
      <c r="O103" s="2974"/>
      <c r="P103" s="2964"/>
      <c r="Q103" s="2965"/>
      <c r="R103" s="2966"/>
      <c r="S103" s="2966"/>
      <c r="T103" s="2966"/>
      <c r="U103" s="2966"/>
      <c r="V103" s="2966"/>
      <c r="W103" s="2966"/>
      <c r="X103" s="2966"/>
      <c r="Y103" s="2966"/>
      <c r="Z103" s="2966"/>
      <c r="AA103" s="2966"/>
      <c r="AB103" s="2966"/>
      <c r="AC103" s="2966"/>
    </row>
    <row r="104" spans="1:29" s="429" customFormat="1" ht="15.75" thickBot="1">
      <c r="A104" s="509"/>
      <c r="B104" s="499"/>
      <c r="C104" s="516"/>
      <c r="D104" s="492"/>
      <c r="E104" s="492"/>
      <c r="F104" s="492"/>
      <c r="G104" s="492"/>
      <c r="H104" s="492"/>
      <c r="I104" s="492"/>
      <c r="J104" s="492"/>
      <c r="K104" s="492"/>
      <c r="L104" s="492"/>
      <c r="M104" s="493"/>
      <c r="N104" s="2973"/>
      <c r="O104" s="2973"/>
      <c r="P104" s="2964"/>
      <c r="Q104" s="2965"/>
      <c r="R104" s="2966"/>
      <c r="S104" s="2966"/>
      <c r="T104" s="2966"/>
      <c r="U104" s="2966"/>
      <c r="V104" s="2966"/>
      <c r="W104" s="2966"/>
      <c r="X104" s="2966"/>
      <c r="Y104" s="2966"/>
      <c r="Z104" s="2966"/>
      <c r="AA104" s="2966"/>
      <c r="AB104" s="2966"/>
      <c r="AC104" s="2966"/>
    </row>
    <row r="105" spans="1:29" ht="15" thickTop="1">
      <c r="A105" s="555"/>
      <c r="B105" s="494" t="s">
        <v>2432</v>
      </c>
      <c r="C105" s="510"/>
      <c r="D105" s="510"/>
      <c r="E105" s="539"/>
      <c r="F105" s="539"/>
      <c r="G105" s="539"/>
      <c r="H105" s="539"/>
      <c r="I105" s="539"/>
      <c r="J105" s="539"/>
      <c r="K105" s="540"/>
      <c r="L105" s="541"/>
      <c r="M105" s="542"/>
      <c r="N105" s="2972"/>
      <c r="O105" s="2972"/>
      <c r="P105" s="2963"/>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5"/>
      <c r="B107" s="494" t="s">
        <v>2434</v>
      </c>
      <c r="C107" s="510"/>
      <c r="D107" s="510"/>
      <c r="E107" s="510"/>
      <c r="F107" s="539"/>
      <c r="G107" s="539"/>
      <c r="H107" s="539"/>
      <c r="I107" s="539"/>
      <c r="J107" s="539"/>
      <c r="K107" s="540"/>
      <c r="L107" s="541"/>
      <c r="M107" s="542"/>
      <c r="N107" s="2972"/>
      <c r="O107" s="2972"/>
      <c r="P107" s="2963"/>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2"/>
      <c r="O109" s="2972"/>
      <c r="P109" s="2963"/>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2"/>
      <c r="O110" s="2972"/>
      <c r="P110" s="2963"/>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3"/>
      <c r="O111" s="2973"/>
      <c r="P111" s="2963"/>
      <c r="Q111" s="2958"/>
      <c r="R111" s="2944"/>
      <c r="S111" s="2944"/>
      <c r="T111" s="2944"/>
      <c r="U111" s="2944"/>
      <c r="V111" s="2944"/>
      <c r="W111" s="2944"/>
      <c r="X111" s="2944"/>
      <c r="Y111" s="2944"/>
      <c r="Z111" s="2944"/>
      <c r="AA111" s="2944"/>
      <c r="AB111" s="2944"/>
      <c r="AC111" s="2944"/>
    </row>
    <row r="112" spans="1:29" s="429" customFormat="1" ht="15" thickTop="1">
      <c r="A112" s="549"/>
      <c r="B112" s="494" t="s">
        <v>2436</v>
      </c>
      <c r="C112" s="510"/>
      <c r="D112" s="510"/>
      <c r="E112" s="510"/>
      <c r="F112" s="510"/>
      <c r="G112" s="510"/>
      <c r="H112" s="539"/>
      <c r="I112" s="539"/>
      <c r="J112" s="539"/>
      <c r="K112" s="540"/>
      <c r="L112" s="541"/>
      <c r="M112" s="542"/>
      <c r="N112" s="2974"/>
      <c r="O112" s="2974"/>
      <c r="P112" s="2964"/>
      <c r="Q112" s="2965"/>
      <c r="R112" s="2966"/>
      <c r="S112" s="2966"/>
      <c r="T112" s="2966"/>
      <c r="U112" s="2966"/>
      <c r="V112" s="2966"/>
      <c r="W112" s="2966"/>
      <c r="X112" s="2966"/>
      <c r="Y112" s="2966"/>
      <c r="Z112" s="2966"/>
      <c r="AA112" s="2966"/>
      <c r="AB112" s="2966"/>
      <c r="AC112" s="2966"/>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5"/>
      <c r="B114" s="494" t="s">
        <v>2500</v>
      </c>
      <c r="C114" s="510"/>
      <c r="D114" s="510"/>
      <c r="E114" s="539"/>
      <c r="F114" s="539"/>
      <c r="G114" s="539"/>
      <c r="H114" s="539"/>
      <c r="I114" s="539"/>
      <c r="J114" s="539"/>
      <c r="K114" s="540"/>
      <c r="L114" s="541"/>
      <c r="M114" s="542"/>
      <c r="N114" s="2972"/>
      <c r="O114" s="2972"/>
      <c r="P114" s="2963"/>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5"/>
      <c r="B116" s="494" t="s">
        <v>2501</v>
      </c>
      <c r="C116" s="510"/>
      <c r="D116" s="510"/>
      <c r="E116" s="510"/>
      <c r="F116" s="510"/>
      <c r="G116" s="510"/>
      <c r="H116" s="539"/>
      <c r="I116" s="539"/>
      <c r="J116" s="539"/>
      <c r="K116" s="540"/>
      <c r="L116" s="541"/>
      <c r="M116" s="542"/>
      <c r="N116" s="2972"/>
      <c r="O116" s="2972"/>
      <c r="P116" s="2963"/>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3"/>
      <c r="O117" s="2973"/>
      <c r="P117" s="2963"/>
      <c r="Q117" s="2958"/>
      <c r="R117" s="2944"/>
      <c r="S117" s="2944"/>
      <c r="T117" s="2944"/>
      <c r="U117" s="2944"/>
      <c r="V117" s="2944"/>
      <c r="W117" s="2944"/>
      <c r="X117" s="2944"/>
      <c r="Y117" s="2944"/>
      <c r="Z117" s="2944"/>
      <c r="AA117" s="2944"/>
      <c r="AB117" s="2944"/>
      <c r="AC117" s="2944"/>
    </row>
    <row r="118" spans="1:29" ht="15" thickTop="1">
      <c r="A118" s="555"/>
      <c r="B118" s="494" t="s">
        <v>2502</v>
      </c>
      <c r="C118" s="582"/>
      <c r="D118" s="582"/>
      <c r="E118" s="582"/>
      <c r="F118" s="582"/>
      <c r="G118" s="582"/>
      <c r="H118" s="511"/>
      <c r="I118" s="511"/>
      <c r="J118" s="511"/>
      <c r="K118" s="511"/>
      <c r="L118" s="512"/>
      <c r="M118" s="513"/>
      <c r="N118" s="2972"/>
      <c r="O118" s="2972"/>
      <c r="P118" s="2963"/>
      <c r="Q118" s="2958"/>
      <c r="R118" s="2944"/>
      <c r="S118" s="2944"/>
      <c r="T118" s="2944"/>
      <c r="U118" s="2944"/>
      <c r="V118" s="2944"/>
      <c r="W118" s="2944"/>
      <c r="X118" s="2944"/>
      <c r="Y118" s="2944"/>
      <c r="Z118" s="2944"/>
      <c r="AA118" s="2944"/>
      <c r="AB118" s="2944"/>
      <c r="AC118" s="2944"/>
    </row>
    <row r="119" spans="1:29" ht="15.75" thickBot="1">
      <c r="A119" s="490"/>
      <c r="B119" s="499"/>
      <c r="C119" s="516"/>
      <c r="D119" s="492"/>
      <c r="E119" s="492"/>
      <c r="F119" s="492"/>
      <c r="G119" s="492"/>
      <c r="H119" s="492"/>
      <c r="I119" s="492"/>
      <c r="J119" s="492"/>
      <c r="K119" s="492"/>
      <c r="L119" s="492"/>
      <c r="M119" s="493"/>
      <c r="N119" s="2973"/>
      <c r="O119" s="2973"/>
      <c r="P119" s="2963"/>
      <c r="Q119" s="2958"/>
      <c r="R119" s="2944"/>
      <c r="S119" s="2944"/>
      <c r="T119" s="2944"/>
      <c r="U119" s="2944"/>
      <c r="V119" s="2944"/>
      <c r="W119" s="2944"/>
      <c r="X119" s="2944"/>
      <c r="Y119" s="2944"/>
      <c r="Z119" s="2944"/>
      <c r="AA119" s="2944"/>
      <c r="AB119" s="2944"/>
      <c r="AC119" s="2944"/>
    </row>
    <row r="120" spans="1:29" s="429" customFormat="1" ht="15" thickTop="1">
      <c r="A120" s="549"/>
      <c r="B120" s="494" t="s">
        <v>2503</v>
      </c>
      <c r="C120" s="539"/>
      <c r="D120" s="539"/>
      <c r="E120" s="539"/>
      <c r="F120" s="539"/>
      <c r="G120" s="511"/>
      <c r="H120" s="511"/>
      <c r="I120" s="511"/>
      <c r="J120" s="511"/>
      <c r="K120" s="511"/>
      <c r="L120" s="512"/>
      <c r="M120" s="513"/>
      <c r="N120" s="2974"/>
      <c r="O120" s="2974"/>
      <c r="P120" s="2964"/>
      <c r="Q120" s="2965"/>
      <c r="R120" s="2966"/>
      <c r="S120" s="2966"/>
      <c r="T120" s="2966"/>
      <c r="U120" s="2966"/>
      <c r="V120" s="2966"/>
      <c r="W120" s="2966"/>
      <c r="X120" s="2966"/>
      <c r="Y120" s="2966"/>
      <c r="Z120" s="2966"/>
      <c r="AA120" s="2966"/>
      <c r="AB120" s="2966"/>
      <c r="AC120" s="2966"/>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5"/>
      <c r="B122" s="494" t="s">
        <v>2438</v>
      </c>
      <c r="C122" s="510"/>
      <c r="D122" s="510"/>
      <c r="E122" s="510"/>
      <c r="F122" s="539"/>
      <c r="G122" s="539"/>
      <c r="H122" s="539"/>
      <c r="I122" s="539"/>
      <c r="J122" s="539"/>
      <c r="K122" s="540"/>
      <c r="L122" s="541"/>
      <c r="M122" s="542"/>
      <c r="N122" s="2972"/>
      <c r="O122" s="2972"/>
      <c r="P122" s="2963"/>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2"/>
      <c r="O124" s="2972"/>
      <c r="P124" s="2964"/>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3"/>
      <c r="O125" s="2973"/>
      <c r="P125" s="2963"/>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4"/>
      <c r="O126" s="2974"/>
      <c r="P126" s="2964"/>
      <c r="Q126" s="2965"/>
      <c r="R126" s="2966"/>
      <c r="S126" s="2966"/>
      <c r="T126" s="2966"/>
      <c r="U126" s="2966"/>
      <c r="V126" s="2966"/>
      <c r="W126" s="2966"/>
      <c r="X126" s="2966"/>
      <c r="Y126" s="2966"/>
      <c r="Z126" s="2966"/>
      <c r="AA126" s="2966"/>
      <c r="AB126" s="2966"/>
      <c r="AC126" s="2966"/>
    </row>
    <row r="127" spans="1:29" s="429" customFormat="1" ht="15.75" thickBot="1">
      <c r="A127" s="509"/>
      <c r="B127" s="499"/>
      <c r="C127" s="516"/>
      <c r="D127" s="492"/>
      <c r="E127" s="492"/>
      <c r="F127" s="492"/>
      <c r="G127" s="516"/>
      <c r="H127" s="518"/>
      <c r="I127" s="518"/>
      <c r="J127" s="518"/>
      <c r="K127" s="518"/>
      <c r="L127" s="518"/>
      <c r="M127" s="519"/>
      <c r="N127" s="2974"/>
      <c r="O127" s="2974"/>
      <c r="P127" s="2964"/>
      <c r="Q127" s="2965"/>
      <c r="R127" s="2966"/>
      <c r="S127" s="2966"/>
      <c r="T127" s="2966"/>
      <c r="U127" s="2966"/>
      <c r="V127" s="2966"/>
      <c r="W127" s="2966"/>
      <c r="X127" s="2966"/>
      <c r="Y127" s="2966"/>
      <c r="Z127" s="2966"/>
      <c r="AA127" s="2966"/>
      <c r="AB127" s="2966"/>
      <c r="AC127" s="2966"/>
    </row>
    <row r="128" spans="1:29" ht="15" thickTop="1">
      <c r="A128" s="555"/>
      <c r="B128" s="494">
        <f>B45</f>
        <v>111</v>
      </c>
      <c r="C128" s="510"/>
      <c r="D128" s="510"/>
      <c r="E128" s="510"/>
      <c r="F128" s="510"/>
      <c r="G128" s="539"/>
      <c r="H128" s="539"/>
      <c r="I128" s="539"/>
      <c r="J128" s="539"/>
      <c r="K128" s="540"/>
      <c r="L128" s="541"/>
      <c r="M128" s="542"/>
      <c r="N128" s="2972"/>
      <c r="O128" s="2972"/>
      <c r="P128" s="2963"/>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3"/>
      <c r="O129" s="2973"/>
      <c r="P129" s="2963"/>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5"/>
      <c r="C131" s="526"/>
      <c r="D131" s="526"/>
      <c r="E131" s="526"/>
      <c r="F131" s="526"/>
      <c r="G131" s="547"/>
      <c r="H131" s="547"/>
      <c r="I131" s="547"/>
      <c r="J131" s="547"/>
      <c r="K131" s="547"/>
      <c r="L131" s="547"/>
      <c r="M131" s="548"/>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2504</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IF(C2="——",ROUND(C50*D3/10000,0),ROUND(C50*D3/10000,0)-D2)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101912.04000000001</v>
      </c>
      <c r="E3" s="2133"/>
      <c r="F3" s="1033"/>
      <c r="G3" s="1032"/>
      <c r="H3" s="1032"/>
      <c r="I3" s="1032"/>
      <c r="J3" s="1032"/>
      <c r="K3" s="1034"/>
      <c r="L3" s="2953"/>
      <c r="M3" s="2954"/>
      <c r="N3" s="2954"/>
      <c r="O3" s="2954"/>
      <c r="P3" s="707"/>
      <c r="Q3" s="707"/>
      <c r="R3" s="707"/>
      <c r="S3" s="707"/>
      <c r="T3" s="707"/>
      <c r="U3" s="707"/>
      <c r="V3" s="707"/>
      <c r="W3" s="707"/>
      <c r="X3" s="707"/>
      <c r="Y3" s="707"/>
      <c r="Z3" s="707"/>
      <c r="AA3" s="707"/>
      <c r="AB3" s="707"/>
      <c r="AC3" s="708"/>
    </row>
    <row r="4" spans="1:29" ht="15">
      <c r="A4" s="360" t="s">
        <v>2463</v>
      </c>
      <c r="B4" s="361"/>
      <c r="C4" s="3344" t="s">
        <v>2464</v>
      </c>
      <c r="D4" s="3345"/>
      <c r="E4" s="3346" t="s">
        <v>2465</v>
      </c>
      <c r="F4" s="3347"/>
      <c r="G4" s="3344" t="s">
        <v>2466</v>
      </c>
      <c r="H4" s="3345"/>
      <c r="I4" s="3344" t="s">
        <v>2467</v>
      </c>
      <c r="J4" s="3345"/>
      <c r="K4" s="566" t="s">
        <v>2468</v>
      </c>
      <c r="L4" s="2934"/>
      <c r="M4" s="2935"/>
      <c r="N4" s="2935"/>
      <c r="O4" s="2935"/>
      <c r="P4" s="3378" t="s">
        <v>2469</v>
      </c>
      <c r="Q4" s="3379"/>
      <c r="R4" s="3373" t="s">
        <v>2465</v>
      </c>
      <c r="S4" s="3374"/>
      <c r="T4" s="3373" t="s">
        <v>2466</v>
      </c>
      <c r="U4" s="3374"/>
      <c r="V4" s="3382" t="s">
        <v>2467</v>
      </c>
      <c r="W4" s="3382"/>
      <c r="X4" s="2137"/>
      <c r="Y4" s="3373" t="s">
        <v>2469</v>
      </c>
      <c r="Z4" s="3374"/>
      <c r="AA4" s="3372" t="s">
        <v>2465</v>
      </c>
      <c r="AB4" s="3372" t="s">
        <v>2466</v>
      </c>
      <c r="AC4" s="3375" t="s">
        <v>2467</v>
      </c>
    </row>
    <row r="5" spans="1:29" ht="15">
      <c r="A5" s="363"/>
      <c r="B5" s="364"/>
      <c r="C5" s="3337" t="s">
        <v>2360</v>
      </c>
      <c r="D5" s="3338"/>
      <c r="E5" s="3335" t="s">
        <v>2361</v>
      </c>
      <c r="F5" s="3336"/>
      <c r="G5" s="3337" t="s">
        <v>2362</v>
      </c>
      <c r="H5" s="3338"/>
      <c r="I5" s="3337" t="s">
        <v>2363</v>
      </c>
      <c r="J5" s="3338"/>
      <c r="K5" s="566"/>
      <c r="L5" s="2934"/>
      <c r="M5" s="2935"/>
      <c r="N5" s="2935"/>
      <c r="O5" s="2935"/>
      <c r="P5" s="3380"/>
      <c r="Q5" s="3351"/>
      <c r="R5" s="3333"/>
      <c r="S5" s="3334"/>
      <c r="T5" s="3333"/>
      <c r="U5" s="3334"/>
      <c r="V5" s="3356"/>
      <c r="W5" s="3356"/>
      <c r="X5" s="1533"/>
      <c r="Y5" s="3333"/>
      <c r="Z5" s="3334"/>
      <c r="AA5" s="3327"/>
      <c r="AB5" s="3327"/>
      <c r="AC5" s="3376"/>
    </row>
    <row r="6" spans="1:29" ht="15.75" thickBot="1">
      <c r="A6" s="365"/>
      <c r="B6" s="366"/>
      <c r="C6" s="3339" t="s">
        <v>2364</v>
      </c>
      <c r="D6" s="3340"/>
      <c r="E6" s="3341" t="s">
        <v>2364</v>
      </c>
      <c r="F6" s="3342"/>
      <c r="G6" s="3339" t="s">
        <v>2364</v>
      </c>
      <c r="H6" s="3340"/>
      <c r="I6" s="3339" t="s">
        <v>2364</v>
      </c>
      <c r="J6" s="3340"/>
      <c r="K6" s="566" t="s">
        <v>2365</v>
      </c>
      <c r="L6" s="2934"/>
      <c r="M6" s="2935"/>
      <c r="N6" s="2935"/>
      <c r="O6" s="2935"/>
      <c r="P6" s="3381"/>
      <c r="Q6" s="3353"/>
      <c r="R6" s="3333"/>
      <c r="S6" s="3334"/>
      <c r="T6" s="3354"/>
      <c r="U6" s="3355"/>
      <c r="V6" s="3356"/>
      <c r="W6" s="3356"/>
      <c r="X6" s="1533"/>
      <c r="Y6" s="3354"/>
      <c r="Z6" s="3355"/>
      <c r="AA6" s="3328"/>
      <c r="AB6" s="3328"/>
      <c r="AC6" s="3377"/>
    </row>
    <row r="7" spans="1:29" s="112" customFormat="1" ht="15.75" thickBot="1">
      <c r="A7" s="367" t="s">
        <v>2366</v>
      </c>
      <c r="B7" s="368"/>
      <c r="C7" s="369">
        <f>'数据-取费表'!B2</f>
        <v>44187</v>
      </c>
      <c r="D7" s="370">
        <v>100</v>
      </c>
      <c r="E7" s="371"/>
      <c r="F7" s="372">
        <f>SUMIF(59:59,YEAR(E7)&amp;"-"&amp;MONTH(E7),60:60)</f>
        <v>0</v>
      </c>
      <c r="G7" s="371"/>
      <c r="H7" s="370">
        <f>SUMIF(59:59,YEAR(G7)&amp;"-"&amp;MONTH(G7),60:60)</f>
        <v>0</v>
      </c>
      <c r="I7" s="371"/>
      <c r="J7" s="370">
        <f>SUMIF(59:59,YEAR(I7)&amp;"-"&amp;MONTH(I7),60:60)</f>
        <v>0</v>
      </c>
      <c r="K7" s="567"/>
      <c r="L7" s="2936"/>
      <c r="M7" s="2937"/>
      <c r="N7" s="2937"/>
      <c r="O7" s="2937"/>
      <c r="P7" s="3383" t="s">
        <v>2367</v>
      </c>
      <c r="Q7" s="3357"/>
      <c r="R7" s="709" t="s">
        <v>17</v>
      </c>
      <c r="S7" s="710">
        <f t="shared" ref="S7:S15" si="0">F7</f>
        <v>0</v>
      </c>
      <c r="T7" s="709" t="s">
        <v>17</v>
      </c>
      <c r="U7" s="710">
        <f t="shared" ref="U7:U15" si="1">H7</f>
        <v>0</v>
      </c>
      <c r="V7" s="709" t="s">
        <v>17</v>
      </c>
      <c r="W7" s="710">
        <f t="shared" ref="W7:W15" si="2">J7</f>
        <v>0</v>
      </c>
      <c r="X7" s="711"/>
      <c r="Y7" s="3329" t="s">
        <v>2367</v>
      </c>
      <c r="Z7" s="3330"/>
      <c r="AA7" s="712" t="e">
        <f>D7/F7</f>
        <v>#DIV/0!</v>
      </c>
      <c r="AB7" s="712" t="e">
        <f>D7/H7</f>
        <v>#DIV/0!</v>
      </c>
      <c r="AC7" s="2138"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6"/>
      <c r="M8" s="2937"/>
      <c r="N8" s="2937"/>
      <c r="O8" s="2937"/>
      <c r="P8" s="3383" t="s">
        <v>2370</v>
      </c>
      <c r="Q8" s="3330"/>
      <c r="R8" s="709" t="s">
        <v>17</v>
      </c>
      <c r="S8" s="710">
        <f t="shared" si="0"/>
        <v>0</v>
      </c>
      <c r="T8" s="709" t="s">
        <v>17</v>
      </c>
      <c r="U8" s="710">
        <f t="shared" si="1"/>
        <v>0</v>
      </c>
      <c r="V8" s="709" t="s">
        <v>17</v>
      </c>
      <c r="W8" s="710">
        <f t="shared" si="2"/>
        <v>0</v>
      </c>
      <c r="X8" s="711"/>
      <c r="Y8" s="3329" t="s">
        <v>2370</v>
      </c>
      <c r="Z8" s="3330"/>
      <c r="AA8" s="712" t="e">
        <f t="shared" ref="AA8:AA47" si="3">D8/F8</f>
        <v>#DIV/0!</v>
      </c>
      <c r="AB8" s="712" t="e">
        <f t="shared" ref="AB8:AB47" si="4">D8/H8</f>
        <v>#DIV/0!</v>
      </c>
      <c r="AC8" s="2138"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6"/>
      <c r="M9" s="2937"/>
      <c r="N9" s="2937"/>
      <c r="O9" s="2937"/>
      <c r="P9" s="3343"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2138">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8"/>
      <c r="M10" s="2939"/>
      <c r="N10" s="2939"/>
      <c r="O10" s="2939"/>
      <c r="P10" s="3343"/>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2138">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0"/>
      <c r="M11" s="2935"/>
      <c r="N11" s="2935"/>
      <c r="O11" s="2935"/>
      <c r="P11" s="3343"/>
      <c r="Q11" s="1521" t="str">
        <f t="shared" si="6"/>
        <v>容积率</v>
      </c>
      <c r="R11" s="709" t="s">
        <v>17</v>
      </c>
      <c r="S11" s="710" t="e">
        <f t="shared" si="0"/>
        <v>#N/A</v>
      </c>
      <c r="T11" s="709" t="s">
        <v>17</v>
      </c>
      <c r="U11" s="710" t="e">
        <f t="shared" si="1"/>
        <v>#N/A</v>
      </c>
      <c r="V11" s="709" t="s">
        <v>17</v>
      </c>
      <c r="W11" s="710" t="e">
        <f t="shared" si="2"/>
        <v>#N/A</v>
      </c>
      <c r="X11" s="711"/>
      <c r="Y11" s="3271"/>
      <c r="Z11" s="55"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6"/>
      <c r="M12" s="2937"/>
      <c r="N12" s="2937"/>
      <c r="O12" s="2937"/>
      <c r="P12" s="3343"/>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1"/>
      <c r="M13" s="2935"/>
      <c r="N13" s="2935"/>
      <c r="O13" s="2935"/>
      <c r="P13" s="3343"/>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1"/>
      <c r="M14" s="2935"/>
      <c r="N14" s="2935"/>
      <c r="O14" s="2935"/>
      <c r="P14" s="3343"/>
      <c r="Q14" s="1521">
        <f t="shared" si="6"/>
        <v>111</v>
      </c>
      <c r="R14" s="709" t="s">
        <v>17</v>
      </c>
      <c r="S14" s="710">
        <f t="shared" si="0"/>
        <v>100</v>
      </c>
      <c r="T14" s="709" t="s">
        <v>17</v>
      </c>
      <c r="U14" s="710">
        <f t="shared" si="1"/>
        <v>100</v>
      </c>
      <c r="V14" s="709" t="s">
        <v>17</v>
      </c>
      <c r="W14" s="710">
        <f t="shared" si="2"/>
        <v>100</v>
      </c>
      <c r="X14" s="711"/>
      <c r="Y14" s="3271"/>
      <c r="Z14" s="55">
        <f t="shared" si="7"/>
        <v>111</v>
      </c>
      <c r="AA14" s="712">
        <f t="shared" si="3"/>
        <v>1</v>
      </c>
      <c r="AB14" s="712">
        <f t="shared" si="4"/>
        <v>1</v>
      </c>
      <c r="AC14" s="2138">
        <f t="shared" si="5"/>
        <v>1</v>
      </c>
    </row>
    <row r="15" spans="1:29" ht="71.25">
      <c r="A15" s="398" t="s">
        <v>2377</v>
      </c>
      <c r="B15" s="584" t="s">
        <v>2505</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1"/>
      <c r="M15" s="2935"/>
      <c r="N15" s="2935"/>
      <c r="O15" s="2935"/>
      <c r="P15" s="3370" t="s">
        <v>2378</v>
      </c>
      <c r="Q15" s="1530" t="str">
        <f t="shared" si="6"/>
        <v>办公集聚程度</v>
      </c>
      <c r="R15" s="713" t="s">
        <v>17</v>
      </c>
      <c r="S15" s="714">
        <f t="shared" si="0"/>
        <v>100</v>
      </c>
      <c r="T15" s="713" t="s">
        <v>17</v>
      </c>
      <c r="U15" s="714">
        <f t="shared" si="1"/>
        <v>100</v>
      </c>
      <c r="V15" s="713" t="s">
        <v>17</v>
      </c>
      <c r="W15" s="714">
        <f t="shared" si="2"/>
        <v>100</v>
      </c>
      <c r="X15" s="1533"/>
      <c r="Y15" s="3363" t="s">
        <v>2378</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1"/>
      <c r="M16" s="2935"/>
      <c r="N16" s="2935"/>
      <c r="O16" s="2935"/>
      <c r="P16" s="3371"/>
      <c r="Q16" s="1530"/>
      <c r="R16" s="713"/>
      <c r="S16" s="714"/>
      <c r="T16" s="713"/>
      <c r="U16" s="714"/>
      <c r="V16" s="713"/>
      <c r="W16" s="714"/>
      <c r="X16" s="1533"/>
      <c r="Y16" s="3364"/>
      <c r="Z16" s="1534"/>
      <c r="AA16" s="1531">
        <v>1</v>
      </c>
      <c r="AB16" s="1531">
        <v>1</v>
      </c>
      <c r="AC16" s="2141">
        <v>1</v>
      </c>
    </row>
    <row r="17" spans="1:29" ht="85.5">
      <c r="A17" s="386"/>
      <c r="B17" s="586" t="s">
        <v>1945</v>
      </c>
      <c r="C17" s="2142" t="str">
        <f>估价对象房地状况!C6</f>
        <v>周边有438路、365路、449路、570路等多条公交线路及地铁16号线永丰站，交通便捷度较好。</v>
      </c>
      <c r="D17" s="408">
        <v>100</v>
      </c>
      <c r="E17" s="412"/>
      <c r="F17" s="408">
        <f>SUMIF(79:79,E18,80:80)-SUMIF(79:79,C18,80:80)+100</f>
        <v>100</v>
      </c>
      <c r="G17" s="410"/>
      <c r="H17" s="413">
        <f>SUMIF(79:79,G18,80:80)-SUMIF(79:79,C18,80:80)+100</f>
        <v>100</v>
      </c>
      <c r="I17" s="410"/>
      <c r="J17" s="413">
        <f>SUMIF(79:79,I18,80:80)-SUMIF(79:79,C18,80:80)+100</f>
        <v>100</v>
      </c>
      <c r="K17" s="570"/>
      <c r="L17" s="2941"/>
      <c r="M17" s="2935"/>
      <c r="N17" s="2935"/>
      <c r="O17" s="2935"/>
      <c r="P17" s="3371"/>
      <c r="Q17" s="1530" t="str">
        <f>B17</f>
        <v>交通便捷度</v>
      </c>
      <c r="R17" s="713" t="s">
        <v>17</v>
      </c>
      <c r="S17" s="714">
        <f>F17</f>
        <v>100</v>
      </c>
      <c r="T17" s="713" t="s">
        <v>17</v>
      </c>
      <c r="U17" s="714">
        <f>H17</f>
        <v>100</v>
      </c>
      <c r="V17" s="713" t="s">
        <v>17</v>
      </c>
      <c r="W17" s="714">
        <f>J17</f>
        <v>100</v>
      </c>
      <c r="X17" s="1533"/>
      <c r="Y17" s="3364"/>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1"/>
      <c r="M18" s="2935"/>
      <c r="N18" s="2935"/>
      <c r="O18" s="2935"/>
      <c r="P18" s="3371"/>
      <c r="Q18" s="1530"/>
      <c r="R18" s="713"/>
      <c r="S18" s="714"/>
      <c r="T18" s="713"/>
      <c r="U18" s="714"/>
      <c r="V18" s="713"/>
      <c r="W18" s="714"/>
      <c r="X18" s="1533"/>
      <c r="Y18" s="3364"/>
      <c r="Z18" s="1534"/>
      <c r="AA18" s="1531">
        <v>1</v>
      </c>
      <c r="AB18" s="1531">
        <v>1</v>
      </c>
      <c r="AC18" s="2141">
        <v>1</v>
      </c>
    </row>
    <row r="19" spans="1:29" ht="142.5">
      <c r="A19" s="386"/>
      <c r="B19" s="586" t="s">
        <v>2506</v>
      </c>
      <c r="C19" s="2142" t="str">
        <f>估价对象房地状况!C7</f>
        <v>周边1公里范围内有购物场所（华联超市）、医院（无）、银行（工商银行、北京农商银行）、学校（海淀科技园小学）、餐饮等公共服务配套设施，公共配套设施状况一般。</v>
      </c>
      <c r="D19" s="413">
        <v>100</v>
      </c>
      <c r="E19" s="417"/>
      <c r="F19" s="413">
        <f>SUMIF(81:81,E20,82:82)-SUMIF(81:81,C20,82:82)+100</f>
        <v>100</v>
      </c>
      <c r="G19" s="415"/>
      <c r="H19" s="408">
        <f>SUMIF(81:81,G20,82:82)-SUMIF(81:81,C20,82:82)+100</f>
        <v>100</v>
      </c>
      <c r="I19" s="415"/>
      <c r="J19" s="408">
        <f>SUMIF(81:81,I20,82:82)-SUMIF(81:81,C20,82:82)+100</f>
        <v>100</v>
      </c>
      <c r="K19" s="570"/>
      <c r="L19" s="2941"/>
      <c r="M19" s="2935"/>
      <c r="N19" s="2935"/>
      <c r="O19" s="2935"/>
      <c r="P19" s="3371"/>
      <c r="Q19" s="1530" t="str">
        <f>B19</f>
        <v>公共配套设施</v>
      </c>
      <c r="R19" s="713" t="s">
        <v>17</v>
      </c>
      <c r="S19" s="714">
        <f>F19</f>
        <v>100</v>
      </c>
      <c r="T19" s="713" t="s">
        <v>17</v>
      </c>
      <c r="U19" s="714">
        <f>H19</f>
        <v>100</v>
      </c>
      <c r="V19" s="713" t="s">
        <v>17</v>
      </c>
      <c r="W19" s="714">
        <f>J19</f>
        <v>100</v>
      </c>
      <c r="X19" s="1533"/>
      <c r="Y19" s="3364"/>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1"/>
      <c r="M20" s="2935"/>
      <c r="N20" s="2935"/>
      <c r="O20" s="2935"/>
      <c r="P20" s="3371"/>
      <c r="Q20" s="1530"/>
      <c r="R20" s="713"/>
      <c r="S20" s="714"/>
      <c r="T20" s="713"/>
      <c r="U20" s="714"/>
      <c r="V20" s="713"/>
      <c r="W20" s="714"/>
      <c r="X20" s="1533"/>
      <c r="Y20" s="3364"/>
      <c r="Z20" s="1534"/>
      <c r="AA20" s="1531">
        <v>1</v>
      </c>
      <c r="AB20" s="1531">
        <v>1</v>
      </c>
      <c r="AC20" s="2141">
        <v>1</v>
      </c>
    </row>
    <row r="21" spans="1:29" ht="15">
      <c r="A21" s="386"/>
      <c r="B21" s="588" t="s">
        <v>2507</v>
      </c>
      <c r="C21" s="2142"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1"/>
      <c r="M21" s="2935"/>
      <c r="N21" s="2935"/>
      <c r="O21" s="2935"/>
      <c r="P21" s="3371"/>
      <c r="Q21" s="1530" t="str">
        <f>B21</f>
        <v>基础设施水平</v>
      </c>
      <c r="R21" s="713" t="s">
        <v>17</v>
      </c>
      <c r="S21" s="714">
        <f>F21</f>
        <v>100</v>
      </c>
      <c r="T21" s="713" t="s">
        <v>17</v>
      </c>
      <c r="U21" s="714">
        <f>H21</f>
        <v>100</v>
      </c>
      <c r="V21" s="713" t="s">
        <v>17</v>
      </c>
      <c r="W21" s="714">
        <f>J21</f>
        <v>100</v>
      </c>
      <c r="X21" s="1533"/>
      <c r="Y21" s="3364"/>
      <c r="Z21" s="1534" t="str">
        <f>Q21</f>
        <v>基础设施水平</v>
      </c>
      <c r="AA21" s="1531">
        <f>D21/F21</f>
        <v>1</v>
      </c>
      <c r="AB21" s="1531">
        <f>D21/H21</f>
        <v>1</v>
      </c>
      <c r="AC21" s="2141">
        <f>D21/J21</f>
        <v>1</v>
      </c>
    </row>
    <row r="22" spans="1:29" ht="15">
      <c r="A22" s="386"/>
      <c r="B22" s="588"/>
      <c r="C22" s="2143"/>
      <c r="D22" s="406"/>
      <c r="E22" s="405"/>
      <c r="F22" s="406"/>
      <c r="G22" s="2083"/>
      <c r="H22" s="406"/>
      <c r="I22" s="2083"/>
      <c r="J22" s="406"/>
      <c r="K22" s="1285"/>
      <c r="L22" s="2941"/>
      <c r="M22" s="2935"/>
      <c r="N22" s="2935"/>
      <c r="O22" s="2935"/>
      <c r="P22" s="3371"/>
      <c r="Q22" s="1530"/>
      <c r="R22" s="713"/>
      <c r="S22" s="714"/>
      <c r="T22" s="713"/>
      <c r="U22" s="714"/>
      <c r="V22" s="713"/>
      <c r="W22" s="714"/>
      <c r="X22" s="1533"/>
      <c r="Y22" s="3364"/>
      <c r="Z22" s="1534"/>
      <c r="AA22" s="1531">
        <v>1</v>
      </c>
      <c r="AB22" s="1531">
        <v>1</v>
      </c>
      <c r="AC22" s="2141">
        <v>1</v>
      </c>
    </row>
    <row r="23" spans="1:29" ht="71.25">
      <c r="A23" s="386"/>
      <c r="B23" s="586" t="s">
        <v>2508</v>
      </c>
      <c r="C23" s="2142" t="str">
        <f>估价对象房地状况!C9</f>
        <v>周边1公里无大型公园，人文环境有北京北大资源研修学院，自然及人文环境一般。</v>
      </c>
      <c r="D23" s="408">
        <v>100</v>
      </c>
      <c r="E23" s="412"/>
      <c r="F23" s="408">
        <f>SUMIF(85:85,E24,86:86)-SUMIF(85:85,C24,86:86)+100</f>
        <v>100</v>
      </c>
      <c r="G23" s="410"/>
      <c r="H23" s="408">
        <f>SUMIF(85:85,G24,86:86)-SUMIF(85:85,C24,86:86)+100</f>
        <v>100</v>
      </c>
      <c r="I23" s="410"/>
      <c r="J23" s="408">
        <f>SUMIF(85:85,I24,86:86)-SUMIF(85:85,C24,86:86)+100</f>
        <v>100</v>
      </c>
      <c r="K23" s="570"/>
      <c r="L23" s="2941"/>
      <c r="M23" s="2935"/>
      <c r="N23" s="2935"/>
      <c r="O23" s="2935"/>
      <c r="P23" s="3371"/>
      <c r="Q23" s="1530" t="str">
        <f>B23</f>
        <v>环境质量</v>
      </c>
      <c r="R23" s="713" t="s">
        <v>17</v>
      </c>
      <c r="S23" s="714">
        <f>F23</f>
        <v>100</v>
      </c>
      <c r="T23" s="713" t="s">
        <v>17</v>
      </c>
      <c r="U23" s="714">
        <f>H23</f>
        <v>100</v>
      </c>
      <c r="V23" s="713" t="s">
        <v>17</v>
      </c>
      <c r="W23" s="714">
        <f>J23</f>
        <v>100</v>
      </c>
      <c r="X23" s="1533"/>
      <c r="Y23" s="3364"/>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1"/>
      <c r="M24" s="2935"/>
      <c r="N24" s="2935"/>
      <c r="O24" s="2935"/>
      <c r="P24" s="3371"/>
      <c r="Q24" s="1530"/>
      <c r="R24" s="713"/>
      <c r="S24" s="714"/>
      <c r="T24" s="713"/>
      <c r="U24" s="714"/>
      <c r="V24" s="713"/>
      <c r="W24" s="714"/>
      <c r="X24" s="1533"/>
      <c r="Y24" s="3364"/>
      <c r="Z24" s="1534"/>
      <c r="AA24" s="1531">
        <v>1</v>
      </c>
      <c r="AB24" s="1531">
        <v>1</v>
      </c>
      <c r="AC24" s="2141">
        <v>1</v>
      </c>
    </row>
    <row r="25" spans="1:29" ht="27">
      <c r="A25" s="363"/>
      <c r="B25" s="586" t="s">
        <v>2509</v>
      </c>
      <c r="C25" s="2087"/>
      <c r="D25" s="393">
        <v>100</v>
      </c>
      <c r="E25" s="392"/>
      <c r="F25" s="393">
        <f>SUMIF(87:87,E26,88:88)-SUMIF(87:87,C26,88:88)+100</f>
        <v>100</v>
      </c>
      <c r="G25" s="2087"/>
      <c r="H25" s="393">
        <f>SUMIF(87:87,G26,88:88)-SUMIF(87:87,C26,88:88)+100</f>
        <v>100</v>
      </c>
      <c r="I25" s="392"/>
      <c r="J25" s="393">
        <f>SUMIF(87:87,I26,88:88)-SUMIF(87:87,C26,88:88)+100</f>
        <v>100</v>
      </c>
      <c r="K25" s="570"/>
      <c r="L25" s="2941"/>
      <c r="M25" s="2935"/>
      <c r="N25" s="2935"/>
      <c r="O25" s="2935"/>
      <c r="P25" s="3371"/>
      <c r="Q25" s="1530" t="str">
        <f>B25</f>
        <v>毗邻道路的类型与等级</v>
      </c>
      <c r="R25" s="713" t="s">
        <v>17</v>
      </c>
      <c r="S25" s="714">
        <f>F25</f>
        <v>100</v>
      </c>
      <c r="T25" s="713" t="s">
        <v>17</v>
      </c>
      <c r="U25" s="714">
        <f>H25</f>
        <v>100</v>
      </c>
      <c r="V25" s="713" t="s">
        <v>17</v>
      </c>
      <c r="W25" s="714">
        <f>J25</f>
        <v>100</v>
      </c>
      <c r="X25" s="1533"/>
      <c r="Y25" s="3364"/>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1"/>
      <c r="M26" s="2935"/>
      <c r="N26" s="2935"/>
      <c r="O26" s="2935"/>
      <c r="P26" s="3371"/>
      <c r="Q26" s="1530"/>
      <c r="R26" s="713"/>
      <c r="S26" s="714"/>
      <c r="T26" s="713"/>
      <c r="U26" s="714"/>
      <c r="V26" s="713"/>
      <c r="W26" s="714"/>
      <c r="X26" s="1533"/>
      <c r="Y26" s="3364"/>
      <c r="Z26" s="1534"/>
      <c r="AA26" s="1531">
        <v>1</v>
      </c>
      <c r="AB26" s="1531">
        <v>1</v>
      </c>
      <c r="AC26" s="2141">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1"/>
      <c r="M27" s="2935"/>
      <c r="N27" s="2935"/>
      <c r="O27" s="2935"/>
      <c r="P27" s="3371"/>
      <c r="Q27" s="1530" t="str">
        <f t="shared" ref="Q27:Q47" si="8">B27</f>
        <v>楼层</v>
      </c>
      <c r="R27" s="713" t="s">
        <v>17</v>
      </c>
      <c r="S27" s="714">
        <f>F27</f>
        <v>100</v>
      </c>
      <c r="T27" s="713" t="s">
        <v>17</v>
      </c>
      <c r="U27" s="714">
        <f>H27</f>
        <v>100</v>
      </c>
      <c r="V27" s="713" t="s">
        <v>17</v>
      </c>
      <c r="W27" s="714">
        <f>J27</f>
        <v>100</v>
      </c>
      <c r="X27" s="1533"/>
      <c r="Y27" s="3364"/>
      <c r="Z27" s="1534" t="str">
        <f>Q27</f>
        <v>楼层</v>
      </c>
      <c r="AA27" s="1531">
        <f t="shared" si="3"/>
        <v>1</v>
      </c>
      <c r="AB27" s="1531">
        <f t="shared" si="4"/>
        <v>1</v>
      </c>
      <c r="AC27" s="2141">
        <f t="shared" si="5"/>
        <v>1</v>
      </c>
    </row>
    <row r="28" spans="1:29" s="112" customFormat="1" ht="15">
      <c r="A28" s="389"/>
      <c r="B28" s="586" t="s">
        <v>2510</v>
      </c>
      <c r="C28" s="2144"/>
      <c r="D28" s="420">
        <v>100</v>
      </c>
      <c r="E28" s="2135"/>
      <c r="F28" s="420">
        <f>SUMIF(91:91,E28,92:92)-SUMIF(91:91,C28,92:92)+100</f>
        <v>100</v>
      </c>
      <c r="G28" s="2144"/>
      <c r="H28" s="420">
        <f>SUMIF(91:91,G28,92:92)-SUMIF(91:91,C28,92:92)+100</f>
        <v>100</v>
      </c>
      <c r="I28" s="2135"/>
      <c r="J28" s="420">
        <f>SUMIF(91:91,I28,92:92)-SUMIF(91:91,C28,92:92)+100</f>
        <v>100</v>
      </c>
      <c r="K28" s="568"/>
      <c r="L28" s="2936"/>
      <c r="M28" s="2937"/>
      <c r="N28" s="2937"/>
      <c r="O28" s="2937"/>
      <c r="P28" s="3371"/>
      <c r="Q28" s="1521" t="str">
        <f t="shared" si="8"/>
        <v>朝向</v>
      </c>
      <c r="R28" s="709" t="s">
        <v>17</v>
      </c>
      <c r="S28" s="710">
        <f>F28</f>
        <v>100</v>
      </c>
      <c r="T28" s="709" t="s">
        <v>17</v>
      </c>
      <c r="U28" s="710">
        <f>H28</f>
        <v>100</v>
      </c>
      <c r="V28" s="709" t="s">
        <v>17</v>
      </c>
      <c r="W28" s="710">
        <f>J28</f>
        <v>100</v>
      </c>
      <c r="X28" s="711"/>
      <c r="Y28" s="3364"/>
      <c r="Z28" s="55"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1"/>
      <c r="M29" s="2935"/>
      <c r="N29" s="2935"/>
      <c r="O29" s="2935"/>
      <c r="P29" s="3371"/>
      <c r="Q29" s="1530">
        <f t="shared" si="8"/>
        <v>111</v>
      </c>
      <c r="R29" s="713" t="s">
        <v>17</v>
      </c>
      <c r="S29" s="714">
        <f t="shared" ref="S29:S47" si="9">F29</f>
        <v>100</v>
      </c>
      <c r="T29" s="713" t="s">
        <v>17</v>
      </c>
      <c r="U29" s="714">
        <f t="shared" ref="U29:U47" si="10">H29</f>
        <v>100</v>
      </c>
      <c r="V29" s="713" t="s">
        <v>17</v>
      </c>
      <c r="W29" s="714">
        <f t="shared" ref="W29:W47" si="11">J29</f>
        <v>100</v>
      </c>
      <c r="X29" s="1533"/>
      <c r="Y29" s="3364"/>
      <c r="Z29" s="1534">
        <f t="shared" ref="Z29:Z47" si="12">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1"/>
      <c r="M30" s="2935"/>
      <c r="N30" s="2935"/>
      <c r="O30" s="2935"/>
      <c r="P30" s="3371"/>
      <c r="Q30" s="1530">
        <f t="shared" si="8"/>
        <v>111</v>
      </c>
      <c r="R30" s="713" t="s">
        <v>17</v>
      </c>
      <c r="S30" s="714">
        <f t="shared" si="9"/>
        <v>100</v>
      </c>
      <c r="T30" s="713" t="s">
        <v>17</v>
      </c>
      <c r="U30" s="714">
        <f t="shared" si="10"/>
        <v>100</v>
      </c>
      <c r="V30" s="713" t="s">
        <v>17</v>
      </c>
      <c r="W30" s="714">
        <f t="shared" si="11"/>
        <v>100</v>
      </c>
      <c r="X30" s="1533"/>
      <c r="Y30" s="3364"/>
      <c r="Z30" s="1534">
        <f t="shared" si="12"/>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1"/>
      <c r="M31" s="2935"/>
      <c r="N31" s="2935"/>
      <c r="O31" s="2935"/>
      <c r="P31" s="3371"/>
      <c r="Q31" s="1530">
        <f t="shared" si="8"/>
        <v>111</v>
      </c>
      <c r="R31" s="713" t="s">
        <v>17</v>
      </c>
      <c r="S31" s="714">
        <f t="shared" si="9"/>
        <v>100</v>
      </c>
      <c r="T31" s="713" t="s">
        <v>17</v>
      </c>
      <c r="U31" s="714">
        <f t="shared" si="10"/>
        <v>100</v>
      </c>
      <c r="V31" s="713" t="s">
        <v>17</v>
      </c>
      <c r="W31" s="714">
        <f t="shared" si="11"/>
        <v>100</v>
      </c>
      <c r="X31" s="1533"/>
      <c r="Y31" s="3364"/>
      <c r="Z31" s="1534">
        <f t="shared" si="12"/>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1"/>
      <c r="M32" s="2935"/>
      <c r="N32" s="2935"/>
      <c r="O32" s="2935"/>
      <c r="P32" s="3371"/>
      <c r="Q32" s="1530">
        <f t="shared" si="8"/>
        <v>111</v>
      </c>
      <c r="R32" s="713" t="s">
        <v>17</v>
      </c>
      <c r="S32" s="714">
        <f t="shared" si="9"/>
        <v>100</v>
      </c>
      <c r="T32" s="713" t="s">
        <v>17</v>
      </c>
      <c r="U32" s="714">
        <f t="shared" si="10"/>
        <v>100</v>
      </c>
      <c r="V32" s="713" t="s">
        <v>17</v>
      </c>
      <c r="W32" s="714">
        <f t="shared" si="11"/>
        <v>100</v>
      </c>
      <c r="X32" s="1533"/>
      <c r="Y32" s="3364"/>
      <c r="Z32" s="1534">
        <f t="shared" si="12"/>
        <v>111</v>
      </c>
      <c r="AA32" s="1531">
        <f t="shared" si="3"/>
        <v>1</v>
      </c>
      <c r="AB32" s="1531">
        <f t="shared" si="4"/>
        <v>1</v>
      </c>
      <c r="AC32" s="2141">
        <f t="shared" si="5"/>
        <v>1</v>
      </c>
    </row>
    <row r="33" spans="1:29" ht="15">
      <c r="A33" s="398" t="s">
        <v>2381</v>
      </c>
      <c r="B33" s="67" t="s">
        <v>2511</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1"/>
      <c r="M33" s="2935"/>
      <c r="N33" s="2935"/>
      <c r="O33" s="2935"/>
      <c r="P33" s="3365" t="s">
        <v>2383</v>
      </c>
      <c r="Q33" s="1530" t="str">
        <f t="shared" si="8"/>
        <v>建筑类型</v>
      </c>
      <c r="R33" s="713" t="s">
        <v>17</v>
      </c>
      <c r="S33" s="714">
        <f t="shared" si="9"/>
        <v>100</v>
      </c>
      <c r="T33" s="713" t="s">
        <v>17</v>
      </c>
      <c r="U33" s="714">
        <f t="shared" si="10"/>
        <v>100</v>
      </c>
      <c r="V33" s="713" t="s">
        <v>17</v>
      </c>
      <c r="W33" s="714">
        <f t="shared" si="11"/>
        <v>100</v>
      </c>
      <c r="X33" s="1533"/>
      <c r="Y33" s="3368" t="s">
        <v>2383</v>
      </c>
      <c r="Z33" s="1534" t="str">
        <f t="shared" si="12"/>
        <v>建筑类型</v>
      </c>
      <c r="AA33" s="1531">
        <f t="shared" si="3"/>
        <v>1</v>
      </c>
      <c r="AB33" s="1531">
        <f t="shared" si="4"/>
        <v>1</v>
      </c>
      <c r="AC33" s="2141">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0"/>
      <c r="M34" s="2942"/>
      <c r="N34" s="2942"/>
      <c r="O34" s="2942"/>
      <c r="P34" s="3366"/>
      <c r="Q34" s="715" t="str">
        <f t="shared" si="8"/>
        <v>项目建筑规模</v>
      </c>
      <c r="R34" s="716" t="s">
        <v>17</v>
      </c>
      <c r="S34" s="717" t="e">
        <f t="shared" si="9"/>
        <v>#N/A</v>
      </c>
      <c r="T34" s="716" t="s">
        <v>17</v>
      </c>
      <c r="U34" s="717" t="e">
        <f t="shared" si="10"/>
        <v>#N/A</v>
      </c>
      <c r="V34" s="716" t="s">
        <v>17</v>
      </c>
      <c r="W34" s="717" t="e">
        <f t="shared" si="11"/>
        <v>#N/A</v>
      </c>
      <c r="X34" s="718"/>
      <c r="Y34" s="3368"/>
      <c r="Z34" s="719" t="str">
        <f t="shared" si="12"/>
        <v>项目建筑规模</v>
      </c>
      <c r="AA34" s="1531" t="e">
        <f t="shared" si="3"/>
        <v>#N/A</v>
      </c>
      <c r="AB34" s="1531" t="e">
        <f t="shared" si="4"/>
        <v>#N/A</v>
      </c>
      <c r="AC34" s="2141"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1"/>
      <c r="M35" s="2935"/>
      <c r="N35" s="2935"/>
      <c r="O35" s="2935"/>
      <c r="P35" s="3366"/>
      <c r="Q35" s="1530" t="str">
        <f t="shared" si="8"/>
        <v>建筑结构</v>
      </c>
      <c r="R35" s="713" t="s">
        <v>17</v>
      </c>
      <c r="S35" s="714">
        <f t="shared" si="9"/>
        <v>100</v>
      </c>
      <c r="T35" s="713" t="s">
        <v>17</v>
      </c>
      <c r="U35" s="714">
        <f t="shared" si="10"/>
        <v>100</v>
      </c>
      <c r="V35" s="713" t="s">
        <v>17</v>
      </c>
      <c r="W35" s="714">
        <f t="shared" si="11"/>
        <v>100</v>
      </c>
      <c r="X35" s="1533"/>
      <c r="Y35" s="3368"/>
      <c r="Z35" s="1534" t="str">
        <f t="shared" si="12"/>
        <v>建筑结构</v>
      </c>
      <c r="AA35" s="1531">
        <f t="shared" si="3"/>
        <v>1</v>
      </c>
      <c r="AB35" s="1531">
        <f t="shared" si="4"/>
        <v>1</v>
      </c>
      <c r="AC35" s="2141">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1"/>
      <c r="M36" s="2935"/>
      <c r="N36" s="2935"/>
      <c r="O36" s="2935"/>
      <c r="P36" s="3366"/>
      <c r="Q36" s="1530" t="str">
        <f t="shared" si="8"/>
        <v>公共部分装修</v>
      </c>
      <c r="R36" s="713" t="s">
        <v>17</v>
      </c>
      <c r="S36" s="714">
        <f t="shared" si="9"/>
        <v>100</v>
      </c>
      <c r="T36" s="713" t="s">
        <v>17</v>
      </c>
      <c r="U36" s="714">
        <f t="shared" si="10"/>
        <v>100</v>
      </c>
      <c r="V36" s="713" t="s">
        <v>17</v>
      </c>
      <c r="W36" s="714">
        <f t="shared" si="11"/>
        <v>100</v>
      </c>
      <c r="X36" s="1533"/>
      <c r="Y36" s="3368"/>
      <c r="Z36" s="1534" t="str">
        <f t="shared" si="12"/>
        <v>公共部分装修</v>
      </c>
      <c r="AA36" s="1531">
        <f t="shared" si="3"/>
        <v>1</v>
      </c>
      <c r="AB36" s="1531">
        <f t="shared" si="4"/>
        <v>1</v>
      </c>
      <c r="AC36" s="2141">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1"/>
      <c r="M37" s="2935"/>
      <c r="N37" s="2935"/>
      <c r="O37" s="2935"/>
      <c r="P37" s="3366"/>
      <c r="Q37" s="1530" t="str">
        <f t="shared" si="8"/>
        <v>成新度</v>
      </c>
      <c r="R37" s="713" t="s">
        <v>17</v>
      </c>
      <c r="S37" s="714" t="e">
        <f t="shared" si="9"/>
        <v>#N/A</v>
      </c>
      <c r="T37" s="713" t="s">
        <v>17</v>
      </c>
      <c r="U37" s="714" t="e">
        <f t="shared" si="10"/>
        <v>#N/A</v>
      </c>
      <c r="V37" s="713" t="s">
        <v>17</v>
      </c>
      <c r="W37" s="714" t="e">
        <f t="shared" si="11"/>
        <v>#N/A</v>
      </c>
      <c r="X37" s="1533"/>
      <c r="Y37" s="3368"/>
      <c r="Z37" s="1534" t="str">
        <f t="shared" si="12"/>
        <v>成新度</v>
      </c>
      <c r="AA37" s="1531" t="e">
        <f t="shared" si="3"/>
        <v>#N/A</v>
      </c>
      <c r="AB37" s="1531" t="e">
        <f t="shared" si="4"/>
        <v>#N/A</v>
      </c>
      <c r="AC37" s="2141"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6"/>
      <c r="M38" s="2937"/>
      <c r="N38" s="2937"/>
      <c r="O38" s="2937"/>
      <c r="P38" s="3366"/>
      <c r="Q38" s="1521" t="str">
        <f t="shared" si="8"/>
        <v>写字楼等级</v>
      </c>
      <c r="R38" s="709" t="s">
        <v>17</v>
      </c>
      <c r="S38" s="710">
        <f t="shared" si="9"/>
        <v>100</v>
      </c>
      <c r="T38" s="709" t="s">
        <v>17</v>
      </c>
      <c r="U38" s="710">
        <f t="shared" si="10"/>
        <v>100</v>
      </c>
      <c r="V38" s="709" t="s">
        <v>17</v>
      </c>
      <c r="W38" s="710">
        <f t="shared" si="11"/>
        <v>100</v>
      </c>
      <c r="X38" s="711"/>
      <c r="Y38" s="3368"/>
      <c r="Z38" s="55" t="str">
        <f t="shared" si="12"/>
        <v>写字楼等级</v>
      </c>
      <c r="AA38" s="712">
        <f t="shared" si="3"/>
        <v>1</v>
      </c>
      <c r="AB38" s="712">
        <f t="shared" si="4"/>
        <v>1</v>
      </c>
      <c r="AC38" s="2138">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1"/>
      <c r="M39" s="2935"/>
      <c r="N39" s="2935"/>
      <c r="O39" s="2935"/>
      <c r="P39" s="3366" t="s">
        <v>2383</v>
      </c>
      <c r="Q39" s="1530" t="str">
        <f t="shared" si="8"/>
        <v>物业管理</v>
      </c>
      <c r="R39" s="713" t="s">
        <v>17</v>
      </c>
      <c r="S39" s="714">
        <f t="shared" si="9"/>
        <v>100</v>
      </c>
      <c r="T39" s="713" t="s">
        <v>17</v>
      </c>
      <c r="U39" s="714">
        <f t="shared" si="10"/>
        <v>100</v>
      </c>
      <c r="V39" s="713" t="s">
        <v>17</v>
      </c>
      <c r="W39" s="714">
        <f t="shared" si="11"/>
        <v>100</v>
      </c>
      <c r="X39" s="1533"/>
      <c r="Y39" s="3368" t="s">
        <v>2383</v>
      </c>
      <c r="Z39" s="1534" t="str">
        <f t="shared" si="12"/>
        <v>物业管理</v>
      </c>
      <c r="AA39" s="1531">
        <f t="shared" si="3"/>
        <v>1</v>
      </c>
      <c r="AB39" s="1531">
        <f t="shared" si="4"/>
        <v>1</v>
      </c>
      <c r="AC39" s="2141">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1"/>
      <c r="M40" s="2935"/>
      <c r="N40" s="2935"/>
      <c r="O40" s="2935"/>
      <c r="P40" s="3366"/>
      <c r="Q40" s="1530" t="str">
        <f t="shared" si="8"/>
        <v>市政基础设施</v>
      </c>
      <c r="R40" s="713" t="s">
        <v>17</v>
      </c>
      <c r="S40" s="714">
        <f t="shared" si="9"/>
        <v>100</v>
      </c>
      <c r="T40" s="713" t="s">
        <v>17</v>
      </c>
      <c r="U40" s="714">
        <f t="shared" si="10"/>
        <v>100</v>
      </c>
      <c r="V40" s="713" t="s">
        <v>17</v>
      </c>
      <c r="W40" s="714">
        <f t="shared" si="11"/>
        <v>100</v>
      </c>
      <c r="X40" s="1533"/>
      <c r="Y40" s="3368"/>
      <c r="Z40" s="1534" t="str">
        <f t="shared" si="12"/>
        <v>市政基础设施</v>
      </c>
      <c r="AA40" s="1531">
        <f t="shared" si="3"/>
        <v>1</v>
      </c>
      <c r="AB40" s="1531">
        <f t="shared" si="4"/>
        <v>1</v>
      </c>
      <c r="AC40" s="2141">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1"/>
      <c r="M41" s="2935"/>
      <c r="N41" s="2935"/>
      <c r="O41" s="2935"/>
      <c r="P41" s="3366"/>
      <c r="Q41" s="1530" t="str">
        <f t="shared" si="8"/>
        <v>层高</v>
      </c>
      <c r="R41" s="713" t="s">
        <v>17</v>
      </c>
      <c r="S41" s="714">
        <f t="shared" si="9"/>
        <v>100</v>
      </c>
      <c r="T41" s="713" t="s">
        <v>17</v>
      </c>
      <c r="U41" s="714">
        <f t="shared" si="10"/>
        <v>100</v>
      </c>
      <c r="V41" s="713" t="s">
        <v>17</v>
      </c>
      <c r="W41" s="714">
        <f t="shared" si="11"/>
        <v>100</v>
      </c>
      <c r="X41" s="1533"/>
      <c r="Y41" s="3368"/>
      <c r="Z41" s="1534" t="str">
        <f t="shared" si="12"/>
        <v>层高</v>
      </c>
      <c r="AA41" s="1531">
        <f t="shared" si="3"/>
        <v>1</v>
      </c>
      <c r="AB41" s="1531">
        <f t="shared" si="4"/>
        <v>1</v>
      </c>
      <c r="AC41" s="2141">
        <f t="shared" si="5"/>
        <v>1</v>
      </c>
    </row>
    <row r="42" spans="1:29" s="429" customFormat="1" ht="15">
      <c r="A42" s="426"/>
      <c r="B42" s="1532"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366"/>
      <c r="Q42" s="715" t="str">
        <f t="shared" si="8"/>
        <v>单套建筑面积</v>
      </c>
      <c r="R42" s="716" t="s">
        <v>17</v>
      </c>
      <c r="S42" s="717">
        <f t="shared" si="9"/>
        <v>100</v>
      </c>
      <c r="T42" s="716" t="s">
        <v>17</v>
      </c>
      <c r="U42" s="717">
        <f t="shared" si="10"/>
        <v>100</v>
      </c>
      <c r="V42" s="716" t="s">
        <v>17</v>
      </c>
      <c r="W42" s="717">
        <f t="shared" si="11"/>
        <v>100</v>
      </c>
      <c r="X42" s="718"/>
      <c r="Y42" s="3368"/>
      <c r="Z42" s="719" t="str">
        <f t="shared" si="12"/>
        <v>单套建筑面积</v>
      </c>
      <c r="AA42" s="1531">
        <f t="shared" si="3"/>
        <v>1</v>
      </c>
      <c r="AB42" s="1531">
        <f t="shared" si="4"/>
        <v>1</v>
      </c>
      <c r="AC42" s="2141">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1"/>
      <c r="M43" s="2935"/>
      <c r="N43" s="2935"/>
      <c r="O43" s="2935"/>
      <c r="P43" s="3366"/>
      <c r="Q43" s="1530" t="str">
        <f t="shared" si="8"/>
        <v>内部装修</v>
      </c>
      <c r="R43" s="713" t="s">
        <v>17</v>
      </c>
      <c r="S43" s="714">
        <f t="shared" si="9"/>
        <v>100</v>
      </c>
      <c r="T43" s="713" t="s">
        <v>17</v>
      </c>
      <c r="U43" s="714">
        <f t="shared" si="10"/>
        <v>100</v>
      </c>
      <c r="V43" s="713" t="s">
        <v>17</v>
      </c>
      <c r="W43" s="714">
        <f t="shared" si="11"/>
        <v>100</v>
      </c>
      <c r="X43" s="1533"/>
      <c r="Y43" s="3368"/>
      <c r="Z43" s="1534" t="str">
        <f t="shared" si="12"/>
        <v>内部装修</v>
      </c>
      <c r="AA43" s="1531">
        <f t="shared" si="3"/>
        <v>1</v>
      </c>
      <c r="AB43" s="1531">
        <f t="shared" si="4"/>
        <v>1</v>
      </c>
      <c r="AC43" s="2141">
        <f t="shared" si="5"/>
        <v>1</v>
      </c>
    </row>
    <row r="44" spans="1:29" ht="15">
      <c r="A44" s="430"/>
      <c r="B44" s="380" t="s">
        <v>2394</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1"/>
      <c r="M44" s="2935"/>
      <c r="N44" s="2935"/>
      <c r="O44" s="2935"/>
      <c r="P44" s="3366"/>
      <c r="Q44" s="1530" t="str">
        <f t="shared" si="8"/>
        <v>内部装修维护情况</v>
      </c>
      <c r="R44" s="713" t="s">
        <v>17</v>
      </c>
      <c r="S44" s="714">
        <f t="shared" si="9"/>
        <v>100</v>
      </c>
      <c r="T44" s="713" t="s">
        <v>17</v>
      </c>
      <c r="U44" s="714">
        <f t="shared" si="10"/>
        <v>100</v>
      </c>
      <c r="V44" s="713" t="s">
        <v>17</v>
      </c>
      <c r="W44" s="714">
        <f t="shared" si="11"/>
        <v>100</v>
      </c>
      <c r="X44" s="1533"/>
      <c r="Y44" s="3368"/>
      <c r="Z44" s="1534" t="str">
        <f t="shared" si="12"/>
        <v>内部装修维护情况</v>
      </c>
      <c r="AA44" s="1531">
        <f t="shared" si="3"/>
        <v>1</v>
      </c>
      <c r="AB44" s="1531">
        <f t="shared" si="4"/>
        <v>1</v>
      </c>
      <c r="AC44" s="2141">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366"/>
      <c r="Q45" s="1521">
        <f t="shared" si="8"/>
        <v>111</v>
      </c>
      <c r="R45" s="709" t="s">
        <v>17</v>
      </c>
      <c r="S45" s="710">
        <f t="shared" si="9"/>
        <v>100</v>
      </c>
      <c r="T45" s="709" t="s">
        <v>17</v>
      </c>
      <c r="U45" s="710">
        <f t="shared" si="10"/>
        <v>100</v>
      </c>
      <c r="V45" s="709" t="s">
        <v>17</v>
      </c>
      <c r="W45" s="710">
        <f t="shared" si="11"/>
        <v>100</v>
      </c>
      <c r="X45" s="711"/>
      <c r="Y45" s="3368"/>
      <c r="Z45" s="55">
        <f t="shared" si="12"/>
        <v>111</v>
      </c>
      <c r="AA45" s="712">
        <f t="shared" si="3"/>
        <v>1</v>
      </c>
      <c r="AB45" s="712">
        <f t="shared" si="4"/>
        <v>1</v>
      </c>
      <c r="AC45" s="2138">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366"/>
      <c r="Q46" s="1530">
        <f t="shared" si="8"/>
        <v>111</v>
      </c>
      <c r="R46" s="713" t="s">
        <v>17</v>
      </c>
      <c r="S46" s="714">
        <f t="shared" si="9"/>
        <v>100</v>
      </c>
      <c r="T46" s="713" t="s">
        <v>17</v>
      </c>
      <c r="U46" s="714">
        <f t="shared" si="10"/>
        <v>100</v>
      </c>
      <c r="V46" s="713" t="s">
        <v>17</v>
      </c>
      <c r="W46" s="714">
        <f t="shared" si="11"/>
        <v>100</v>
      </c>
      <c r="X46" s="1533"/>
      <c r="Y46" s="3368"/>
      <c r="Z46" s="1534">
        <f t="shared" si="12"/>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367"/>
      <c r="Q47" s="1530">
        <f t="shared" si="8"/>
        <v>111</v>
      </c>
      <c r="R47" s="713" t="s">
        <v>17</v>
      </c>
      <c r="S47" s="714">
        <f t="shared" si="9"/>
        <v>100</v>
      </c>
      <c r="T47" s="713" t="s">
        <v>17</v>
      </c>
      <c r="U47" s="714">
        <f t="shared" si="10"/>
        <v>100</v>
      </c>
      <c r="V47" s="713" t="s">
        <v>17</v>
      </c>
      <c r="W47" s="714">
        <f t="shared" si="11"/>
        <v>100</v>
      </c>
      <c r="X47" s="1533"/>
      <c r="Y47" s="3369"/>
      <c r="Z47" s="1534">
        <f t="shared" si="12"/>
        <v>111</v>
      </c>
      <c r="AA47" s="1531">
        <f t="shared" si="3"/>
        <v>1</v>
      </c>
      <c r="AB47" s="1531">
        <f t="shared" si="4"/>
        <v>1</v>
      </c>
      <c r="AC47" s="2141">
        <f t="shared" si="5"/>
        <v>1</v>
      </c>
    </row>
    <row r="48" spans="1:29" ht="15">
      <c r="A48" s="437" t="s">
        <v>2395</v>
      </c>
      <c r="B48" s="438"/>
      <c r="C48" s="1309" t="s">
        <v>1</v>
      </c>
      <c r="D48" s="1310"/>
      <c r="E48" s="1311"/>
      <c r="F48" s="1312"/>
      <c r="G48" s="1313"/>
      <c r="H48" s="1314"/>
      <c r="I48" s="1311"/>
      <c r="J48" s="443"/>
      <c r="K48" s="722"/>
      <c r="L48" s="2943"/>
      <c r="M48" s="2935"/>
      <c r="N48" s="2935"/>
      <c r="O48" s="2935"/>
      <c r="P48" s="3343" t="str">
        <f>A48</f>
        <v>成交单价（元/平方米）</v>
      </c>
      <c r="Q48" s="3361"/>
      <c r="R48" s="3362">
        <f>E48</f>
        <v>0</v>
      </c>
      <c r="S48" s="3362"/>
      <c r="T48" s="3362">
        <f>G48</f>
        <v>0</v>
      </c>
      <c r="U48" s="3362"/>
      <c r="V48" s="3362">
        <f>I48</f>
        <v>0</v>
      </c>
      <c r="W48" s="3362"/>
      <c r="X48" s="404"/>
      <c r="Y48" s="720"/>
      <c r="Z48" s="404"/>
      <c r="AA48" s="404"/>
      <c r="AB48" s="404"/>
      <c r="AC48" s="585"/>
    </row>
    <row r="49" spans="1:29" ht="15.75" thickBot="1">
      <c r="A49" s="444" t="s">
        <v>2487</v>
      </c>
      <c r="B49" s="445"/>
      <c r="C49" s="1315" t="e">
        <f>R50</f>
        <v>#DIV/0!</v>
      </c>
      <c r="D49" s="2531" t="s">
        <v>2878</v>
      </c>
      <c r="E49" s="1316" t="e">
        <f>R49</f>
        <v>#DIV/0!</v>
      </c>
      <c r="F49" s="2532"/>
      <c r="G49" s="1315" t="e">
        <f>T49</f>
        <v>#DIV/0!</v>
      </c>
      <c r="H49" s="2532"/>
      <c r="I49" s="1316" t="e">
        <f>V49</f>
        <v>#DIV/0!</v>
      </c>
      <c r="J49" s="2532"/>
      <c r="K49" s="2534">
        <f>F49+H49+J49</f>
        <v>0</v>
      </c>
      <c r="L49" s="2943"/>
      <c r="M49" s="2935"/>
      <c r="N49" s="2935"/>
      <c r="O49" s="2935"/>
      <c r="P49" s="3343"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404"/>
      <c r="Y49" s="404"/>
      <c r="Z49" s="404"/>
      <c r="AA49" s="404"/>
      <c r="AB49" s="404"/>
      <c r="AC49" s="585"/>
    </row>
    <row r="50" spans="1:29" ht="15.75" thickBot="1">
      <c r="A50" s="448" t="s">
        <v>2488</v>
      </c>
      <c r="B50" s="449"/>
      <c r="C50" s="1318" t="e">
        <f>R50</f>
        <v>#DIV/0!</v>
      </c>
      <c r="D50" s="1318"/>
      <c r="E50" s="1318"/>
      <c r="F50" s="1318"/>
      <c r="G50" s="1318"/>
      <c r="H50" s="1318"/>
      <c r="I50" s="1318"/>
      <c r="J50" s="450"/>
      <c r="K50" s="723"/>
      <c r="L50" s="2943"/>
      <c r="M50" s="2935"/>
      <c r="N50" s="2935"/>
      <c r="O50" s="2935"/>
      <c r="P50" s="3384" t="str">
        <f>A50</f>
        <v>估价对象XX用房的比较价值（楼面单价，元/平方米）</v>
      </c>
      <c r="Q50" s="3385"/>
      <c r="R50" s="3386" t="e">
        <f>IF(F1="售价",ROUND(IF(D49="简单平均",AVERAGE(R49:V49),R49*F49+T49*H49+V49*J49),0),ROUND(IF(D49="简单平均",AVERAGE(R49:V49),R49*F49+T49*H49+V49*J49),1))</f>
        <v>#DIV/0!</v>
      </c>
      <c r="S50" s="3386"/>
      <c r="T50" s="3386"/>
      <c r="U50" s="3386"/>
      <c r="V50" s="3386"/>
      <c r="W50" s="3386"/>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8" customFormat="1" ht="13.5" customHeight="1">
      <c r="A55" s="2947"/>
      <c r="B55" s="2947"/>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2" t="s">
        <v>2492</v>
      </c>
      <c r="B58" s="698"/>
      <c r="C58" s="703"/>
      <c r="D58" s="703"/>
      <c r="E58" s="703"/>
      <c r="F58" s="704"/>
      <c r="G58" s="704"/>
      <c r="H58" s="703"/>
      <c r="I58" s="703"/>
      <c r="J58" s="703"/>
      <c r="K58" s="705"/>
      <c r="L58" s="1066"/>
      <c r="M58" s="1064"/>
      <c r="N58" s="2988"/>
      <c r="O58" s="2988"/>
      <c r="P58" s="2977"/>
      <c r="Q58" s="2958"/>
      <c r="R58" s="2944"/>
      <c r="S58" s="2944"/>
      <c r="T58" s="2944"/>
      <c r="U58" s="2944"/>
      <c r="V58" s="2944"/>
      <c r="W58" s="2944"/>
      <c r="X58" s="2944"/>
      <c r="Y58" s="2944"/>
      <c r="Z58" s="2944"/>
      <c r="AA58" s="2944"/>
      <c r="AB58" s="2944"/>
      <c r="AC58" s="2944"/>
    </row>
    <row r="59" spans="1:29" s="464" customFormat="1" ht="15">
      <c r="A59" s="461" t="s">
        <v>2366</v>
      </c>
      <c r="B59" s="462"/>
      <c r="C59" s="1338" t="str">
        <f>YEAR(C7)&amp;"-"&amp;MONTH(C7)</f>
        <v>2020-12</v>
      </c>
      <c r="D59" s="1339">
        <f>EDATE(C59,-1)</f>
        <v>44136</v>
      </c>
      <c r="E59" s="1339">
        <f>EDATE(D59,-1)</f>
        <v>44105</v>
      </c>
      <c r="F59" s="1339">
        <f t="shared" ref="F59:O59" si="13">EDATE(E59,-1)</f>
        <v>44075</v>
      </c>
      <c r="G59" s="1339">
        <f t="shared" si="13"/>
        <v>44044</v>
      </c>
      <c r="H59" s="1339">
        <f t="shared" si="13"/>
        <v>44013</v>
      </c>
      <c r="I59" s="1339">
        <f t="shared" si="13"/>
        <v>43983</v>
      </c>
      <c r="J59" s="1339">
        <f t="shared" si="13"/>
        <v>43952</v>
      </c>
      <c r="K59" s="1339">
        <f t="shared" si="13"/>
        <v>43922</v>
      </c>
      <c r="L59" s="1339">
        <f t="shared" si="13"/>
        <v>43891</v>
      </c>
      <c r="M59" s="1339">
        <f t="shared" si="13"/>
        <v>43862</v>
      </c>
      <c r="N59" s="1339">
        <f t="shared" si="13"/>
        <v>43831</v>
      </c>
      <c r="O59" s="1339">
        <f t="shared" si="13"/>
        <v>43800</v>
      </c>
      <c r="P59" s="2978"/>
      <c r="Q59" s="2960"/>
      <c r="R59" s="2960"/>
      <c r="S59" s="2960"/>
      <c r="T59" s="2960"/>
      <c r="U59" s="2960"/>
      <c r="V59" s="2960"/>
      <c r="W59" s="2960"/>
      <c r="X59" s="2960"/>
      <c r="Y59" s="2960"/>
      <c r="Z59" s="2960"/>
      <c r="AA59" s="2960"/>
      <c r="AB59" s="2960"/>
      <c r="AC59" s="2960"/>
    </row>
    <row r="60" spans="1:29" s="112" customFormat="1" ht="15">
      <c r="A60" s="465"/>
      <c r="B60" s="466"/>
      <c r="C60" s="1337">
        <v>100</v>
      </c>
      <c r="D60" s="468"/>
      <c r="E60" s="468"/>
      <c r="F60" s="468"/>
      <c r="G60" s="468"/>
      <c r="H60" s="468"/>
      <c r="I60" s="468"/>
      <c r="J60" s="468"/>
      <c r="K60" s="468"/>
      <c r="L60" s="468"/>
      <c r="M60" s="469"/>
      <c r="N60" s="468"/>
      <c r="O60" s="469"/>
      <c r="P60" s="2979"/>
      <c r="Q60" s="2878"/>
      <c r="R60" s="2878"/>
      <c r="S60" s="2878"/>
      <c r="T60" s="2878"/>
      <c r="U60" s="2878"/>
      <c r="V60" s="2878"/>
      <c r="W60" s="2878"/>
      <c r="X60" s="2878"/>
      <c r="Y60" s="2878"/>
      <c r="Z60" s="2878"/>
      <c r="AA60" s="2878"/>
      <c r="AB60" s="2878"/>
      <c r="AC60" s="2878"/>
    </row>
    <row r="61" spans="1:29" s="112" customFormat="1" ht="15.75" thickBot="1">
      <c r="A61" s="471" t="s">
        <v>2403</v>
      </c>
      <c r="B61" s="472"/>
      <c r="C61" s="473"/>
      <c r="D61" s="474"/>
      <c r="E61" s="474"/>
      <c r="F61" s="474"/>
      <c r="G61" s="474"/>
      <c r="H61" s="474"/>
      <c r="I61" s="474"/>
      <c r="J61" s="474"/>
      <c r="K61" s="474"/>
      <c r="L61" s="474"/>
      <c r="M61" s="475"/>
      <c r="N61" s="474"/>
      <c r="O61" s="475"/>
      <c r="P61" s="2979"/>
      <c r="Q61" s="2958"/>
      <c r="R61" s="2878"/>
      <c r="S61" s="2878"/>
      <c r="T61" s="2878"/>
      <c r="U61" s="2878"/>
      <c r="V61" s="2878"/>
      <c r="W61" s="2878"/>
      <c r="X61" s="2878"/>
      <c r="Y61" s="2878"/>
      <c r="Z61" s="2878"/>
      <c r="AA61" s="2878"/>
      <c r="AB61" s="2878"/>
      <c r="AC61" s="2878"/>
    </row>
    <row r="62" spans="1:29" s="112" customFormat="1" ht="15">
      <c r="A62" s="477" t="s">
        <v>2368</v>
      </c>
      <c r="B62" s="466"/>
      <c r="C62" s="478" t="s">
        <v>2470</v>
      </c>
      <c r="D62" s="479"/>
      <c r="E62" s="479"/>
      <c r="F62" s="479"/>
      <c r="G62" s="479"/>
      <c r="H62" s="479"/>
      <c r="I62" s="479"/>
      <c r="J62" s="479"/>
      <c r="K62" s="479"/>
      <c r="L62" s="480"/>
      <c r="M62" s="481"/>
      <c r="N62" s="2971"/>
      <c r="O62" s="2971"/>
      <c r="P62" s="2980"/>
      <c r="Q62" s="2958"/>
      <c r="R62" s="2878"/>
      <c r="S62" s="2878"/>
      <c r="T62" s="2878"/>
      <c r="U62" s="2878"/>
      <c r="V62" s="2878"/>
      <c r="W62" s="2878"/>
      <c r="X62" s="2878"/>
      <c r="Y62" s="2878"/>
      <c r="Z62" s="2878"/>
      <c r="AA62" s="2878"/>
      <c r="AB62" s="2878"/>
      <c r="AC62" s="2878"/>
    </row>
    <row r="63" spans="1:29" s="112" customFormat="1" ht="15.75" thickBot="1">
      <c r="A63" s="477"/>
      <c r="B63" s="466"/>
      <c r="C63" s="467">
        <v>100</v>
      </c>
      <c r="D63" s="468"/>
      <c r="E63" s="468"/>
      <c r="F63" s="468"/>
      <c r="G63" s="468"/>
      <c r="H63" s="468"/>
      <c r="I63" s="468"/>
      <c r="J63" s="468"/>
      <c r="K63" s="468"/>
      <c r="L63" s="468"/>
      <c r="M63" s="470"/>
      <c r="N63" s="2971"/>
      <c r="O63" s="2971"/>
      <c r="P63" s="2979"/>
      <c r="Q63" s="2958"/>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2"/>
      <c r="O64" s="2972"/>
      <c r="P64" s="2981"/>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3"/>
      <c r="O65" s="2973"/>
      <c r="P65" s="2981"/>
      <c r="Q65" s="2958"/>
      <c r="R65" s="2944"/>
      <c r="S65" s="2944"/>
      <c r="T65" s="2944"/>
      <c r="U65" s="2944"/>
      <c r="V65" s="2944"/>
      <c r="W65" s="2944"/>
      <c r="X65" s="2944"/>
      <c r="Y65" s="2944"/>
      <c r="Z65" s="2944"/>
      <c r="AA65" s="2944"/>
      <c r="AB65" s="2944"/>
      <c r="AC65" s="2944"/>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2"/>
      <c r="O66" s="2972"/>
      <c r="P66" s="2981"/>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3"/>
      <c r="O67" s="2973"/>
      <c r="P67" s="2981"/>
      <c r="Q67" s="2958"/>
      <c r="R67" s="2944"/>
      <c r="S67" s="2944"/>
      <c r="T67" s="2944"/>
      <c r="U67" s="2944"/>
      <c r="V67" s="2944"/>
      <c r="W67" s="2944"/>
      <c r="X67" s="2944"/>
      <c r="Y67" s="2944"/>
      <c r="Z67" s="2944"/>
      <c r="AA67" s="2944"/>
      <c r="AB67" s="2944"/>
      <c r="AC67" s="2944"/>
    </row>
    <row r="68" spans="1:29" ht="15.75" thickTop="1">
      <c r="A68" s="490"/>
      <c r="B68" s="502" t="s">
        <v>2376</v>
      </c>
      <c r="C68" s="503" t="str">
        <f>C69&amp;"（含）"&amp;"-"&amp;D69</f>
        <v>（含）-</v>
      </c>
      <c r="D68" s="503" t="str">
        <f t="shared" ref="D68:L68" si="14">D69&amp;"（含）"&amp;"-"&amp;E69</f>
        <v>（含）-</v>
      </c>
      <c r="E68" s="503" t="str">
        <f t="shared" si="14"/>
        <v>（含）-</v>
      </c>
      <c r="F68" s="503" t="str">
        <f t="shared" si="14"/>
        <v>（含）-</v>
      </c>
      <c r="G68" s="503" t="str">
        <f t="shared" si="14"/>
        <v>（含）-</v>
      </c>
      <c r="H68" s="503" t="str">
        <f t="shared" si="14"/>
        <v>（含）-</v>
      </c>
      <c r="I68" s="503" t="str">
        <f t="shared" si="14"/>
        <v>（含）-</v>
      </c>
      <c r="J68" s="503" t="str">
        <f t="shared" si="14"/>
        <v>（含）-</v>
      </c>
      <c r="K68" s="503" t="str">
        <f t="shared" si="14"/>
        <v>（含）-</v>
      </c>
      <c r="L68" s="503" t="str">
        <f t="shared" si="14"/>
        <v>（含）-</v>
      </c>
      <c r="M68" s="406"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0"/>
      <c r="B69" s="504"/>
      <c r="C69" s="505"/>
      <c r="D69" s="505"/>
      <c r="E69" s="505"/>
      <c r="F69" s="505"/>
      <c r="G69" s="505"/>
      <c r="H69" s="505"/>
      <c r="I69" s="505"/>
      <c r="J69" s="505"/>
      <c r="K69" s="506"/>
      <c r="L69" s="507"/>
      <c r="M69" s="508"/>
      <c r="N69" s="2972"/>
      <c r="O69" s="2972"/>
      <c r="P69" s="2981"/>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5">C70-$K11</f>
        <v>100</v>
      </c>
      <c r="E70" s="500">
        <f t="shared" si="15"/>
        <v>100</v>
      </c>
      <c r="F70" s="500">
        <f t="shared" si="15"/>
        <v>100</v>
      </c>
      <c r="G70" s="500">
        <f t="shared" si="15"/>
        <v>100</v>
      </c>
      <c r="H70" s="500">
        <f t="shared" si="15"/>
        <v>100</v>
      </c>
      <c r="I70" s="500">
        <f t="shared" si="15"/>
        <v>100</v>
      </c>
      <c r="J70" s="500">
        <f t="shared" si="15"/>
        <v>100</v>
      </c>
      <c r="K70" s="500">
        <f t="shared" si="15"/>
        <v>100</v>
      </c>
      <c r="L70" s="500">
        <f t="shared" si="15"/>
        <v>100</v>
      </c>
      <c r="M70" s="501">
        <f t="shared" si="15"/>
        <v>100</v>
      </c>
      <c r="N70" s="2973"/>
      <c r="O70" s="2973"/>
      <c r="P70" s="2981"/>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4"/>
      <c r="O71" s="2974"/>
      <c r="P71" s="2982"/>
      <c r="Q71" s="2965"/>
      <c r="R71" s="2966"/>
      <c r="S71" s="2966"/>
      <c r="T71" s="2966"/>
      <c r="U71" s="2966"/>
      <c r="V71" s="2966"/>
      <c r="W71" s="2966"/>
      <c r="X71" s="2966"/>
      <c r="Y71" s="2966"/>
      <c r="Z71" s="2966"/>
      <c r="AA71" s="2966"/>
      <c r="AB71" s="2966"/>
      <c r="AC71" s="2966"/>
    </row>
    <row r="72" spans="1:29" s="429" customFormat="1" ht="15.75" thickBot="1">
      <c r="A72" s="509"/>
      <c r="B72" s="499"/>
      <c r="C72" s="516"/>
      <c r="D72" s="492"/>
      <c r="E72" s="492"/>
      <c r="F72" s="492"/>
      <c r="G72" s="492"/>
      <c r="H72" s="492"/>
      <c r="I72" s="492"/>
      <c r="J72" s="492"/>
      <c r="K72" s="492"/>
      <c r="L72" s="492"/>
      <c r="M72" s="493"/>
      <c r="N72" s="2973"/>
      <c r="O72" s="2973"/>
      <c r="P72" s="2982"/>
      <c r="Q72" s="2965"/>
      <c r="R72" s="2966"/>
      <c r="S72" s="2966"/>
      <c r="T72" s="2966"/>
      <c r="U72" s="2966"/>
      <c r="V72" s="2966"/>
      <c r="W72" s="2966"/>
      <c r="X72" s="2966"/>
      <c r="Y72" s="2966"/>
      <c r="Z72" s="2966"/>
      <c r="AA72" s="2966"/>
      <c r="AB72" s="2966"/>
      <c r="AC72" s="2966"/>
    </row>
    <row r="73" spans="1:29" s="429" customFormat="1" ht="15.75" thickTop="1">
      <c r="A73" s="509"/>
      <c r="B73" s="494">
        <f>B13</f>
        <v>111</v>
      </c>
      <c r="C73" s="510"/>
      <c r="D73" s="510"/>
      <c r="E73" s="510"/>
      <c r="F73" s="510"/>
      <c r="G73" s="510"/>
      <c r="H73" s="511"/>
      <c r="I73" s="511"/>
      <c r="J73" s="511"/>
      <c r="K73" s="511"/>
      <c r="L73" s="512"/>
      <c r="M73" s="513"/>
      <c r="N73" s="2974"/>
      <c r="O73" s="2974"/>
      <c r="P73" s="2983"/>
      <c r="Q73" s="2968"/>
      <c r="R73" s="2966"/>
      <c r="S73" s="2966"/>
      <c r="T73" s="2966"/>
      <c r="U73" s="2966"/>
      <c r="V73" s="2966"/>
      <c r="W73" s="2966"/>
      <c r="X73" s="2966"/>
      <c r="Y73" s="2966"/>
      <c r="Z73" s="2966"/>
      <c r="AA73" s="2966"/>
      <c r="AB73" s="2966"/>
      <c r="AC73" s="2966"/>
    </row>
    <row r="74" spans="1:29" s="429" customFormat="1" ht="15.75" thickBot="1">
      <c r="A74" s="509"/>
      <c r="B74" s="499"/>
      <c r="C74" s="516"/>
      <c r="D74" s="516"/>
      <c r="E74" s="516"/>
      <c r="F74" s="516"/>
      <c r="G74" s="516"/>
      <c r="H74" s="518"/>
      <c r="I74" s="518"/>
      <c r="J74" s="518"/>
      <c r="K74" s="518"/>
      <c r="L74" s="518"/>
      <c r="M74" s="519"/>
      <c r="N74" s="2974"/>
      <c r="O74" s="2974"/>
      <c r="P74" s="2982"/>
      <c r="Q74" s="2965"/>
      <c r="R74" s="2966"/>
      <c r="S74" s="2966"/>
      <c r="T74" s="2966"/>
      <c r="U74" s="2966"/>
      <c r="V74" s="2966"/>
      <c r="W74" s="2966"/>
      <c r="X74" s="2966"/>
      <c r="Y74" s="2966"/>
      <c r="Z74" s="2966"/>
      <c r="AA74" s="2966"/>
      <c r="AB74" s="2966"/>
      <c r="AC74" s="2966"/>
    </row>
    <row r="75" spans="1:29" s="429" customFormat="1" ht="15.75" thickTop="1">
      <c r="A75" s="509"/>
      <c r="B75" s="502">
        <f>B14</f>
        <v>111</v>
      </c>
      <c r="C75" s="479"/>
      <c r="D75" s="479"/>
      <c r="E75" s="479"/>
      <c r="F75" s="479"/>
      <c r="G75" s="479"/>
      <c r="H75" s="520"/>
      <c r="I75" s="520"/>
      <c r="J75" s="520"/>
      <c r="K75" s="520"/>
      <c r="L75" s="521"/>
      <c r="M75" s="522"/>
      <c r="N75" s="2974"/>
      <c r="O75" s="2974"/>
      <c r="P75" s="2984"/>
      <c r="Q75" s="2965"/>
      <c r="R75" s="2966"/>
      <c r="S75" s="2966"/>
      <c r="T75" s="2966"/>
      <c r="U75" s="2966"/>
      <c r="V75" s="2966"/>
      <c r="W75" s="2966"/>
      <c r="X75" s="2966"/>
      <c r="Y75" s="2966"/>
      <c r="Z75" s="2966"/>
      <c r="AA75" s="2966"/>
      <c r="AB75" s="2966"/>
      <c r="AC75" s="2966"/>
    </row>
    <row r="76" spans="1:29" s="429" customFormat="1" ht="15.75" thickBot="1">
      <c r="A76" s="524"/>
      <c r="B76" s="525"/>
      <c r="C76" s="526"/>
      <c r="D76" s="526"/>
      <c r="E76" s="526"/>
      <c r="F76" s="526"/>
      <c r="G76" s="526"/>
      <c r="H76" s="527"/>
      <c r="I76" s="527"/>
      <c r="J76" s="527"/>
      <c r="K76" s="527"/>
      <c r="L76" s="527"/>
      <c r="M76" s="528"/>
      <c r="N76" s="2974"/>
      <c r="O76" s="2974"/>
      <c r="P76" s="2982"/>
      <c r="Q76" s="2965"/>
      <c r="R76" s="2966"/>
      <c r="S76" s="2966"/>
      <c r="T76" s="2966"/>
      <c r="U76" s="2966"/>
      <c r="V76" s="2966"/>
      <c r="W76" s="2966"/>
      <c r="X76" s="2966"/>
      <c r="Y76" s="2966"/>
      <c r="Z76" s="2966"/>
      <c r="AA76" s="2966"/>
      <c r="AB76" s="2966"/>
      <c r="AC76" s="2966"/>
    </row>
    <row r="77" spans="1:29">
      <c r="A77" s="483" t="s">
        <v>2377</v>
      </c>
      <c r="B77" s="484" t="s">
        <v>2515</v>
      </c>
      <c r="C77" s="529" t="s">
        <v>2415</v>
      </c>
      <c r="D77" s="529" t="s">
        <v>2416</v>
      </c>
      <c r="E77" s="529" t="s">
        <v>2417</v>
      </c>
      <c r="F77" s="529" t="s">
        <v>2418</v>
      </c>
      <c r="G77" s="529" t="s">
        <v>2419</v>
      </c>
      <c r="H77" s="485"/>
      <c r="I77" s="485"/>
      <c r="J77" s="485"/>
      <c r="K77" s="530"/>
      <c r="L77" s="531"/>
      <c r="M77" s="532"/>
      <c r="N77" s="2972"/>
      <c r="O77" s="2972"/>
      <c r="P77" s="2985"/>
      <c r="Q77" s="2958"/>
      <c r="R77" s="2944"/>
      <c r="S77" s="2944"/>
      <c r="T77" s="2944"/>
      <c r="U77" s="2944"/>
      <c r="V77" s="2944"/>
      <c r="W77" s="2944"/>
      <c r="X77" s="2944"/>
      <c r="Y77" s="2944"/>
      <c r="Z77" s="2944"/>
      <c r="AA77" s="2944"/>
      <c r="AB77" s="2944"/>
      <c r="AC77" s="294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3"/>
      <c r="O78" s="2973"/>
      <c r="P78" s="2981"/>
      <c r="Q78" s="2958"/>
      <c r="R78" s="2944"/>
      <c r="S78" s="2944"/>
      <c r="T78" s="2944"/>
      <c r="U78" s="2944"/>
      <c r="V78" s="2944"/>
      <c r="W78" s="2944"/>
      <c r="X78" s="2944"/>
      <c r="Y78" s="2944"/>
      <c r="Z78" s="2944"/>
      <c r="AA78" s="2944"/>
      <c r="AB78" s="2944"/>
      <c r="AC78" s="2944"/>
    </row>
    <row r="79" spans="1:29" ht="15.75" thickTop="1">
      <c r="A79" s="490"/>
      <c r="B79" s="494" t="s">
        <v>2420</v>
      </c>
      <c r="C79" s="534" t="s">
        <v>2415</v>
      </c>
      <c r="D79" s="534" t="s">
        <v>2416</v>
      </c>
      <c r="E79" s="534" t="s">
        <v>2417</v>
      </c>
      <c r="F79" s="534" t="s">
        <v>2418</v>
      </c>
      <c r="G79" s="534" t="s">
        <v>2419</v>
      </c>
      <c r="H79" s="495"/>
      <c r="I79" s="495"/>
      <c r="J79" s="495"/>
      <c r="K79" s="496"/>
      <c r="L79" s="497"/>
      <c r="M79" s="498"/>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3"/>
      <c r="O80" s="2973"/>
      <c r="P80" s="2981"/>
      <c r="Q80" s="2958"/>
      <c r="R80" s="2944"/>
      <c r="S80" s="2944"/>
      <c r="T80" s="2944"/>
      <c r="U80" s="2944"/>
      <c r="V80" s="2944"/>
      <c r="W80" s="2944"/>
      <c r="X80" s="2944"/>
      <c r="Y80" s="2944"/>
      <c r="Z80" s="2944"/>
      <c r="AA80" s="2944"/>
      <c r="AB80" s="2944"/>
      <c r="AC80" s="2944"/>
    </row>
    <row r="81" spans="1:29" ht="15.75" thickTop="1">
      <c r="A81" s="490"/>
      <c r="B81" s="494" t="s">
        <v>2421</v>
      </c>
      <c r="C81" s="534" t="s">
        <v>2415</v>
      </c>
      <c r="D81" s="534" t="s">
        <v>2416</v>
      </c>
      <c r="E81" s="534" t="s">
        <v>2417</v>
      </c>
      <c r="F81" s="534" t="s">
        <v>2418</v>
      </c>
      <c r="G81" s="534" t="s">
        <v>2419</v>
      </c>
      <c r="H81" s="495"/>
      <c r="I81" s="495"/>
      <c r="J81" s="495"/>
      <c r="K81" s="496"/>
      <c r="L81" s="497"/>
      <c r="M81" s="498"/>
      <c r="N81" s="2972"/>
      <c r="O81" s="2972"/>
      <c r="P81" s="2981"/>
      <c r="Q81" s="2958"/>
      <c r="R81" s="2944"/>
      <c r="S81" s="2944"/>
      <c r="T81" s="2944"/>
      <c r="U81" s="2944"/>
      <c r="V81" s="2944"/>
      <c r="W81" s="2944"/>
      <c r="X81" s="2944"/>
      <c r="Y81" s="2944"/>
      <c r="Z81" s="2944"/>
      <c r="AA81" s="2944"/>
      <c r="AB81" s="2944"/>
      <c r="AC81" s="294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3"/>
      <c r="O82" s="2973"/>
      <c r="P82" s="2981"/>
      <c r="Q82" s="2958"/>
      <c r="R82" s="2944"/>
      <c r="S82" s="2944"/>
      <c r="T82" s="2944"/>
      <c r="U82" s="2944"/>
      <c r="V82" s="2944"/>
      <c r="W82" s="2944"/>
      <c r="X82" s="2944"/>
      <c r="Y82" s="2944"/>
      <c r="Z82" s="2944"/>
      <c r="AA82" s="2944"/>
      <c r="AB82" s="2944"/>
      <c r="AC82" s="2944"/>
    </row>
    <row r="83" spans="1:29" ht="15.75" thickTop="1">
      <c r="A83" s="490"/>
      <c r="B83" s="502" t="s">
        <v>2507</v>
      </c>
      <c r="C83" s="615" t="s">
        <v>2493</v>
      </c>
      <c r="D83" s="615" t="s">
        <v>2494</v>
      </c>
      <c r="E83" s="615" t="s">
        <v>2495</v>
      </c>
      <c r="F83" s="615" t="s">
        <v>2496</v>
      </c>
      <c r="G83" s="615" t="s">
        <v>2497</v>
      </c>
      <c r="H83" s="495"/>
      <c r="I83" s="495"/>
      <c r="J83" s="495"/>
      <c r="K83" s="495"/>
      <c r="L83" s="495"/>
      <c r="M83" s="1284"/>
      <c r="N83" s="2973"/>
      <c r="O83" s="2973"/>
      <c r="P83" s="2981"/>
      <c r="Q83" s="2958"/>
      <c r="R83" s="2944"/>
      <c r="S83" s="2944"/>
      <c r="T83" s="2944"/>
      <c r="U83" s="2944"/>
      <c r="V83" s="2944"/>
      <c r="W83" s="2944"/>
      <c r="X83" s="2944"/>
      <c r="Y83" s="2944"/>
      <c r="Z83" s="2944"/>
      <c r="AA83" s="2944"/>
      <c r="AB83" s="2944"/>
      <c r="AC83" s="294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3"/>
      <c r="O84" s="2973"/>
      <c r="P84" s="2981"/>
      <c r="Q84" s="2958"/>
      <c r="R84" s="2944"/>
      <c r="S84" s="2944"/>
      <c r="T84" s="2944"/>
      <c r="U84" s="2944"/>
      <c r="V84" s="2944"/>
      <c r="W84" s="2944"/>
      <c r="X84" s="2944"/>
      <c r="Y84" s="2944"/>
      <c r="Z84" s="2944"/>
      <c r="AA84" s="2944"/>
      <c r="AB84" s="2944"/>
      <c r="AC84" s="2944"/>
    </row>
    <row r="85" spans="1:29" ht="15.75" thickTop="1">
      <c r="A85" s="490"/>
      <c r="B85" s="494" t="s">
        <v>2516</v>
      </c>
      <c r="C85" s="534" t="s">
        <v>2415</v>
      </c>
      <c r="D85" s="534" t="s">
        <v>2416</v>
      </c>
      <c r="E85" s="534" t="s">
        <v>2417</v>
      </c>
      <c r="F85" s="534" t="s">
        <v>2418</v>
      </c>
      <c r="G85" s="534" t="s">
        <v>2419</v>
      </c>
      <c r="H85" s="495"/>
      <c r="I85" s="495"/>
      <c r="J85" s="495"/>
      <c r="K85" s="496"/>
      <c r="L85" s="497"/>
      <c r="M85" s="498"/>
      <c r="N85" s="2972"/>
      <c r="O85" s="2972"/>
      <c r="P85" s="2981"/>
      <c r="Q85" s="2958"/>
      <c r="R85" s="2944"/>
      <c r="S85" s="2944"/>
      <c r="T85" s="2944"/>
      <c r="U85" s="2944"/>
      <c r="V85" s="2944"/>
      <c r="W85" s="2944"/>
      <c r="X85" s="2944"/>
      <c r="Y85" s="2944"/>
      <c r="Z85" s="2944"/>
      <c r="AA85" s="2944"/>
      <c r="AB85" s="2944"/>
      <c r="AC85" s="294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3"/>
      <c r="O86" s="2973"/>
      <c r="P86" s="2981"/>
      <c r="Q86" s="2958"/>
      <c r="R86" s="2944"/>
      <c r="S86" s="2944"/>
      <c r="T86" s="2944"/>
      <c r="U86" s="2944"/>
      <c r="V86" s="2944"/>
      <c r="W86" s="2944"/>
      <c r="X86" s="2944"/>
      <c r="Y86" s="2944"/>
      <c r="Z86" s="2944"/>
      <c r="AA86" s="2944"/>
      <c r="AB86" s="2944"/>
      <c r="AC86" s="2944"/>
    </row>
    <row r="87" spans="1:29" s="112" customFormat="1" ht="27.75" thickTop="1">
      <c r="A87" s="535"/>
      <c r="B87" s="494" t="s">
        <v>2517</v>
      </c>
      <c r="C87" s="510"/>
      <c r="D87" s="510"/>
      <c r="E87" s="510"/>
      <c r="F87" s="510"/>
      <c r="G87" s="510"/>
      <c r="H87" s="510"/>
      <c r="I87" s="510"/>
      <c r="J87" s="510"/>
      <c r="K87" s="510"/>
      <c r="L87" s="536"/>
      <c r="M87" s="537"/>
      <c r="N87" s="2971"/>
      <c r="O87" s="2971"/>
      <c r="P87" s="2981"/>
      <c r="Q87" s="2958"/>
      <c r="R87" s="2878"/>
      <c r="S87" s="2878"/>
      <c r="T87" s="2878"/>
      <c r="U87" s="2878"/>
      <c r="V87" s="2878"/>
      <c r="W87" s="2878"/>
      <c r="X87" s="2878"/>
      <c r="Y87" s="2878"/>
      <c r="Z87" s="2878"/>
      <c r="AA87" s="2878"/>
      <c r="AB87" s="2878"/>
      <c r="AC87" s="2878"/>
    </row>
    <row r="88" spans="1:29" s="112" customFormat="1" ht="15.75" thickBot="1">
      <c r="A88" s="535"/>
      <c r="B88" s="499"/>
      <c r="C88" s="538">
        <v>100</v>
      </c>
      <c r="D88" s="500">
        <f t="shared" ref="D88:M88" si="16">C88-$K25</f>
        <v>100</v>
      </c>
      <c r="E88" s="500">
        <f t="shared" si="16"/>
        <v>100</v>
      </c>
      <c r="F88" s="500">
        <f t="shared" si="16"/>
        <v>100</v>
      </c>
      <c r="G88" s="500">
        <f t="shared" si="16"/>
        <v>100</v>
      </c>
      <c r="H88" s="500">
        <f t="shared" si="16"/>
        <v>100</v>
      </c>
      <c r="I88" s="500">
        <f t="shared" si="16"/>
        <v>100</v>
      </c>
      <c r="J88" s="500">
        <f t="shared" si="16"/>
        <v>100</v>
      </c>
      <c r="K88" s="500">
        <f t="shared" si="16"/>
        <v>100</v>
      </c>
      <c r="L88" s="500">
        <f t="shared" si="16"/>
        <v>100</v>
      </c>
      <c r="M88" s="500">
        <f t="shared" si="16"/>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5"/>
      <c r="B89" s="494" t="str">
        <f>B27</f>
        <v>楼层</v>
      </c>
      <c r="C89" s="510"/>
      <c r="D89" s="510"/>
      <c r="E89" s="510"/>
      <c r="F89" s="2106"/>
      <c r="G89" s="510"/>
      <c r="H89" s="510"/>
      <c r="I89" s="510"/>
      <c r="J89" s="510"/>
      <c r="K89" s="510"/>
      <c r="L89" s="510"/>
      <c r="M89" s="537"/>
      <c r="N89" s="2971"/>
      <c r="O89" s="2971"/>
      <c r="P89" s="2981"/>
      <c r="Q89" s="2958"/>
      <c r="R89" s="2878"/>
      <c r="S89" s="2878"/>
      <c r="T89" s="2878"/>
      <c r="U89" s="2878"/>
      <c r="V89" s="2878"/>
      <c r="W89" s="2878"/>
      <c r="X89" s="2878"/>
      <c r="Y89" s="2878"/>
      <c r="Z89" s="2878"/>
      <c r="AA89" s="2878"/>
      <c r="AB89" s="2878"/>
      <c r="AC89" s="2878"/>
    </row>
    <row r="90" spans="1:29" s="112" customFormat="1" ht="15.75" thickBot="1">
      <c r="A90" s="535"/>
      <c r="B90" s="499"/>
      <c r="C90" s="538">
        <v>100</v>
      </c>
      <c r="D90" s="500">
        <f>C90-$K27</f>
        <v>100</v>
      </c>
      <c r="E90" s="500">
        <f t="shared" ref="E90:M90" si="17">D90-$K27</f>
        <v>100</v>
      </c>
      <c r="F90" s="500">
        <f t="shared" si="17"/>
        <v>100</v>
      </c>
      <c r="G90" s="500">
        <f t="shared" si="17"/>
        <v>100</v>
      </c>
      <c r="H90" s="500">
        <f t="shared" si="17"/>
        <v>100</v>
      </c>
      <c r="I90" s="500">
        <f t="shared" si="17"/>
        <v>100</v>
      </c>
      <c r="J90" s="500">
        <f t="shared" si="17"/>
        <v>100</v>
      </c>
      <c r="K90" s="500">
        <f t="shared" si="17"/>
        <v>100</v>
      </c>
      <c r="L90" s="500">
        <f t="shared" si="17"/>
        <v>100</v>
      </c>
      <c r="M90" s="500">
        <f t="shared" si="17"/>
        <v>100</v>
      </c>
      <c r="N90" s="2973"/>
      <c r="O90" s="2973"/>
      <c r="P90" s="2981"/>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38">
        <v>100</v>
      </c>
      <c r="D92" s="500">
        <f t="shared" ref="D92:M92" si="18">C92-$K28</f>
        <v>100</v>
      </c>
      <c r="E92" s="500">
        <f t="shared" si="18"/>
        <v>100</v>
      </c>
      <c r="F92" s="500">
        <f t="shared" si="18"/>
        <v>100</v>
      </c>
      <c r="G92" s="500">
        <f t="shared" si="18"/>
        <v>100</v>
      </c>
      <c r="H92" s="500">
        <f t="shared" si="18"/>
        <v>100</v>
      </c>
      <c r="I92" s="500">
        <f t="shared" si="18"/>
        <v>100</v>
      </c>
      <c r="J92" s="500">
        <f t="shared" si="18"/>
        <v>100</v>
      </c>
      <c r="K92" s="500">
        <f t="shared" si="18"/>
        <v>100</v>
      </c>
      <c r="L92" s="500">
        <f t="shared" si="18"/>
        <v>100</v>
      </c>
      <c r="M92" s="500">
        <f t="shared" si="18"/>
        <v>100</v>
      </c>
      <c r="N92" s="2974"/>
      <c r="O92" s="2974"/>
      <c r="P92" s="2982"/>
      <c r="Q92" s="2965"/>
      <c r="R92" s="2966"/>
      <c r="S92" s="2966"/>
      <c r="T92" s="2966"/>
      <c r="U92" s="2966"/>
      <c r="V92" s="2966"/>
      <c r="W92" s="2966"/>
      <c r="X92" s="2966"/>
      <c r="Y92" s="2966"/>
      <c r="Z92" s="2966"/>
      <c r="AA92" s="2966"/>
      <c r="AB92" s="2966"/>
      <c r="AC92" s="2966"/>
    </row>
    <row r="93" spans="1:29" ht="15.75" thickTop="1">
      <c r="A93" s="490"/>
      <c r="B93" s="494">
        <f>B29</f>
        <v>111</v>
      </c>
      <c r="C93" s="510"/>
      <c r="D93" s="510"/>
      <c r="E93" s="510"/>
      <c r="F93" s="510"/>
      <c r="G93" s="510"/>
      <c r="H93" s="510"/>
      <c r="I93" s="510"/>
      <c r="J93" s="510"/>
      <c r="K93" s="510"/>
      <c r="L93" s="536"/>
      <c r="M93" s="537"/>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3"/>
      <c r="O94" s="2973"/>
      <c r="P94" s="2981"/>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3"/>
      <c r="O96" s="2973"/>
      <c r="P96" s="2981"/>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2"/>
      <c r="O97" s="2972"/>
      <c r="P97" s="2981"/>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3"/>
      <c r="O98" s="2973"/>
      <c r="P98" s="2981"/>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2"/>
      <c r="O99" s="2972"/>
      <c r="P99" s="2981"/>
      <c r="Q99" s="2958"/>
      <c r="R99" s="2944"/>
      <c r="S99" s="2944"/>
      <c r="T99" s="2944"/>
      <c r="U99" s="2944"/>
      <c r="V99" s="2944"/>
      <c r="W99" s="2944"/>
      <c r="X99" s="2944"/>
      <c r="Y99" s="2944"/>
      <c r="Z99" s="2944"/>
      <c r="AA99" s="2944"/>
      <c r="AB99" s="2944"/>
      <c r="AC99" s="2944"/>
    </row>
    <row r="100" spans="1:29" ht="15.75" thickBot="1">
      <c r="A100" s="2107"/>
      <c r="B100" s="525"/>
      <c r="C100" s="526"/>
      <c r="D100" s="526"/>
      <c r="E100" s="526"/>
      <c r="F100" s="526"/>
      <c r="G100" s="547"/>
      <c r="H100" s="547"/>
      <c r="I100" s="547"/>
      <c r="J100" s="547"/>
      <c r="K100" s="547"/>
      <c r="L100" s="547"/>
      <c r="M100" s="548"/>
      <c r="N100" s="2973"/>
      <c r="O100" s="2973"/>
      <c r="P100" s="2981"/>
      <c r="Q100" s="2958"/>
      <c r="R100" s="2944"/>
      <c r="S100" s="2944"/>
      <c r="T100" s="2944"/>
      <c r="U100" s="2944"/>
      <c r="V100" s="2944"/>
      <c r="W100" s="2944"/>
      <c r="X100" s="2944"/>
      <c r="Y100" s="2944"/>
      <c r="Z100" s="2944"/>
      <c r="AA100" s="2944"/>
      <c r="AB100" s="2944"/>
      <c r="AC100" s="2944"/>
    </row>
    <row r="101" spans="1:29">
      <c r="A101" s="483" t="s">
        <v>2381</v>
      </c>
      <c r="B101" s="484" t="s">
        <v>2430</v>
      </c>
      <c r="C101" s="486"/>
      <c r="D101" s="486"/>
      <c r="E101" s="486"/>
      <c r="F101" s="486"/>
      <c r="G101" s="486"/>
      <c r="H101" s="486"/>
      <c r="I101" s="486"/>
      <c r="J101" s="486"/>
      <c r="K101" s="487"/>
      <c r="L101" s="488"/>
      <c r="M101" s="489"/>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19">C102-$K33</f>
        <v>100</v>
      </c>
      <c r="E102" s="500">
        <f t="shared" si="19"/>
        <v>100</v>
      </c>
      <c r="F102" s="500">
        <f t="shared" si="19"/>
        <v>100</v>
      </c>
      <c r="G102" s="500">
        <f t="shared" si="19"/>
        <v>100</v>
      </c>
      <c r="H102" s="500">
        <f t="shared" si="19"/>
        <v>100</v>
      </c>
      <c r="I102" s="500">
        <f t="shared" si="19"/>
        <v>100</v>
      </c>
      <c r="J102" s="500">
        <f t="shared" si="19"/>
        <v>100</v>
      </c>
      <c r="K102" s="500">
        <f t="shared" si="19"/>
        <v>100</v>
      </c>
      <c r="L102" s="500">
        <f t="shared" si="19"/>
        <v>100</v>
      </c>
      <c r="M102" s="501">
        <f t="shared" si="19"/>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0"/>
      <c r="B103" s="494" t="s">
        <v>2431</v>
      </c>
      <c r="C103" s="534" t="str">
        <f>C104&amp;"(含)"&amp;"-"&amp;D104</f>
        <v>(含)-</v>
      </c>
      <c r="D103" s="534" t="str">
        <f t="shared" ref="D103:L103" si="20">D104&amp;"(含)"&amp;"-"&amp;E104</f>
        <v>(含)-</v>
      </c>
      <c r="E103" s="534" t="str">
        <f t="shared" si="20"/>
        <v>(含)-</v>
      </c>
      <c r="F103" s="534" t="str">
        <f t="shared" si="20"/>
        <v>(含)-</v>
      </c>
      <c r="G103" s="534" t="str">
        <f t="shared" si="20"/>
        <v>(含)-</v>
      </c>
      <c r="H103" s="534" t="str">
        <f t="shared" si="20"/>
        <v>(含)-</v>
      </c>
      <c r="I103" s="534" t="str">
        <f t="shared" si="20"/>
        <v>(含)-</v>
      </c>
      <c r="J103" s="534" t="str">
        <f t="shared" si="20"/>
        <v>(含)-</v>
      </c>
      <c r="K103" s="534" t="str">
        <f t="shared" si="20"/>
        <v>(含)-</v>
      </c>
      <c r="L103" s="534" t="str">
        <f t="shared" si="20"/>
        <v>(含)-</v>
      </c>
      <c r="M103" s="577"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9" customFormat="1">
      <c r="A104" s="549"/>
      <c r="B104" s="550"/>
      <c r="C104" s="551"/>
      <c r="D104" s="551"/>
      <c r="E104" s="551"/>
      <c r="F104" s="551"/>
      <c r="G104" s="551"/>
      <c r="H104" s="551"/>
      <c r="I104" s="551"/>
      <c r="J104" s="552"/>
      <c r="K104" s="552"/>
      <c r="L104" s="553"/>
      <c r="M104" s="554"/>
      <c r="N104" s="2974"/>
      <c r="O104" s="2974"/>
      <c r="P104" s="2982"/>
      <c r="Q104" s="2965"/>
      <c r="R104" s="2966"/>
      <c r="S104" s="2966"/>
      <c r="T104" s="2966"/>
      <c r="U104" s="2966"/>
      <c r="V104" s="2966"/>
      <c r="W104" s="2966"/>
      <c r="X104" s="2966"/>
      <c r="Y104" s="2966"/>
      <c r="Z104" s="2966"/>
      <c r="AA104" s="2966"/>
      <c r="AB104" s="2966"/>
      <c r="AC104" s="2966"/>
    </row>
    <row r="105" spans="1:29" s="429" customFormat="1" ht="15.75" thickBot="1">
      <c r="A105" s="509"/>
      <c r="B105" s="499"/>
      <c r="C105" s="516"/>
      <c r="D105" s="492"/>
      <c r="E105" s="492"/>
      <c r="F105" s="492"/>
      <c r="G105" s="492"/>
      <c r="H105" s="492"/>
      <c r="I105" s="492"/>
      <c r="J105" s="492"/>
      <c r="K105" s="492"/>
      <c r="L105" s="492"/>
      <c r="M105" s="493"/>
      <c r="N105" s="2973"/>
      <c r="O105" s="2973"/>
      <c r="P105" s="2982"/>
      <c r="Q105" s="2965"/>
      <c r="R105" s="2966"/>
      <c r="S105" s="2966"/>
      <c r="T105" s="2966"/>
      <c r="U105" s="2966"/>
      <c r="V105" s="2966"/>
      <c r="W105" s="2966"/>
      <c r="X105" s="2966"/>
      <c r="Y105" s="2966"/>
      <c r="Z105" s="2966"/>
      <c r="AA105" s="2966"/>
      <c r="AB105" s="2966"/>
      <c r="AC105" s="2966"/>
    </row>
    <row r="106" spans="1:29" ht="15" thickTop="1">
      <c r="A106" s="555"/>
      <c r="B106" s="494" t="s">
        <v>2432</v>
      </c>
      <c r="C106" s="510"/>
      <c r="D106" s="510"/>
      <c r="E106" s="539"/>
      <c r="F106" s="539"/>
      <c r="G106" s="539"/>
      <c r="H106" s="539"/>
      <c r="I106" s="539"/>
      <c r="J106" s="539"/>
      <c r="K106" s="540"/>
      <c r="L106" s="541"/>
      <c r="M106" s="542"/>
      <c r="N106" s="2972"/>
      <c r="O106" s="2972"/>
      <c r="P106" s="2981"/>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1">C107-$K35</f>
        <v>100</v>
      </c>
      <c r="E107" s="500">
        <f t="shared" si="21"/>
        <v>100</v>
      </c>
      <c r="F107" s="500">
        <f t="shared" si="21"/>
        <v>100</v>
      </c>
      <c r="G107" s="500">
        <f t="shared" si="21"/>
        <v>100</v>
      </c>
      <c r="H107" s="500">
        <f t="shared" si="21"/>
        <v>100</v>
      </c>
      <c r="I107" s="500">
        <f t="shared" si="21"/>
        <v>100</v>
      </c>
      <c r="J107" s="500">
        <f t="shared" si="21"/>
        <v>100</v>
      </c>
      <c r="K107" s="500">
        <f t="shared" si="21"/>
        <v>100</v>
      </c>
      <c r="L107" s="500">
        <f t="shared" si="21"/>
        <v>100</v>
      </c>
      <c r="M107" s="501">
        <f t="shared" si="21"/>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5"/>
      <c r="B108" s="494" t="s">
        <v>2434</v>
      </c>
      <c r="C108" s="510"/>
      <c r="D108" s="510"/>
      <c r="E108" s="510"/>
      <c r="F108" s="539"/>
      <c r="G108" s="539"/>
      <c r="H108" s="539"/>
      <c r="I108" s="539"/>
      <c r="J108" s="539"/>
      <c r="K108" s="540"/>
      <c r="L108" s="541"/>
      <c r="M108" s="542"/>
      <c r="N108" s="2972"/>
      <c r="O108" s="2972"/>
      <c r="P108" s="2981"/>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2">C109-$K36</f>
        <v>100</v>
      </c>
      <c r="E109" s="500">
        <f t="shared" si="22"/>
        <v>100</v>
      </c>
      <c r="F109" s="500">
        <f t="shared" si="22"/>
        <v>100</v>
      </c>
      <c r="G109" s="500">
        <f t="shared" si="22"/>
        <v>100</v>
      </c>
      <c r="H109" s="500">
        <f t="shared" si="22"/>
        <v>100</v>
      </c>
      <c r="I109" s="500">
        <f t="shared" si="22"/>
        <v>100</v>
      </c>
      <c r="J109" s="500">
        <f t="shared" si="22"/>
        <v>100</v>
      </c>
      <c r="K109" s="500">
        <f t="shared" si="22"/>
        <v>100</v>
      </c>
      <c r="L109" s="500">
        <f t="shared" si="22"/>
        <v>100</v>
      </c>
      <c r="M109" s="501">
        <f t="shared" si="22"/>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2"/>
      <c r="O110" s="2972"/>
      <c r="P110" s="2981"/>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2"/>
      <c r="O111" s="2972"/>
      <c r="P111" s="2981"/>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100</v>
      </c>
      <c r="E112" s="500">
        <f t="shared" ref="E112:M112" si="23">D112+$K37</f>
        <v>100</v>
      </c>
      <c r="F112" s="500">
        <f t="shared" si="23"/>
        <v>100</v>
      </c>
      <c r="G112" s="500">
        <f t="shared" si="23"/>
        <v>100</v>
      </c>
      <c r="H112" s="500">
        <f t="shared" si="23"/>
        <v>100</v>
      </c>
      <c r="I112" s="500">
        <f t="shared" si="23"/>
        <v>100</v>
      </c>
      <c r="J112" s="500">
        <f t="shared" si="23"/>
        <v>100</v>
      </c>
      <c r="K112" s="500">
        <f t="shared" si="23"/>
        <v>100</v>
      </c>
      <c r="L112" s="500">
        <f t="shared" si="23"/>
        <v>100</v>
      </c>
      <c r="M112" s="500">
        <f t="shared" si="23"/>
        <v>100</v>
      </c>
      <c r="N112" s="2973"/>
      <c r="O112" s="2973"/>
      <c r="P112" s="2981"/>
      <c r="Q112" s="2958"/>
      <c r="R112" s="2944"/>
      <c r="S112" s="2944"/>
      <c r="T112" s="2944"/>
      <c r="U112" s="2944"/>
      <c r="V112" s="2944"/>
      <c r="W112" s="2944"/>
      <c r="X112" s="2944"/>
      <c r="Y112" s="2944"/>
      <c r="Z112" s="2944"/>
      <c r="AA112" s="2944"/>
      <c r="AB112" s="2944"/>
      <c r="AC112" s="2944"/>
    </row>
    <row r="113" spans="1:29" s="429" customFormat="1" ht="15" thickTop="1">
      <c r="A113" s="549"/>
      <c r="B113" s="494" t="s">
        <v>2518</v>
      </c>
      <c r="C113" s="510"/>
      <c r="D113" s="510"/>
      <c r="E113" s="510"/>
      <c r="F113" s="510"/>
      <c r="G113" s="510"/>
      <c r="H113" s="539"/>
      <c r="I113" s="539"/>
      <c r="J113" s="539"/>
      <c r="K113" s="540"/>
      <c r="L113" s="541"/>
      <c r="M113" s="542"/>
      <c r="N113" s="2974"/>
      <c r="O113" s="2974"/>
      <c r="P113" s="2982"/>
      <c r="Q113" s="2965"/>
      <c r="R113" s="2966"/>
      <c r="S113" s="2966"/>
      <c r="T113" s="2966"/>
      <c r="U113" s="2966"/>
      <c r="V113" s="2966"/>
      <c r="W113" s="2966"/>
      <c r="X113" s="2966"/>
      <c r="Y113" s="2966"/>
      <c r="Z113" s="2966"/>
      <c r="AA113" s="2966"/>
      <c r="AB113" s="2966"/>
      <c r="AC113" s="2966"/>
    </row>
    <row r="114" spans="1:29" s="429" customFormat="1" ht="15.75" thickBot="1">
      <c r="A114" s="509"/>
      <c r="B114" s="499"/>
      <c r="C114" s="500">
        <v>100</v>
      </c>
      <c r="D114" s="500">
        <f>C114-$K38</f>
        <v>100</v>
      </c>
      <c r="E114" s="500">
        <f t="shared" ref="E114:M114" si="24">D114-$K38</f>
        <v>100</v>
      </c>
      <c r="F114" s="500">
        <f t="shared" si="24"/>
        <v>100</v>
      </c>
      <c r="G114" s="500">
        <f t="shared" si="24"/>
        <v>100</v>
      </c>
      <c r="H114" s="500">
        <f t="shared" si="24"/>
        <v>100</v>
      </c>
      <c r="I114" s="500">
        <f t="shared" si="24"/>
        <v>100</v>
      </c>
      <c r="J114" s="500">
        <f t="shared" si="24"/>
        <v>100</v>
      </c>
      <c r="K114" s="500">
        <f t="shared" si="24"/>
        <v>100</v>
      </c>
      <c r="L114" s="500">
        <f t="shared" si="24"/>
        <v>100</v>
      </c>
      <c r="M114" s="500">
        <f t="shared" si="24"/>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5"/>
      <c r="B115" s="494" t="s">
        <v>2435</v>
      </c>
      <c r="C115" s="510"/>
      <c r="D115" s="510"/>
      <c r="E115" s="539"/>
      <c r="F115" s="539"/>
      <c r="G115" s="539"/>
      <c r="H115" s="539"/>
      <c r="I115" s="539"/>
      <c r="J115" s="539"/>
      <c r="K115" s="540"/>
      <c r="L115" s="541"/>
      <c r="M115" s="542"/>
      <c r="N115" s="2972"/>
      <c r="O115" s="2972"/>
      <c r="P115" s="2981"/>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5">C116-$K39</f>
        <v>100</v>
      </c>
      <c r="E116" s="500">
        <f t="shared" si="25"/>
        <v>100</v>
      </c>
      <c r="F116" s="500">
        <f t="shared" si="25"/>
        <v>100</v>
      </c>
      <c r="G116" s="500">
        <f t="shared" si="25"/>
        <v>100</v>
      </c>
      <c r="H116" s="500">
        <f t="shared" si="25"/>
        <v>100</v>
      </c>
      <c r="I116" s="500">
        <f t="shared" si="25"/>
        <v>100</v>
      </c>
      <c r="J116" s="500">
        <f t="shared" si="25"/>
        <v>100</v>
      </c>
      <c r="K116" s="500">
        <f t="shared" si="25"/>
        <v>100</v>
      </c>
      <c r="L116" s="500">
        <f t="shared" si="25"/>
        <v>100</v>
      </c>
      <c r="M116" s="501">
        <f t="shared" si="25"/>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5"/>
      <c r="B117" s="494" t="s">
        <v>2436</v>
      </c>
      <c r="C117" s="510"/>
      <c r="D117" s="510"/>
      <c r="E117" s="510"/>
      <c r="F117" s="510"/>
      <c r="G117" s="510"/>
      <c r="H117" s="539"/>
      <c r="I117" s="539"/>
      <c r="J117" s="539"/>
      <c r="K117" s="540"/>
      <c r="L117" s="541"/>
      <c r="M117" s="542"/>
      <c r="N117" s="2972"/>
      <c r="O117" s="2972"/>
      <c r="P117" s="2981"/>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3"/>
      <c r="O118" s="2973"/>
      <c r="P118" s="2981"/>
      <c r="Q118" s="2958"/>
      <c r="R118" s="2944"/>
      <c r="S118" s="2944"/>
      <c r="T118" s="2944"/>
      <c r="U118" s="2944"/>
      <c r="V118" s="2944"/>
      <c r="W118" s="2944"/>
      <c r="X118" s="2944"/>
      <c r="Y118" s="2944"/>
      <c r="Z118" s="2944"/>
      <c r="AA118" s="2944"/>
      <c r="AB118" s="2944"/>
      <c r="AC118" s="2944"/>
    </row>
    <row r="119" spans="1:29" ht="15" thickTop="1">
      <c r="A119" s="555"/>
      <c r="B119" s="591" t="s">
        <v>2519</v>
      </c>
      <c r="C119" s="539"/>
      <c r="D119" s="539"/>
      <c r="E119" s="539"/>
      <c r="F119" s="539"/>
      <c r="G119" s="539"/>
      <c r="H119" s="539"/>
      <c r="I119" s="539"/>
      <c r="J119" s="539"/>
      <c r="K119" s="539"/>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100</v>
      </c>
      <c r="E120" s="500">
        <f t="shared" ref="E120:M120" si="26">D120-$K41</f>
        <v>100</v>
      </c>
      <c r="F120" s="500">
        <f t="shared" si="26"/>
        <v>100</v>
      </c>
      <c r="G120" s="500">
        <f t="shared" si="26"/>
        <v>100</v>
      </c>
      <c r="H120" s="500">
        <f t="shared" si="26"/>
        <v>100</v>
      </c>
      <c r="I120" s="500">
        <f t="shared" si="26"/>
        <v>100</v>
      </c>
      <c r="J120" s="500">
        <f t="shared" si="26"/>
        <v>100</v>
      </c>
      <c r="K120" s="500">
        <f t="shared" si="26"/>
        <v>100</v>
      </c>
      <c r="L120" s="500">
        <f t="shared" si="26"/>
        <v>100</v>
      </c>
      <c r="M120" s="500">
        <f t="shared" si="26"/>
        <v>100</v>
      </c>
      <c r="N120" s="2973"/>
      <c r="O120" s="2973"/>
      <c r="P120" s="2981"/>
      <c r="Q120" s="2958"/>
      <c r="R120" s="2944"/>
      <c r="S120" s="2944"/>
      <c r="T120" s="2944"/>
      <c r="U120" s="2944"/>
      <c r="V120" s="2944"/>
      <c r="W120" s="2944"/>
      <c r="X120" s="2944"/>
      <c r="Y120" s="2944"/>
      <c r="Z120" s="2944"/>
      <c r="AA120" s="2944"/>
      <c r="AB120" s="2944"/>
      <c r="AC120" s="2944"/>
    </row>
    <row r="121" spans="1:29" s="429" customFormat="1" ht="15" thickTop="1">
      <c r="A121" s="549"/>
      <c r="B121" s="494" t="s">
        <v>2502</v>
      </c>
      <c r="C121" s="510"/>
      <c r="D121" s="510"/>
      <c r="E121" s="510"/>
      <c r="F121" s="539"/>
      <c r="G121" s="511"/>
      <c r="H121" s="511"/>
      <c r="I121" s="511"/>
      <c r="J121" s="511"/>
      <c r="K121" s="511"/>
      <c r="L121" s="512"/>
      <c r="M121" s="513"/>
      <c r="N121" s="2974"/>
      <c r="O121" s="2974"/>
      <c r="P121" s="2982"/>
      <c r="Q121" s="2965"/>
      <c r="R121" s="2966"/>
      <c r="S121" s="2966"/>
      <c r="T121" s="2966"/>
      <c r="U121" s="2966"/>
      <c r="V121" s="2966"/>
      <c r="W121" s="2966"/>
      <c r="X121" s="2966"/>
      <c r="Y121" s="2966"/>
      <c r="Z121" s="2966"/>
      <c r="AA121" s="2966"/>
      <c r="AB121" s="2966"/>
      <c r="AC121" s="2966"/>
    </row>
    <row r="122" spans="1:29" s="429" customFormat="1" ht="15.75" thickBot="1">
      <c r="A122" s="509"/>
      <c r="B122" s="491"/>
      <c r="C122" s="516"/>
      <c r="D122" s="516"/>
      <c r="E122" s="516"/>
      <c r="F122" s="516"/>
      <c r="G122" s="516"/>
      <c r="H122" s="516"/>
      <c r="I122" s="516"/>
      <c r="J122" s="516"/>
      <c r="K122" s="516"/>
      <c r="L122" s="516"/>
      <c r="M122" s="516"/>
      <c r="N122" s="2974"/>
      <c r="O122" s="2974"/>
      <c r="P122" s="2982"/>
      <c r="Q122" s="2965"/>
      <c r="R122" s="2966"/>
      <c r="S122" s="2966"/>
      <c r="T122" s="2966"/>
      <c r="U122" s="2966"/>
      <c r="V122" s="2966"/>
      <c r="W122" s="2966"/>
      <c r="X122" s="2966"/>
      <c r="Y122" s="2966"/>
      <c r="Z122" s="2966"/>
      <c r="AA122" s="2966"/>
      <c r="AB122" s="2966"/>
      <c r="AC122" s="2966"/>
    </row>
    <row r="123" spans="1:29" ht="15" thickTop="1">
      <c r="A123" s="555"/>
      <c r="B123" s="494" t="s">
        <v>2438</v>
      </c>
      <c r="C123" s="510"/>
      <c r="D123" s="510"/>
      <c r="E123" s="510"/>
      <c r="F123" s="539"/>
      <c r="G123" s="539"/>
      <c r="H123" s="539"/>
      <c r="I123" s="539"/>
      <c r="J123" s="539"/>
      <c r="K123" s="540"/>
      <c r="L123" s="541"/>
      <c r="M123" s="542"/>
      <c r="N123" s="2972"/>
      <c r="O123" s="2972"/>
      <c r="P123" s="2981"/>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27">C124-$K43</f>
        <v>100</v>
      </c>
      <c r="E124" s="500">
        <f t="shared" si="27"/>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2"/>
      <c r="O125" s="2972"/>
      <c r="P125" s="2982"/>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3"/>
      <c r="O126" s="2973"/>
      <c r="P126" s="2981"/>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4"/>
      <c r="O127" s="2974"/>
      <c r="P127" s="2982"/>
      <c r="Q127" s="2965"/>
      <c r="R127" s="2966"/>
      <c r="S127" s="2966"/>
      <c r="T127" s="2966"/>
      <c r="U127" s="2966"/>
      <c r="V127" s="2966"/>
      <c r="W127" s="2966"/>
      <c r="X127" s="2966"/>
      <c r="Y127" s="2966"/>
      <c r="Z127" s="2966"/>
      <c r="AA127" s="2966"/>
      <c r="AB127" s="2966"/>
      <c r="AC127" s="2966"/>
    </row>
    <row r="128" spans="1:29" s="429" customFormat="1" ht="15.75" thickBot="1">
      <c r="A128" s="509"/>
      <c r="B128" s="499"/>
      <c r="C128" s="516"/>
      <c r="D128" s="492"/>
      <c r="E128" s="492"/>
      <c r="F128" s="492"/>
      <c r="G128" s="516"/>
      <c r="H128" s="518"/>
      <c r="I128" s="518"/>
      <c r="J128" s="518"/>
      <c r="K128" s="518"/>
      <c r="L128" s="518"/>
      <c r="M128" s="519"/>
      <c r="N128" s="2974"/>
      <c r="O128" s="2974"/>
      <c r="P128" s="2982"/>
      <c r="Q128" s="2965"/>
      <c r="R128" s="2966"/>
      <c r="S128" s="2966"/>
      <c r="T128" s="2966"/>
      <c r="U128" s="2966"/>
      <c r="V128" s="2966"/>
      <c r="W128" s="2966"/>
      <c r="X128" s="2966"/>
      <c r="Y128" s="2966"/>
      <c r="Z128" s="2966"/>
      <c r="AA128" s="2966"/>
      <c r="AB128" s="2966"/>
      <c r="AC128" s="2966"/>
    </row>
    <row r="129" spans="1:29" ht="15" thickTop="1">
      <c r="A129" s="555"/>
      <c r="B129" s="494">
        <f>B46</f>
        <v>111</v>
      </c>
      <c r="C129" s="510"/>
      <c r="D129" s="510"/>
      <c r="E129" s="510"/>
      <c r="F129" s="510"/>
      <c r="G129" s="539"/>
      <c r="H129" s="539"/>
      <c r="I129" s="539"/>
      <c r="J129" s="539"/>
      <c r="K129" s="540"/>
      <c r="L129" s="541"/>
      <c r="M129" s="542"/>
      <c r="N129" s="2972"/>
      <c r="O129" s="2972"/>
      <c r="P129" s="2981"/>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3"/>
      <c r="O130" s="2973"/>
      <c r="P130" s="2981"/>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5"/>
      <c r="C132" s="526"/>
      <c r="D132" s="526"/>
      <c r="E132" s="526"/>
      <c r="F132" s="526"/>
      <c r="G132" s="547"/>
      <c r="H132" s="547"/>
      <c r="I132" s="547"/>
      <c r="J132" s="547"/>
      <c r="K132" s="547"/>
      <c r="L132" s="547"/>
      <c r="M132" s="548"/>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2520</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IF(C2="——",ROUND(C43*D3/10000,0),ROUND(C43*D3/10000,0)-D2)</f>
        <v>#DIV/0!</v>
      </c>
      <c r="C2" s="2060"/>
      <c r="D2" s="1031" t="e">
        <f ca="1">SUMIF(INDIRECT("'"&amp;F2&amp;"'"&amp;"!A:A"),"承租人权益价值",INDIRECT("'"&amp;F2&amp;"'"&amp;"!c:c"))</f>
        <v>#REF!</v>
      </c>
      <c r="E2" s="2061" t="s">
        <v>2149</v>
      </c>
      <c r="F2" s="2062"/>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101912.04000000001</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2463</v>
      </c>
      <c r="B4" s="361"/>
      <c r="C4" s="3344" t="s">
        <v>2464</v>
      </c>
      <c r="D4" s="3345"/>
      <c r="E4" s="3346" t="s">
        <v>2465</v>
      </c>
      <c r="F4" s="3347"/>
      <c r="G4" s="3344" t="s">
        <v>2466</v>
      </c>
      <c r="H4" s="3345"/>
      <c r="I4" s="3344" t="s">
        <v>2467</v>
      </c>
      <c r="J4" s="3345"/>
      <c r="K4" s="566" t="s">
        <v>2468</v>
      </c>
      <c r="L4" s="1037"/>
      <c r="M4" s="1038"/>
      <c r="N4" s="1038"/>
      <c r="O4" s="1038"/>
      <c r="P4" s="3348" t="s">
        <v>2469</v>
      </c>
      <c r="Q4" s="3349"/>
      <c r="R4" s="3331" t="s">
        <v>2465</v>
      </c>
      <c r="S4" s="3332"/>
      <c r="T4" s="3331" t="s">
        <v>2466</v>
      </c>
      <c r="U4" s="3332"/>
      <c r="V4" s="3356" t="s">
        <v>2467</v>
      </c>
      <c r="W4" s="3356"/>
      <c r="X4" s="1533"/>
      <c r="Y4" s="3331" t="s">
        <v>2469</v>
      </c>
      <c r="Z4" s="3332"/>
      <c r="AA4" s="3326" t="s">
        <v>2465</v>
      </c>
      <c r="AB4" s="3327" t="s">
        <v>2466</v>
      </c>
      <c r="AC4" s="3326" t="s">
        <v>2467</v>
      </c>
    </row>
    <row r="5" spans="1:29" ht="15">
      <c r="A5" s="363"/>
      <c r="B5" s="364"/>
      <c r="C5" s="3337" t="s">
        <v>2360</v>
      </c>
      <c r="D5" s="3338"/>
      <c r="E5" s="3335" t="s">
        <v>2361</v>
      </c>
      <c r="F5" s="3336"/>
      <c r="G5" s="3337" t="s">
        <v>2362</v>
      </c>
      <c r="H5" s="3338"/>
      <c r="I5" s="3337" t="s">
        <v>2363</v>
      </c>
      <c r="J5" s="3338"/>
      <c r="K5" s="566"/>
      <c r="L5" s="1037"/>
      <c r="M5" s="1038"/>
      <c r="N5" s="1038"/>
      <c r="O5" s="1038"/>
      <c r="P5" s="3350"/>
      <c r="Q5" s="3351"/>
      <c r="R5" s="3333"/>
      <c r="S5" s="3334"/>
      <c r="T5" s="3333"/>
      <c r="U5" s="3334"/>
      <c r="V5" s="3356"/>
      <c r="W5" s="3356"/>
      <c r="X5" s="1533"/>
      <c r="Y5" s="3333"/>
      <c r="Z5" s="3334"/>
      <c r="AA5" s="3327"/>
      <c r="AB5" s="3327"/>
      <c r="AC5" s="3327"/>
    </row>
    <row r="6" spans="1:29" ht="15.75" thickBot="1">
      <c r="A6" s="365"/>
      <c r="B6" s="366"/>
      <c r="C6" s="3339" t="s">
        <v>2364</v>
      </c>
      <c r="D6" s="3340"/>
      <c r="E6" s="3341" t="s">
        <v>2364</v>
      </c>
      <c r="F6" s="3342"/>
      <c r="G6" s="3339" t="s">
        <v>2364</v>
      </c>
      <c r="H6" s="3340"/>
      <c r="I6" s="3339" t="s">
        <v>2364</v>
      </c>
      <c r="J6" s="3340"/>
      <c r="K6" s="566" t="s">
        <v>2365</v>
      </c>
      <c r="L6" s="1037"/>
      <c r="M6" s="1038"/>
      <c r="N6" s="1038"/>
      <c r="O6" s="1038"/>
      <c r="P6" s="3352"/>
      <c r="Q6" s="3353"/>
      <c r="R6" s="3333"/>
      <c r="S6" s="3334"/>
      <c r="T6" s="3354"/>
      <c r="U6" s="3355"/>
      <c r="V6" s="3356"/>
      <c r="W6" s="3356"/>
      <c r="X6" s="1533"/>
      <c r="Y6" s="3354"/>
      <c r="Z6" s="3355"/>
      <c r="AA6" s="3328"/>
      <c r="AB6" s="3328"/>
      <c r="AC6" s="3328"/>
    </row>
    <row r="7" spans="1:29" s="112" customFormat="1" ht="15.75" thickBot="1">
      <c r="A7" s="367" t="s">
        <v>2366</v>
      </c>
      <c r="B7" s="368"/>
      <c r="C7" s="369">
        <f>'数据-取费表'!B2</f>
        <v>44187</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29" t="s">
        <v>2367</v>
      </c>
      <c r="Q7" s="3357"/>
      <c r="R7" s="709" t="s">
        <v>17</v>
      </c>
      <c r="S7" s="710">
        <f t="shared" ref="S7:S15" si="0">F7</f>
        <v>0</v>
      </c>
      <c r="T7" s="709" t="s">
        <v>17</v>
      </c>
      <c r="U7" s="710">
        <f t="shared" ref="U7:U15" si="1">H7</f>
        <v>0</v>
      </c>
      <c r="V7" s="709" t="s">
        <v>17</v>
      </c>
      <c r="W7" s="710">
        <f t="shared" ref="W7:W15" si="2">J7</f>
        <v>0</v>
      </c>
      <c r="X7" s="711"/>
      <c r="Y7" s="3329" t="s">
        <v>2367</v>
      </c>
      <c r="Z7" s="3330"/>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29" t="s">
        <v>2370</v>
      </c>
      <c r="Q8" s="3330"/>
      <c r="R8" s="709" t="s">
        <v>17</v>
      </c>
      <c r="S8" s="710">
        <f t="shared" si="0"/>
        <v>0</v>
      </c>
      <c r="T8" s="709" t="s">
        <v>17</v>
      </c>
      <c r="U8" s="710">
        <f t="shared" si="1"/>
        <v>0</v>
      </c>
      <c r="V8" s="709" t="s">
        <v>17</v>
      </c>
      <c r="W8" s="710">
        <f t="shared" si="2"/>
        <v>0</v>
      </c>
      <c r="X8" s="711"/>
      <c r="Y8" s="3329" t="s">
        <v>2370</v>
      </c>
      <c r="Z8" s="3330"/>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61"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61"/>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61"/>
      <c r="Q11" s="1521" t="str">
        <f t="shared" si="6"/>
        <v>容积率</v>
      </c>
      <c r="R11" s="709" t="s">
        <v>17</v>
      </c>
      <c r="S11" s="710" t="e">
        <f t="shared" si="0"/>
        <v>#N/A</v>
      </c>
      <c r="T11" s="709" t="s">
        <v>17</v>
      </c>
      <c r="U11" s="710" t="e">
        <f t="shared" si="1"/>
        <v>#N/A</v>
      </c>
      <c r="V11" s="709" t="s">
        <v>17</v>
      </c>
      <c r="W11" s="710" t="e">
        <f t="shared" si="2"/>
        <v>#N/A</v>
      </c>
      <c r="X11" s="711"/>
      <c r="Y11" s="3271"/>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39"/>
      <c r="M12" s="1040"/>
      <c r="N12" s="1040"/>
      <c r="O12" s="1041"/>
      <c r="P12" s="3361"/>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7"/>
      <c r="M13" s="1038"/>
      <c r="N13" s="1038"/>
      <c r="O13" s="1046"/>
      <c r="P13" s="3361"/>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7"/>
      <c r="M14" s="1038"/>
      <c r="N14" s="1038"/>
      <c r="O14" s="1046"/>
      <c r="P14" s="3361"/>
      <c r="Q14" s="1521">
        <f t="shared" si="6"/>
        <v>111</v>
      </c>
      <c r="R14" s="709" t="s">
        <v>17</v>
      </c>
      <c r="S14" s="710">
        <f t="shared" si="0"/>
        <v>100</v>
      </c>
      <c r="T14" s="709" t="s">
        <v>17</v>
      </c>
      <c r="U14" s="710">
        <f t="shared" si="1"/>
        <v>100</v>
      </c>
      <c r="V14" s="709" t="s">
        <v>17</v>
      </c>
      <c r="W14" s="710">
        <f t="shared" si="2"/>
        <v>100</v>
      </c>
      <c r="X14" s="711"/>
      <c r="Y14" s="3271"/>
      <c r="Z14" s="55">
        <f t="shared" si="7"/>
        <v>111</v>
      </c>
      <c r="AA14" s="712">
        <f t="shared" si="3"/>
        <v>1</v>
      </c>
      <c r="AB14" s="712">
        <f t="shared" si="4"/>
        <v>1</v>
      </c>
      <c r="AC14" s="712">
        <f t="shared" si="5"/>
        <v>1</v>
      </c>
    </row>
    <row r="15" spans="1:29" ht="57">
      <c r="A15" s="398" t="s">
        <v>2377</v>
      </c>
      <c r="B15" s="65" t="s">
        <v>2521</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63" t="s">
        <v>2378</v>
      </c>
      <c r="Q15" s="1530" t="str">
        <f t="shared" si="6"/>
        <v>产业集聚程度</v>
      </c>
      <c r="R15" s="713" t="s">
        <v>17</v>
      </c>
      <c r="S15" s="714">
        <f t="shared" si="0"/>
        <v>100</v>
      </c>
      <c r="T15" s="713" t="s">
        <v>17</v>
      </c>
      <c r="U15" s="714">
        <f t="shared" si="1"/>
        <v>100</v>
      </c>
      <c r="V15" s="713" t="s">
        <v>17</v>
      </c>
      <c r="W15" s="714">
        <f t="shared" si="2"/>
        <v>100</v>
      </c>
      <c r="X15" s="1533"/>
      <c r="Y15" s="3363" t="s">
        <v>2378</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47"/>
      <c r="M16" s="1038"/>
      <c r="N16" s="1038"/>
      <c r="O16" s="1046"/>
      <c r="P16" s="3364"/>
      <c r="Q16" s="1530"/>
      <c r="R16" s="713"/>
      <c r="S16" s="714"/>
      <c r="T16" s="713"/>
      <c r="U16" s="714"/>
      <c r="V16" s="713"/>
      <c r="W16" s="714"/>
      <c r="X16" s="1533"/>
      <c r="Y16" s="3364"/>
      <c r="Z16" s="1534"/>
      <c r="AA16" s="1531">
        <v>1</v>
      </c>
      <c r="AB16" s="1531">
        <v>1</v>
      </c>
      <c r="AC16" s="1531">
        <v>1</v>
      </c>
    </row>
    <row r="17" spans="1:29" ht="85.5">
      <c r="A17" s="386"/>
      <c r="B17" s="409" t="s">
        <v>1945</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64"/>
      <c r="Q17" s="1530" t="str">
        <f>B17</f>
        <v>交通便捷度</v>
      </c>
      <c r="R17" s="713" t="s">
        <v>17</v>
      </c>
      <c r="S17" s="714">
        <f>F17</f>
        <v>100</v>
      </c>
      <c r="T17" s="713" t="s">
        <v>17</v>
      </c>
      <c r="U17" s="714">
        <f>H17</f>
        <v>100</v>
      </c>
      <c r="V17" s="713" t="s">
        <v>17</v>
      </c>
      <c r="W17" s="714">
        <f>J17</f>
        <v>100</v>
      </c>
      <c r="X17" s="1533"/>
      <c r="Y17" s="3364"/>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47"/>
      <c r="M18" s="1038"/>
      <c r="N18" s="1038"/>
      <c r="O18" s="1046"/>
      <c r="P18" s="3364"/>
      <c r="Q18" s="1530"/>
      <c r="R18" s="713"/>
      <c r="S18" s="714"/>
      <c r="T18" s="713"/>
      <c r="U18" s="714"/>
      <c r="V18" s="713"/>
      <c r="W18" s="714"/>
      <c r="X18" s="1533"/>
      <c r="Y18" s="3364"/>
      <c r="Z18" s="1534"/>
      <c r="AA18" s="1531">
        <v>1</v>
      </c>
      <c r="AB18" s="1531">
        <v>1</v>
      </c>
      <c r="AC18" s="1531">
        <v>1</v>
      </c>
    </row>
    <row r="19" spans="1:29" ht="42.75">
      <c r="A19" s="386"/>
      <c r="B19" s="409" t="s">
        <v>2506</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64"/>
      <c r="Q19" s="1530" t="str">
        <f>B19</f>
        <v>公共配套设施</v>
      </c>
      <c r="R19" s="713" t="s">
        <v>17</v>
      </c>
      <c r="S19" s="714">
        <f>F19</f>
        <v>100</v>
      </c>
      <c r="T19" s="713" t="s">
        <v>17</v>
      </c>
      <c r="U19" s="714">
        <f>H19</f>
        <v>100</v>
      </c>
      <c r="V19" s="713" t="s">
        <v>17</v>
      </c>
      <c r="W19" s="714">
        <f>J19</f>
        <v>100</v>
      </c>
      <c r="X19" s="1533"/>
      <c r="Y19" s="3364"/>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47"/>
      <c r="M20" s="1038"/>
      <c r="N20" s="1038"/>
      <c r="O20" s="1046"/>
      <c r="P20" s="3364"/>
      <c r="Q20" s="1530"/>
      <c r="R20" s="713"/>
      <c r="S20" s="714"/>
      <c r="T20" s="713"/>
      <c r="U20" s="714"/>
      <c r="V20" s="713"/>
      <c r="W20" s="714"/>
      <c r="X20" s="1533"/>
      <c r="Y20" s="3364"/>
      <c r="Z20" s="1534"/>
      <c r="AA20" s="1531">
        <v>1</v>
      </c>
      <c r="AB20" s="1531">
        <v>1</v>
      </c>
      <c r="AC20" s="1531">
        <v>1</v>
      </c>
    </row>
    <row r="21" spans="1:29" ht="28.5">
      <c r="A21" s="386"/>
      <c r="B21" s="1286" t="s">
        <v>2507</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64"/>
      <c r="Q21" s="1530" t="str">
        <f>B21</f>
        <v>基础设施水平</v>
      </c>
      <c r="R21" s="713" t="s">
        <v>17</v>
      </c>
      <c r="S21" s="714">
        <f>F21</f>
        <v>100</v>
      </c>
      <c r="T21" s="713" t="s">
        <v>17</v>
      </c>
      <c r="U21" s="714">
        <f>H21</f>
        <v>100</v>
      </c>
      <c r="V21" s="713" t="s">
        <v>17</v>
      </c>
      <c r="W21" s="714">
        <f>J21</f>
        <v>100</v>
      </c>
      <c r="X21" s="1533"/>
      <c r="Y21" s="3364"/>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1047"/>
      <c r="M22" s="1038"/>
      <c r="N22" s="1038"/>
      <c r="O22" s="1046"/>
      <c r="P22" s="3364"/>
      <c r="Q22" s="1530"/>
      <c r="R22" s="713"/>
      <c r="S22" s="714"/>
      <c r="T22" s="713"/>
      <c r="U22" s="714"/>
      <c r="V22" s="713"/>
      <c r="W22" s="714"/>
      <c r="X22" s="1533"/>
      <c r="Y22" s="3364"/>
      <c r="Z22" s="1534"/>
      <c r="AA22" s="1531">
        <v>1</v>
      </c>
      <c r="AB22" s="1531">
        <v>1</v>
      </c>
      <c r="AC22" s="1531">
        <v>1</v>
      </c>
    </row>
    <row r="23" spans="1:29" ht="71.25">
      <c r="A23" s="386"/>
      <c r="B23" s="409" t="s">
        <v>2508</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64"/>
      <c r="Q23" s="1530" t="str">
        <f>B23</f>
        <v>环境质量</v>
      </c>
      <c r="R23" s="713" t="s">
        <v>17</v>
      </c>
      <c r="S23" s="714">
        <f>F23</f>
        <v>100</v>
      </c>
      <c r="T23" s="713" t="s">
        <v>17</v>
      </c>
      <c r="U23" s="714">
        <f>H23</f>
        <v>100</v>
      </c>
      <c r="V23" s="713" t="s">
        <v>17</v>
      </c>
      <c r="W23" s="714">
        <f>J23</f>
        <v>100</v>
      </c>
      <c r="X23" s="1533"/>
      <c r="Y23" s="3364"/>
      <c r="Z23" s="1534" t="str">
        <f>Q23</f>
        <v>环境质量</v>
      </c>
      <c r="AA23" s="1531">
        <f t="shared" si="3"/>
        <v>1</v>
      </c>
      <c r="AB23" s="1531">
        <f t="shared" si="4"/>
        <v>1</v>
      </c>
      <c r="AC23" s="1531">
        <f t="shared" si="5"/>
        <v>1</v>
      </c>
    </row>
    <row r="24" spans="1:29" ht="15">
      <c r="A24" s="386"/>
      <c r="B24" s="1286"/>
      <c r="C24" s="405"/>
      <c r="D24" s="406"/>
      <c r="E24" s="2077"/>
      <c r="F24" s="407"/>
      <c r="G24" s="2076"/>
      <c r="H24" s="406"/>
      <c r="I24" s="2077"/>
      <c r="J24" s="406"/>
      <c r="K24" s="571"/>
      <c r="L24" s="1047"/>
      <c r="M24" s="1038"/>
      <c r="N24" s="1038"/>
      <c r="O24" s="1046"/>
      <c r="P24" s="3364"/>
      <c r="Q24" s="1530"/>
      <c r="R24" s="713"/>
      <c r="S24" s="714"/>
      <c r="T24" s="713"/>
      <c r="U24" s="714"/>
      <c r="V24" s="713"/>
      <c r="W24" s="714"/>
      <c r="X24" s="1533"/>
      <c r="Y24" s="3364"/>
      <c r="Z24" s="1534"/>
      <c r="AA24" s="1531">
        <v>1</v>
      </c>
      <c r="AB24" s="1531">
        <v>1</v>
      </c>
      <c r="AC24" s="1531">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64"/>
      <c r="Q25" s="1530">
        <f>B25</f>
        <v>111</v>
      </c>
      <c r="R25" s="713" t="s">
        <v>17</v>
      </c>
      <c r="S25" s="714">
        <f>F25</f>
        <v>100</v>
      </c>
      <c r="T25" s="713" t="s">
        <v>17</v>
      </c>
      <c r="U25" s="714">
        <f>H25</f>
        <v>100</v>
      </c>
      <c r="V25" s="713" t="s">
        <v>17</v>
      </c>
      <c r="W25" s="714">
        <f>J25</f>
        <v>100</v>
      </c>
      <c r="X25" s="1533"/>
      <c r="Y25" s="3364"/>
      <c r="Z25" s="1534">
        <f>Q25</f>
        <v>111</v>
      </c>
      <c r="AA25" s="1531">
        <f t="shared" si="3"/>
        <v>1</v>
      </c>
      <c r="AB25" s="1531">
        <f t="shared" si="4"/>
        <v>1</v>
      </c>
      <c r="AC25" s="1531">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64"/>
      <c r="Q26" s="1530">
        <f t="shared" ref="Q26:Q40" si="8">B26</f>
        <v>111</v>
      </c>
      <c r="R26" s="713" t="s">
        <v>17</v>
      </c>
      <c r="S26" s="714">
        <f>F26</f>
        <v>100</v>
      </c>
      <c r="T26" s="713" t="s">
        <v>17</v>
      </c>
      <c r="U26" s="714">
        <f>H26</f>
        <v>100</v>
      </c>
      <c r="V26" s="713" t="s">
        <v>17</v>
      </c>
      <c r="W26" s="714">
        <f>J26</f>
        <v>100</v>
      </c>
      <c r="X26" s="1533"/>
      <c r="Y26" s="3364"/>
      <c r="Z26" s="1534">
        <f>Q26</f>
        <v>111</v>
      </c>
      <c r="AA26" s="1531">
        <f t="shared" si="3"/>
        <v>1</v>
      </c>
      <c r="AB26" s="1531">
        <f t="shared" si="4"/>
        <v>1</v>
      </c>
      <c r="AC26" s="1531">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64"/>
      <c r="Q27" s="1521">
        <f t="shared" si="8"/>
        <v>111</v>
      </c>
      <c r="R27" s="709" t="s">
        <v>17</v>
      </c>
      <c r="S27" s="710">
        <f>F27</f>
        <v>100</v>
      </c>
      <c r="T27" s="709" t="s">
        <v>17</v>
      </c>
      <c r="U27" s="710">
        <f>H27</f>
        <v>100</v>
      </c>
      <c r="V27" s="709" t="s">
        <v>17</v>
      </c>
      <c r="W27" s="710">
        <f>J27</f>
        <v>100</v>
      </c>
      <c r="X27" s="711"/>
      <c r="Y27" s="3364"/>
      <c r="Z27" s="55">
        <f>Q27</f>
        <v>111</v>
      </c>
      <c r="AA27" s="1531">
        <f>D27/F27</f>
        <v>1</v>
      </c>
      <c r="AB27" s="1531">
        <f>D27/H27</f>
        <v>1</v>
      </c>
      <c r="AC27" s="1531">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64"/>
      <c r="Q28" s="1530">
        <f t="shared" si="8"/>
        <v>111</v>
      </c>
      <c r="R28" s="713" t="s">
        <v>17</v>
      </c>
      <c r="S28" s="714">
        <f t="shared" ref="S28:S40" si="9">F28</f>
        <v>100</v>
      </c>
      <c r="T28" s="713" t="s">
        <v>17</v>
      </c>
      <c r="U28" s="714">
        <f t="shared" ref="U28:U40" si="10">H28</f>
        <v>100</v>
      </c>
      <c r="V28" s="713" t="s">
        <v>17</v>
      </c>
      <c r="W28" s="714">
        <f t="shared" ref="W28:W40" si="11">J28</f>
        <v>100</v>
      </c>
      <c r="X28" s="1533"/>
      <c r="Y28" s="3364"/>
      <c r="Z28" s="1534">
        <f t="shared" ref="Z28:Z40" si="12">Q28</f>
        <v>111</v>
      </c>
      <c r="AA28" s="1531">
        <f t="shared" si="3"/>
        <v>1</v>
      </c>
      <c r="AB28" s="1531">
        <f t="shared" si="4"/>
        <v>1</v>
      </c>
      <c r="AC28" s="1531">
        <f t="shared" si="5"/>
        <v>1</v>
      </c>
    </row>
    <row r="29" spans="1:29" ht="28.5">
      <c r="A29" s="424" t="s">
        <v>2381</v>
      </c>
      <c r="B29" s="67" t="s">
        <v>2511</v>
      </c>
      <c r="C29" s="2146"/>
      <c r="D29" s="425">
        <v>100</v>
      </c>
      <c r="E29" s="2146"/>
      <c r="F29" s="419">
        <f>SUMIF(88:88,E29,89:89)-SUMIF(88:88,C29,89:89)+100</f>
        <v>100</v>
      </c>
      <c r="G29" s="2146"/>
      <c r="H29" s="393">
        <f>SUMIF(88:88,G29,89:89)-SUMIF(88:88,C29,89:89)+100</f>
        <v>100</v>
      </c>
      <c r="I29" s="2146"/>
      <c r="J29" s="425">
        <f>SUMIF(88:88,I29,89:89)-SUMIF(88:88,C29,89:89)+100</f>
        <v>100</v>
      </c>
      <c r="K29" s="568"/>
      <c r="L29" s="1047"/>
      <c r="M29" s="1038"/>
      <c r="N29" s="1038"/>
      <c r="O29" s="1046"/>
      <c r="P29" s="3387" t="s">
        <v>2383</v>
      </c>
      <c r="Q29" s="1530" t="str">
        <f t="shared" si="8"/>
        <v>建筑类型</v>
      </c>
      <c r="R29" s="713" t="s">
        <v>17</v>
      </c>
      <c r="S29" s="714">
        <f t="shared" si="9"/>
        <v>100</v>
      </c>
      <c r="T29" s="713" t="s">
        <v>17</v>
      </c>
      <c r="U29" s="714">
        <f t="shared" si="10"/>
        <v>100</v>
      </c>
      <c r="V29" s="713" t="s">
        <v>17</v>
      </c>
      <c r="W29" s="714">
        <f t="shared" si="11"/>
        <v>100</v>
      </c>
      <c r="X29" s="1533"/>
      <c r="Y29" s="3368" t="s">
        <v>2383</v>
      </c>
      <c r="Z29" s="1534" t="str">
        <f t="shared" si="12"/>
        <v>建筑类型</v>
      </c>
      <c r="AA29" s="1531">
        <f t="shared" si="3"/>
        <v>1</v>
      </c>
      <c r="AB29" s="1531">
        <f t="shared" si="4"/>
        <v>1</v>
      </c>
      <c r="AC29" s="1531">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68"/>
      <c r="Q30" s="715" t="str">
        <f t="shared" si="8"/>
        <v>项目建筑规模</v>
      </c>
      <c r="R30" s="716" t="s">
        <v>17</v>
      </c>
      <c r="S30" s="717" t="e">
        <f t="shared" si="9"/>
        <v>#N/A</v>
      </c>
      <c r="T30" s="716" t="s">
        <v>17</v>
      </c>
      <c r="U30" s="717" t="e">
        <f t="shared" si="10"/>
        <v>#N/A</v>
      </c>
      <c r="V30" s="716" t="s">
        <v>17</v>
      </c>
      <c r="W30" s="717" t="e">
        <f t="shared" si="11"/>
        <v>#N/A</v>
      </c>
      <c r="X30" s="718"/>
      <c r="Y30" s="3368"/>
      <c r="Z30" s="719" t="str">
        <f t="shared" si="12"/>
        <v>项目建筑规模</v>
      </c>
      <c r="AA30" s="1531" t="e">
        <f t="shared" si="3"/>
        <v>#N/A</v>
      </c>
      <c r="AB30" s="1531" t="e">
        <f t="shared" si="4"/>
        <v>#N/A</v>
      </c>
      <c r="AC30" s="1531"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68"/>
      <c r="Q31" s="1530" t="str">
        <f t="shared" si="8"/>
        <v>建筑结构</v>
      </c>
      <c r="R31" s="713" t="s">
        <v>17</v>
      </c>
      <c r="S31" s="714">
        <f t="shared" si="9"/>
        <v>100</v>
      </c>
      <c r="T31" s="713" t="s">
        <v>17</v>
      </c>
      <c r="U31" s="714">
        <f t="shared" si="10"/>
        <v>100</v>
      </c>
      <c r="V31" s="713" t="s">
        <v>17</v>
      </c>
      <c r="W31" s="714">
        <f t="shared" si="11"/>
        <v>100</v>
      </c>
      <c r="X31" s="1533"/>
      <c r="Y31" s="3368"/>
      <c r="Z31" s="1534" t="str">
        <f t="shared" si="12"/>
        <v>建筑结构</v>
      </c>
      <c r="AA31" s="1531">
        <f t="shared" si="3"/>
        <v>1</v>
      </c>
      <c r="AB31" s="1531">
        <f t="shared" si="4"/>
        <v>1</v>
      </c>
      <c r="AC31" s="1531">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68"/>
      <c r="Q32" s="1530" t="str">
        <f t="shared" si="8"/>
        <v>公共部分装修</v>
      </c>
      <c r="R32" s="713" t="s">
        <v>17</v>
      </c>
      <c r="S32" s="714">
        <f t="shared" si="9"/>
        <v>100</v>
      </c>
      <c r="T32" s="713" t="s">
        <v>17</v>
      </c>
      <c r="U32" s="714">
        <f t="shared" si="10"/>
        <v>100</v>
      </c>
      <c r="V32" s="713" t="s">
        <v>17</v>
      </c>
      <c r="W32" s="714">
        <f t="shared" si="11"/>
        <v>100</v>
      </c>
      <c r="X32" s="1533"/>
      <c r="Y32" s="3368"/>
      <c r="Z32" s="1534" t="str">
        <f t="shared" si="12"/>
        <v>公共部分装修</v>
      </c>
      <c r="AA32" s="1531">
        <f t="shared" si="3"/>
        <v>1</v>
      </c>
      <c r="AB32" s="1531">
        <f t="shared" si="4"/>
        <v>1</v>
      </c>
      <c r="AC32" s="1531">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68"/>
      <c r="Q33" s="1530" t="str">
        <f t="shared" si="8"/>
        <v>成新度</v>
      </c>
      <c r="R33" s="713" t="s">
        <v>17</v>
      </c>
      <c r="S33" s="714" t="e">
        <f t="shared" si="9"/>
        <v>#N/A</v>
      </c>
      <c r="T33" s="713" t="s">
        <v>17</v>
      </c>
      <c r="U33" s="714" t="e">
        <f t="shared" si="10"/>
        <v>#N/A</v>
      </c>
      <c r="V33" s="713" t="s">
        <v>17</v>
      </c>
      <c r="W33" s="714" t="e">
        <f t="shared" si="11"/>
        <v>#N/A</v>
      </c>
      <c r="X33" s="1533"/>
      <c r="Y33" s="3368"/>
      <c r="Z33" s="1534" t="str">
        <f t="shared" si="12"/>
        <v>成新度</v>
      </c>
      <c r="AA33" s="1531" t="e">
        <f t="shared" si="3"/>
        <v>#N/A</v>
      </c>
      <c r="AB33" s="1531" t="e">
        <f t="shared" si="4"/>
        <v>#N/A</v>
      </c>
      <c r="AC33" s="1531"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68"/>
      <c r="Q34" s="1521" t="str">
        <f t="shared" si="8"/>
        <v>物业管理</v>
      </c>
      <c r="R34" s="709" t="s">
        <v>17</v>
      </c>
      <c r="S34" s="710">
        <f t="shared" si="9"/>
        <v>100</v>
      </c>
      <c r="T34" s="709" t="s">
        <v>17</v>
      </c>
      <c r="U34" s="710">
        <f t="shared" si="10"/>
        <v>100</v>
      </c>
      <c r="V34" s="709" t="s">
        <v>17</v>
      </c>
      <c r="W34" s="710">
        <f t="shared" si="11"/>
        <v>100</v>
      </c>
      <c r="X34" s="711"/>
      <c r="Y34" s="3368"/>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68" t="s">
        <v>2383</v>
      </c>
      <c r="Q35" s="1530" t="str">
        <f t="shared" si="8"/>
        <v>市政基础设施</v>
      </c>
      <c r="R35" s="713" t="s">
        <v>17</v>
      </c>
      <c r="S35" s="714">
        <f t="shared" si="9"/>
        <v>100</v>
      </c>
      <c r="T35" s="713" t="s">
        <v>17</v>
      </c>
      <c r="U35" s="714">
        <f t="shared" si="10"/>
        <v>100</v>
      </c>
      <c r="V35" s="713" t="s">
        <v>17</v>
      </c>
      <c r="W35" s="714">
        <f t="shared" si="11"/>
        <v>100</v>
      </c>
      <c r="X35" s="1533"/>
      <c r="Y35" s="3368" t="s">
        <v>2383</v>
      </c>
      <c r="Z35" s="1534" t="str">
        <f t="shared" si="12"/>
        <v>市政基础设施</v>
      </c>
      <c r="AA35" s="1531">
        <f t="shared" si="3"/>
        <v>1</v>
      </c>
      <c r="AB35" s="1531">
        <f t="shared" si="4"/>
        <v>1</v>
      </c>
      <c r="AC35" s="1531">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68"/>
      <c r="Q36" s="1530" t="str">
        <f t="shared" si="8"/>
        <v>内部装修</v>
      </c>
      <c r="R36" s="713" t="s">
        <v>17</v>
      </c>
      <c r="S36" s="714">
        <f t="shared" si="9"/>
        <v>100</v>
      </c>
      <c r="T36" s="713" t="s">
        <v>17</v>
      </c>
      <c r="U36" s="714">
        <f t="shared" si="10"/>
        <v>100</v>
      </c>
      <c r="V36" s="713" t="s">
        <v>17</v>
      </c>
      <c r="W36" s="714">
        <f t="shared" si="11"/>
        <v>100</v>
      </c>
      <c r="X36" s="1533"/>
      <c r="Y36" s="3368"/>
      <c r="Z36" s="1534" t="str">
        <f t="shared" si="12"/>
        <v>内部装修</v>
      </c>
      <c r="AA36" s="1531">
        <f t="shared" si="3"/>
        <v>1</v>
      </c>
      <c r="AB36" s="1531">
        <f t="shared" si="4"/>
        <v>1</v>
      </c>
      <c r="AC36" s="1531">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68"/>
      <c r="Q37" s="1530" t="str">
        <f t="shared" si="8"/>
        <v>内部装修状况</v>
      </c>
      <c r="R37" s="713" t="s">
        <v>17</v>
      </c>
      <c r="S37" s="714">
        <f t="shared" si="9"/>
        <v>100</v>
      </c>
      <c r="T37" s="713" t="s">
        <v>17</v>
      </c>
      <c r="U37" s="714">
        <f t="shared" si="10"/>
        <v>100</v>
      </c>
      <c r="V37" s="713" t="s">
        <v>17</v>
      </c>
      <c r="W37" s="714">
        <f t="shared" si="11"/>
        <v>100</v>
      </c>
      <c r="X37" s="1533"/>
      <c r="Y37" s="3368"/>
      <c r="Z37" s="1534" t="str">
        <f t="shared" si="12"/>
        <v>内部装修状况</v>
      </c>
      <c r="AA37" s="1531">
        <f t="shared" si="3"/>
        <v>1</v>
      </c>
      <c r="AB37" s="1531">
        <f t="shared" si="4"/>
        <v>1</v>
      </c>
      <c r="AC37" s="1531">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68"/>
      <c r="Q38" s="715">
        <f t="shared" si="8"/>
        <v>111</v>
      </c>
      <c r="R38" s="716" t="s">
        <v>17</v>
      </c>
      <c r="S38" s="717">
        <f t="shared" si="9"/>
        <v>100</v>
      </c>
      <c r="T38" s="716" t="s">
        <v>17</v>
      </c>
      <c r="U38" s="717">
        <f t="shared" si="10"/>
        <v>100</v>
      </c>
      <c r="V38" s="716" t="s">
        <v>17</v>
      </c>
      <c r="W38" s="717">
        <f t="shared" si="11"/>
        <v>100</v>
      </c>
      <c r="X38" s="718"/>
      <c r="Y38" s="3368"/>
      <c r="Z38" s="719">
        <f t="shared" si="12"/>
        <v>111</v>
      </c>
      <c r="AA38" s="1531">
        <f t="shared" si="3"/>
        <v>1</v>
      </c>
      <c r="AB38" s="1531">
        <f t="shared" si="4"/>
        <v>1</v>
      </c>
      <c r="AC38" s="1531">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68"/>
      <c r="Q39" s="1530">
        <f t="shared" si="8"/>
        <v>111</v>
      </c>
      <c r="R39" s="713" t="s">
        <v>17</v>
      </c>
      <c r="S39" s="714">
        <f t="shared" si="9"/>
        <v>100</v>
      </c>
      <c r="T39" s="713" t="s">
        <v>17</v>
      </c>
      <c r="U39" s="714">
        <f t="shared" si="10"/>
        <v>100</v>
      </c>
      <c r="V39" s="713" t="s">
        <v>17</v>
      </c>
      <c r="W39" s="714">
        <f t="shared" si="11"/>
        <v>100</v>
      </c>
      <c r="X39" s="1533"/>
      <c r="Y39" s="3368"/>
      <c r="Z39" s="1534">
        <f t="shared" si="12"/>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69"/>
      <c r="Q40" s="1530">
        <f t="shared" si="8"/>
        <v>111</v>
      </c>
      <c r="R40" s="713" t="s">
        <v>17</v>
      </c>
      <c r="S40" s="714">
        <f t="shared" si="9"/>
        <v>100</v>
      </c>
      <c r="T40" s="713" t="s">
        <v>17</v>
      </c>
      <c r="U40" s="714">
        <f t="shared" si="10"/>
        <v>100</v>
      </c>
      <c r="V40" s="713" t="s">
        <v>17</v>
      </c>
      <c r="W40" s="714">
        <f t="shared" si="11"/>
        <v>100</v>
      </c>
      <c r="X40" s="1533"/>
      <c r="Y40" s="3369"/>
      <c r="Z40" s="1534">
        <f t="shared" si="12"/>
        <v>111</v>
      </c>
      <c r="AA40" s="1531">
        <f t="shared" si="3"/>
        <v>1</v>
      </c>
      <c r="AB40" s="1531">
        <f t="shared" si="4"/>
        <v>1</v>
      </c>
      <c r="AC40" s="1531">
        <f t="shared" si="5"/>
        <v>1</v>
      </c>
    </row>
    <row r="41" spans="1:29" ht="15">
      <c r="A41" s="437" t="s">
        <v>2395</v>
      </c>
      <c r="B41" s="438"/>
      <c r="C41" s="1309" t="s">
        <v>1</v>
      </c>
      <c r="D41" s="1310"/>
      <c r="E41" s="1311"/>
      <c r="F41" s="1312"/>
      <c r="G41" s="1313"/>
      <c r="H41" s="1314"/>
      <c r="I41" s="1311"/>
      <c r="J41" s="1314"/>
      <c r="K41" s="722"/>
      <c r="L41" s="1050"/>
      <c r="M41" s="1051"/>
      <c r="N41" s="1038"/>
      <c r="O41" s="1051"/>
      <c r="P41" s="3361" t="str">
        <f>A41</f>
        <v>成交单价（元/平方米）</v>
      </c>
      <c r="Q41" s="3361"/>
      <c r="R41" s="3362">
        <f>E41</f>
        <v>0</v>
      </c>
      <c r="S41" s="3362"/>
      <c r="T41" s="3362">
        <f>G41</f>
        <v>0</v>
      </c>
      <c r="U41" s="3362"/>
      <c r="V41" s="3362">
        <f>I41</f>
        <v>0</v>
      </c>
      <c r="W41" s="3362"/>
      <c r="X41" s="698"/>
      <c r="Y41" s="720"/>
      <c r="Z41" s="698"/>
      <c r="AA41" s="698"/>
      <c r="AB41" s="698"/>
      <c r="AC41" s="698"/>
    </row>
    <row r="42" spans="1:29" ht="15.75" thickBot="1">
      <c r="A42" s="444" t="s">
        <v>2487</v>
      </c>
      <c r="B42" s="445"/>
      <c r="C42" s="1315" t="e">
        <f>R43</f>
        <v>#DIV/0!</v>
      </c>
      <c r="D42" s="2531" t="s">
        <v>2878</v>
      </c>
      <c r="E42" s="1316" t="e">
        <f>R42</f>
        <v>#DIV/0!</v>
      </c>
      <c r="F42" s="2532"/>
      <c r="G42" s="1315" t="e">
        <f>T42</f>
        <v>#DIV/0!</v>
      </c>
      <c r="H42" s="2532"/>
      <c r="I42" s="1316" t="e">
        <f>V42</f>
        <v>#DIV/0!</v>
      </c>
      <c r="J42" s="2532"/>
      <c r="K42" s="2534">
        <f>F42+H42+J42</f>
        <v>0</v>
      </c>
      <c r="L42" s="1050"/>
      <c r="M42" s="1051"/>
      <c r="N42" s="1038"/>
      <c r="O42" s="105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698"/>
      <c r="Y42" s="698"/>
      <c r="Z42" s="698"/>
      <c r="AA42" s="698"/>
      <c r="AB42" s="698"/>
      <c r="AC42" s="698"/>
    </row>
    <row r="43" spans="1:29" ht="15.75" thickBot="1">
      <c r="A43" s="448" t="s">
        <v>2488</v>
      </c>
      <c r="B43" s="449"/>
      <c r="C43" s="1318" t="e">
        <f>R43</f>
        <v>#DIV/0!</v>
      </c>
      <c r="D43" s="1318"/>
      <c r="E43" s="1318"/>
      <c r="F43" s="1318"/>
      <c r="G43" s="1318"/>
      <c r="H43" s="1318"/>
      <c r="I43" s="1318"/>
      <c r="J43" s="1318"/>
      <c r="K43" s="723"/>
      <c r="L43" s="1050"/>
      <c r="M43" s="1051"/>
      <c r="N43" s="1051"/>
      <c r="O43" s="1051"/>
      <c r="P43" s="3358" t="str">
        <f>A43</f>
        <v>估价对象XX用房的比较价值（楼面单价，元/平方米）</v>
      </c>
      <c r="Q43" s="3359"/>
      <c r="R43" s="3360" t="e">
        <f>IF(F1="售价",ROUND(IF(D42="简单平均",AVERAGE(R42:V42),R42*F42+T42*H42+V42*J42),0),ROUND(IF(D42="简单平均",AVERAGE(R42:V42),R42*F42+T42*H42+V42*J42),1))</f>
        <v>#DIV/0!</v>
      </c>
      <c r="S43" s="3360"/>
      <c r="T43" s="3360"/>
      <c r="U43" s="3360"/>
      <c r="V43" s="3360"/>
      <c r="W43" s="3360"/>
      <c r="X43" s="698"/>
      <c r="Y43" s="698"/>
      <c r="Z43" s="698"/>
      <c r="AA43" s="698"/>
      <c r="AB43" s="698"/>
      <c r="AC43" s="698"/>
    </row>
    <row r="44" spans="1:29">
      <c r="A44" s="2944"/>
      <c r="B44" s="2944"/>
      <c r="C44" s="2944"/>
      <c r="D44" s="2944"/>
      <c r="E44" s="2944"/>
      <c r="F44" s="2944"/>
      <c r="G44" s="2948"/>
      <c r="H44" s="2944"/>
      <c r="I44" s="2944"/>
      <c r="J44" s="2944"/>
      <c r="K44" s="2949"/>
      <c r="L44" s="1013"/>
      <c r="M44" s="1051"/>
      <c r="N44" s="1051"/>
      <c r="O44" s="1051"/>
    </row>
    <row r="45" spans="1:29">
      <c r="A45" s="2944"/>
      <c r="B45" s="2944"/>
      <c r="C45" s="2944"/>
      <c r="D45" s="2944"/>
      <c r="E45" s="2944"/>
      <c r="F45" s="2944"/>
      <c r="G45" s="2944"/>
      <c r="H45" s="2944"/>
      <c r="I45" s="2944"/>
      <c r="J45" s="2944"/>
      <c r="K45" s="2949"/>
      <c r="L45" s="1013"/>
      <c r="M45" s="1051"/>
      <c r="N45" s="1051"/>
      <c r="O45" s="1051"/>
    </row>
    <row r="46" spans="1:29"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3"/>
      <c r="M46" s="1051"/>
      <c r="N46" s="1051"/>
      <c r="O46" s="1051"/>
    </row>
    <row r="47" spans="1:29"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3"/>
      <c r="M47" s="1051"/>
      <c r="N47" s="1051"/>
      <c r="O47" s="1051"/>
    </row>
    <row r="48" spans="1:29"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4"/>
      <c r="M48" s="1052"/>
      <c r="N48" s="1052"/>
      <c r="O48" s="1052"/>
    </row>
    <row r="49" spans="1:17" s="458"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3"/>
      <c r="M50" s="1051"/>
      <c r="N50" s="1051"/>
      <c r="O50" s="1051"/>
    </row>
    <row r="51" spans="1:17" ht="21.75" thickBot="1">
      <c r="A51" s="702" t="s">
        <v>2492</v>
      </c>
      <c r="B51" s="698"/>
      <c r="C51" s="703"/>
      <c r="D51" s="703"/>
      <c r="E51" s="703"/>
      <c r="F51" s="704"/>
      <c r="G51" s="704"/>
      <c r="H51" s="703"/>
      <c r="I51" s="703"/>
      <c r="J51" s="703"/>
      <c r="K51" s="1065"/>
      <c r="L51" s="1066"/>
      <c r="M51" s="1064"/>
      <c r="N51" s="1064"/>
      <c r="O51" s="1064"/>
      <c r="P51" s="459"/>
      <c r="Q51" s="460"/>
    </row>
    <row r="52" spans="1:17" s="464" customFormat="1" ht="15">
      <c r="A52" s="461" t="s">
        <v>2366</v>
      </c>
      <c r="B52" s="462"/>
      <c r="C52" s="1338" t="str">
        <f>YEAR(C7)&amp;"-"&amp;MONTH(C7)</f>
        <v>2020-12</v>
      </c>
      <c r="D52" s="1339">
        <f>EDATE(C52,-1)</f>
        <v>44136</v>
      </c>
      <c r="E52" s="1339">
        <f t="shared" ref="E52:O52" si="13">EDATE(D52,-1)</f>
        <v>44105</v>
      </c>
      <c r="F52" s="1339">
        <f t="shared" si="13"/>
        <v>44075</v>
      </c>
      <c r="G52" s="1339">
        <f t="shared" si="13"/>
        <v>44044</v>
      </c>
      <c r="H52" s="1339">
        <f t="shared" si="13"/>
        <v>44013</v>
      </c>
      <c r="I52" s="1339">
        <f t="shared" si="13"/>
        <v>43983</v>
      </c>
      <c r="J52" s="1339">
        <f t="shared" si="13"/>
        <v>43952</v>
      </c>
      <c r="K52" s="1339">
        <f t="shared" si="13"/>
        <v>43922</v>
      </c>
      <c r="L52" s="1339">
        <f t="shared" si="13"/>
        <v>43891</v>
      </c>
      <c r="M52" s="1339">
        <f t="shared" si="13"/>
        <v>43862</v>
      </c>
      <c r="N52" s="1339">
        <f t="shared" si="13"/>
        <v>43831</v>
      </c>
      <c r="O52" s="1339">
        <f t="shared" si="13"/>
        <v>43800</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89"/>
      <c r="O54" s="2990"/>
      <c r="P54" s="460"/>
      <c r="Q54" s="460"/>
    </row>
    <row r="55" spans="1:17" s="112" customFormat="1" ht="15">
      <c r="A55" s="477" t="s">
        <v>2368</v>
      </c>
      <c r="B55" s="466"/>
      <c r="C55" s="478" t="s">
        <v>2470</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2406</v>
      </c>
      <c r="B57" s="484" t="s">
        <v>2372</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7"/>
      <c r="B87" s="525"/>
      <c r="C87" s="526"/>
      <c r="D87" s="526"/>
      <c r="E87" s="526"/>
      <c r="F87" s="526"/>
      <c r="G87" s="547"/>
      <c r="H87" s="547"/>
      <c r="I87" s="547"/>
      <c r="J87" s="547"/>
      <c r="K87" s="547"/>
      <c r="L87" s="547"/>
      <c r="M87" s="548"/>
      <c r="N87" s="1058"/>
      <c r="O87" s="1058"/>
      <c r="P87" s="45"/>
      <c r="Q87" s="460"/>
    </row>
    <row r="88" spans="1:17">
      <c r="A88" s="483" t="s">
        <v>2381</v>
      </c>
      <c r="B88" s="484" t="s">
        <v>2430</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58"/>
      <c r="O89" s="1058"/>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2432</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58"/>
      <c r="O94" s="1058"/>
      <c r="P94" s="45"/>
      <c r="Q94" s="460"/>
    </row>
    <row r="95" spans="1:17" ht="15" thickTop="1">
      <c r="A95" s="555"/>
      <c r="B95" s="494" t="s">
        <v>2434</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58"/>
      <c r="O99" s="1058"/>
      <c r="P99" s="45"/>
      <c r="Q99" s="460"/>
    </row>
    <row r="100" spans="1:17" s="429" customFormat="1" ht="15" thickTop="1">
      <c r="A100" s="549"/>
      <c r="B100" s="494" t="s">
        <v>2435</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59"/>
      <c r="O101" s="1059"/>
      <c r="P101" s="514"/>
      <c r="Q101" s="515"/>
    </row>
    <row r="102" spans="1:17" ht="15" thickTop="1">
      <c r="A102" s="555"/>
      <c r="B102" s="494" t="s">
        <v>2436</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58"/>
      <c r="O103" s="1058"/>
      <c r="P103" s="45"/>
      <c r="Q103" s="460"/>
    </row>
    <row r="104" spans="1:17" ht="15" thickTop="1">
      <c r="A104" s="555"/>
      <c r="B104" s="494" t="s">
        <v>2438</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58"/>
      <c r="O106" s="1058"/>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7"/>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86"/>
      <c r="F1" s="2058"/>
      <c r="G1" s="1387" t="s">
        <v>2461</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2148</v>
      </c>
      <c r="B2" s="1319" t="e">
        <f ca="1">IF(C2="——",IF(B37="元/平方米",ROUND(C39*D3/10000,0),ROUND(F3*C39/10000,0)),IF(B37="元/平方米",ROUND(C39*D3/10000,0),ROUND(F3*C39/10000,0))-D2)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1320"/>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2"/>
      <c r="H3" s="1032"/>
      <c r="I3" s="1032"/>
      <c r="J3" s="1032"/>
      <c r="K3" s="1034"/>
      <c r="L3" s="2953"/>
      <c r="M3" s="2954"/>
      <c r="N3" s="2954"/>
      <c r="O3" s="2954"/>
      <c r="P3" s="1320"/>
      <c r="Q3" s="707"/>
      <c r="R3" s="707"/>
      <c r="S3" s="707"/>
      <c r="T3" s="707"/>
      <c r="U3" s="707"/>
      <c r="V3" s="707"/>
      <c r="W3" s="707"/>
      <c r="X3" s="707"/>
      <c r="Y3" s="707"/>
      <c r="Z3" s="707"/>
      <c r="AA3" s="707"/>
      <c r="AB3" s="724"/>
      <c r="AC3" s="721"/>
    </row>
    <row r="4" spans="1:29" ht="15">
      <c r="A4" s="360" t="s">
        <v>2463</v>
      </c>
      <c r="B4" s="361"/>
      <c r="C4" s="3344" t="s">
        <v>2464</v>
      </c>
      <c r="D4" s="3345"/>
      <c r="E4" s="3346" t="s">
        <v>2465</v>
      </c>
      <c r="F4" s="3347"/>
      <c r="G4" s="3344" t="s">
        <v>2466</v>
      </c>
      <c r="H4" s="3345"/>
      <c r="I4" s="3344" t="s">
        <v>2467</v>
      </c>
      <c r="J4" s="3345"/>
      <c r="K4" s="566" t="s">
        <v>2468</v>
      </c>
      <c r="L4" s="2934"/>
      <c r="M4" s="2935"/>
      <c r="N4" s="2935"/>
      <c r="O4" s="2935"/>
      <c r="P4" s="3348" t="s">
        <v>2469</v>
      </c>
      <c r="Q4" s="3349"/>
      <c r="R4" s="3331" t="s">
        <v>2465</v>
      </c>
      <c r="S4" s="3332"/>
      <c r="T4" s="3331" t="s">
        <v>2466</v>
      </c>
      <c r="U4" s="3332"/>
      <c r="V4" s="3356" t="s">
        <v>2467</v>
      </c>
      <c r="W4" s="3356"/>
      <c r="X4" s="1533"/>
      <c r="Y4" s="3331" t="s">
        <v>2469</v>
      </c>
      <c r="Z4" s="3332"/>
      <c r="AA4" s="3326" t="s">
        <v>2465</v>
      </c>
      <c r="AB4" s="3327" t="s">
        <v>2466</v>
      </c>
      <c r="AC4" s="3326" t="s">
        <v>2467</v>
      </c>
    </row>
    <row r="5" spans="1:29" ht="15">
      <c r="A5" s="363"/>
      <c r="B5" s="364"/>
      <c r="C5" s="3337" t="s">
        <v>2360</v>
      </c>
      <c r="D5" s="3338"/>
      <c r="E5" s="3335" t="s">
        <v>2361</v>
      </c>
      <c r="F5" s="3336"/>
      <c r="G5" s="3337" t="s">
        <v>2362</v>
      </c>
      <c r="H5" s="3338"/>
      <c r="I5" s="3337" t="s">
        <v>2363</v>
      </c>
      <c r="J5" s="3338"/>
      <c r="K5" s="566"/>
      <c r="L5" s="2934"/>
      <c r="M5" s="2935"/>
      <c r="N5" s="2935"/>
      <c r="O5" s="2935"/>
      <c r="P5" s="3350"/>
      <c r="Q5" s="3351"/>
      <c r="R5" s="3333"/>
      <c r="S5" s="3334"/>
      <c r="T5" s="3333"/>
      <c r="U5" s="3334"/>
      <c r="V5" s="3356"/>
      <c r="W5" s="3356"/>
      <c r="X5" s="1533"/>
      <c r="Y5" s="3333"/>
      <c r="Z5" s="3334"/>
      <c r="AA5" s="3327"/>
      <c r="AB5" s="3327"/>
      <c r="AC5" s="3327"/>
    </row>
    <row r="6" spans="1:29" ht="15.75" thickBot="1">
      <c r="A6" s="365"/>
      <c r="B6" s="366"/>
      <c r="C6" s="3339" t="s">
        <v>2364</v>
      </c>
      <c r="D6" s="3340"/>
      <c r="E6" s="3341" t="s">
        <v>2364</v>
      </c>
      <c r="F6" s="3342"/>
      <c r="G6" s="3339" t="s">
        <v>2364</v>
      </c>
      <c r="H6" s="3340"/>
      <c r="I6" s="3339" t="s">
        <v>2364</v>
      </c>
      <c r="J6" s="3340"/>
      <c r="K6" s="566" t="s">
        <v>2365</v>
      </c>
      <c r="L6" s="2934"/>
      <c r="M6" s="2935"/>
      <c r="N6" s="2935"/>
      <c r="O6" s="2935"/>
      <c r="P6" s="3352"/>
      <c r="Q6" s="3353"/>
      <c r="R6" s="3333"/>
      <c r="S6" s="3334"/>
      <c r="T6" s="3354"/>
      <c r="U6" s="3355"/>
      <c r="V6" s="3356"/>
      <c r="W6" s="3356"/>
      <c r="X6" s="1533"/>
      <c r="Y6" s="3354"/>
      <c r="Z6" s="3355"/>
      <c r="AA6" s="3328"/>
      <c r="AB6" s="3328"/>
      <c r="AC6" s="3328"/>
    </row>
    <row r="7" spans="1:29" s="112" customFormat="1" ht="15.75" thickBot="1">
      <c r="A7" s="367" t="s">
        <v>2366</v>
      </c>
      <c r="B7" s="368"/>
      <c r="C7" s="369">
        <f>'数据-取费表'!B2</f>
        <v>44187</v>
      </c>
      <c r="D7" s="370">
        <v>100</v>
      </c>
      <c r="E7" s="371"/>
      <c r="F7" s="372">
        <f>SUMIF(48:48,YEAR(E7)&amp;"-"&amp;MONTH(E7),49:49)</f>
        <v>0</v>
      </c>
      <c r="G7" s="371"/>
      <c r="H7" s="370">
        <f>SUMIF(48:48,YEAR(G7)&amp;"-"&amp;MONTH(G7),49:49)</f>
        <v>0</v>
      </c>
      <c r="I7" s="371"/>
      <c r="J7" s="370">
        <f>SUMIF(48:48,YEAR(I7)&amp;"-"&amp;MONTH(I7),49:49)</f>
        <v>0</v>
      </c>
      <c r="K7" s="567"/>
      <c r="L7" s="2936"/>
      <c r="M7" s="2937"/>
      <c r="N7" s="2937"/>
      <c r="O7" s="2937"/>
      <c r="P7" s="3329" t="s">
        <v>2367</v>
      </c>
      <c r="Q7" s="3357"/>
      <c r="R7" s="709" t="s">
        <v>17</v>
      </c>
      <c r="S7" s="710">
        <f t="shared" ref="S7:S14" si="0">F7</f>
        <v>0</v>
      </c>
      <c r="T7" s="709" t="s">
        <v>17</v>
      </c>
      <c r="U7" s="710">
        <f t="shared" ref="U7:U14" si="1">H7</f>
        <v>0</v>
      </c>
      <c r="V7" s="709" t="s">
        <v>17</v>
      </c>
      <c r="W7" s="710">
        <f t="shared" ref="W7:W14" si="2">J7</f>
        <v>0</v>
      </c>
      <c r="X7" s="711"/>
      <c r="Y7" s="3329" t="s">
        <v>2367</v>
      </c>
      <c r="Z7" s="3330"/>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36"/>
      <c r="M8" s="2937"/>
      <c r="N8" s="2937"/>
      <c r="O8" s="2937"/>
      <c r="P8" s="3329" t="s">
        <v>2370</v>
      </c>
      <c r="Q8" s="3330"/>
      <c r="R8" s="709" t="s">
        <v>17</v>
      </c>
      <c r="S8" s="710">
        <f t="shared" si="0"/>
        <v>0</v>
      </c>
      <c r="T8" s="709" t="s">
        <v>17</v>
      </c>
      <c r="U8" s="710">
        <f t="shared" si="1"/>
        <v>0</v>
      </c>
      <c r="V8" s="709" t="s">
        <v>17</v>
      </c>
      <c r="W8" s="710">
        <f t="shared" si="2"/>
        <v>0</v>
      </c>
      <c r="X8" s="711"/>
      <c r="Y8" s="3329" t="s">
        <v>2370</v>
      </c>
      <c r="Z8" s="3330"/>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36"/>
      <c r="M9" s="2937"/>
      <c r="N9" s="2937"/>
      <c r="O9" s="2937"/>
      <c r="P9" s="3361" t="s">
        <v>2373</v>
      </c>
      <c r="Q9" s="1521" t="str">
        <f t="shared" ref="Q9:Q14" si="6">B9</f>
        <v>用途</v>
      </c>
      <c r="R9" s="709" t="s">
        <v>17</v>
      </c>
      <c r="S9" s="710">
        <f t="shared" si="0"/>
        <v>100</v>
      </c>
      <c r="T9" s="709" t="s">
        <v>17</v>
      </c>
      <c r="U9" s="710">
        <f t="shared" si="1"/>
        <v>100</v>
      </c>
      <c r="V9" s="709" t="s">
        <v>17</v>
      </c>
      <c r="W9" s="710">
        <f t="shared" si="2"/>
        <v>100</v>
      </c>
      <c r="X9" s="711"/>
      <c r="Y9" s="3271"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8"/>
      <c r="M10" s="2939"/>
      <c r="N10" s="2939"/>
      <c r="O10" s="2939"/>
      <c r="P10" s="3361"/>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361"/>
      <c r="Q11" s="1521">
        <f t="shared" si="6"/>
        <v>111</v>
      </c>
      <c r="R11" s="709" t="s">
        <v>17</v>
      </c>
      <c r="S11" s="710">
        <f t="shared" si="0"/>
        <v>100</v>
      </c>
      <c r="T11" s="709" t="s">
        <v>17</v>
      </c>
      <c r="U11" s="710">
        <f t="shared" si="1"/>
        <v>100</v>
      </c>
      <c r="V11" s="709" t="s">
        <v>17</v>
      </c>
      <c r="W11" s="710">
        <f t="shared" si="2"/>
        <v>100</v>
      </c>
      <c r="X11" s="711"/>
      <c r="Y11" s="3271"/>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361"/>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361"/>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712">
        <f t="shared" si="5"/>
        <v>1</v>
      </c>
    </row>
    <row r="14" spans="1:29" ht="85.5">
      <c r="A14" s="360" t="s">
        <v>2377</v>
      </c>
      <c r="B14" s="584" t="s">
        <v>2527</v>
      </c>
      <c r="C14" s="2150" t="str">
        <f>IF(B1="工业",估价对象房地状况!G4,估价对象房地状况!C6)</f>
        <v>周边有438路、365路、449路、570路等多条公交线路及地铁16号线永丰站，交通便捷度较好。</v>
      </c>
      <c r="D14" s="399">
        <v>100</v>
      </c>
      <c r="E14" s="400"/>
      <c r="F14" s="401">
        <f>SUMIF(63:63,E15,64:64)-SUMIF(63:63,C15,64:64)+100</f>
        <v>100</v>
      </c>
      <c r="G14" s="402"/>
      <c r="H14" s="399">
        <f>SUMIF(63:63,G15,64:64)-SUMIF(63:63,C15,64:64)+100</f>
        <v>100</v>
      </c>
      <c r="I14" s="400"/>
      <c r="J14" s="399">
        <f>SUMIF(63:63,I15,64:64)-SUMIF(63:63,C15,64:64)+100</f>
        <v>100</v>
      </c>
      <c r="K14" s="570"/>
      <c r="L14" s="2941"/>
      <c r="M14" s="2935"/>
      <c r="N14" s="2935"/>
      <c r="O14" s="2935"/>
      <c r="P14" s="3363" t="s">
        <v>2378</v>
      </c>
      <c r="Q14" s="1530" t="str">
        <f t="shared" si="6"/>
        <v>交通便捷度</v>
      </c>
      <c r="R14" s="713" t="s">
        <v>17</v>
      </c>
      <c r="S14" s="714">
        <f t="shared" si="0"/>
        <v>100</v>
      </c>
      <c r="T14" s="713" t="s">
        <v>17</v>
      </c>
      <c r="U14" s="714">
        <f t="shared" si="1"/>
        <v>100</v>
      </c>
      <c r="V14" s="713" t="s">
        <v>17</v>
      </c>
      <c r="W14" s="714">
        <f t="shared" si="2"/>
        <v>100</v>
      </c>
      <c r="X14" s="1533"/>
      <c r="Y14" s="3363" t="s">
        <v>2378</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1"/>
      <c r="M15" s="2935"/>
      <c r="N15" s="2935"/>
      <c r="O15" s="2935"/>
      <c r="P15" s="3364"/>
      <c r="Q15" s="1530"/>
      <c r="R15" s="713"/>
      <c r="S15" s="714"/>
      <c r="T15" s="713"/>
      <c r="U15" s="714"/>
      <c r="V15" s="713"/>
      <c r="W15" s="714"/>
      <c r="X15" s="1533"/>
      <c r="Y15" s="3364"/>
      <c r="Z15" s="1534"/>
      <c r="AA15" s="1531">
        <v>1</v>
      </c>
      <c r="AB15" s="1531">
        <v>1</v>
      </c>
      <c r="AC15" s="1531">
        <v>1</v>
      </c>
    </row>
    <row r="16" spans="1:29" ht="171">
      <c r="A16" s="363"/>
      <c r="B16" s="586"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SUMIF(65:65,E17,66:66)-SUMIF(65:65,C17,66:66)+100</f>
        <v>100</v>
      </c>
      <c r="G16" s="417"/>
      <c r="H16" s="413">
        <f>SUMIF(65:65,G17,66:66)-SUMIF(65:65,C17,66:66)+100</f>
        <v>100</v>
      </c>
      <c r="I16" s="415"/>
      <c r="J16" s="413">
        <f>SUMIF(65:65,I17,66:66)-SUMIF(65:65,C17,66:66)+100</f>
        <v>100</v>
      </c>
      <c r="K16" s="570"/>
      <c r="L16" s="2941"/>
      <c r="M16" s="2935"/>
      <c r="N16" s="2935"/>
      <c r="O16" s="2935"/>
      <c r="P16" s="3364"/>
      <c r="Q16" s="1530" t="str">
        <f>B16</f>
        <v>公共配套设施</v>
      </c>
      <c r="R16" s="713" t="s">
        <v>17</v>
      </c>
      <c r="S16" s="714">
        <f>F16</f>
        <v>100</v>
      </c>
      <c r="T16" s="713" t="s">
        <v>17</v>
      </c>
      <c r="U16" s="714">
        <f>H16</f>
        <v>100</v>
      </c>
      <c r="V16" s="713" t="s">
        <v>17</v>
      </c>
      <c r="W16" s="714">
        <f>J16</f>
        <v>100</v>
      </c>
      <c r="X16" s="1533"/>
      <c r="Y16" s="3364"/>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1"/>
      <c r="M17" s="2935"/>
      <c r="N17" s="2935"/>
      <c r="O17" s="2935"/>
      <c r="P17" s="3364"/>
      <c r="Q17" s="1530"/>
      <c r="R17" s="713"/>
      <c r="S17" s="714"/>
      <c r="T17" s="713"/>
      <c r="U17" s="714"/>
      <c r="V17" s="713"/>
      <c r="W17" s="714"/>
      <c r="X17" s="1533"/>
      <c r="Y17" s="3364"/>
      <c r="Z17" s="1534"/>
      <c r="AA17" s="1531">
        <v>1</v>
      </c>
      <c r="AB17" s="1531">
        <v>1</v>
      </c>
      <c r="AC17" s="1531">
        <v>1</v>
      </c>
    </row>
    <row r="18" spans="1:29" ht="15">
      <c r="A18" s="363"/>
      <c r="B18" s="588" t="s">
        <v>2507</v>
      </c>
      <c r="C18" s="2079"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1"/>
      <c r="M18" s="2935"/>
      <c r="N18" s="2935"/>
      <c r="O18" s="2935"/>
      <c r="P18" s="3364"/>
      <c r="Q18" s="1530" t="str">
        <f>B18</f>
        <v>基础设施水平</v>
      </c>
      <c r="R18" s="713" t="s">
        <v>17</v>
      </c>
      <c r="S18" s="714">
        <f>F18</f>
        <v>100</v>
      </c>
      <c r="T18" s="713" t="s">
        <v>17</v>
      </c>
      <c r="U18" s="714">
        <f>H18</f>
        <v>100</v>
      </c>
      <c r="V18" s="713" t="s">
        <v>17</v>
      </c>
      <c r="W18" s="714">
        <f>J18</f>
        <v>100</v>
      </c>
      <c r="X18" s="1533"/>
      <c r="Y18" s="3364"/>
      <c r="Z18" s="1534" t="str">
        <f>Q18</f>
        <v>基础设施水平</v>
      </c>
      <c r="AA18" s="1531">
        <f>D18/F18</f>
        <v>1</v>
      </c>
      <c r="AB18" s="1531">
        <f>D18/H18</f>
        <v>1</v>
      </c>
      <c r="AC18" s="1531">
        <f>D18/J18</f>
        <v>1</v>
      </c>
    </row>
    <row r="19" spans="1:29" ht="15">
      <c r="A19" s="363"/>
      <c r="B19" s="588"/>
      <c r="C19" s="2080"/>
      <c r="D19" s="408"/>
      <c r="E19" s="2080"/>
      <c r="F19" s="411"/>
      <c r="G19" s="2080"/>
      <c r="H19" s="406"/>
      <c r="I19" s="405"/>
      <c r="J19" s="406"/>
      <c r="K19" s="1285"/>
      <c r="L19" s="2941"/>
      <c r="M19" s="2935"/>
      <c r="N19" s="2935"/>
      <c r="O19" s="2935"/>
      <c r="P19" s="3364"/>
      <c r="Q19" s="1530"/>
      <c r="R19" s="713"/>
      <c r="S19" s="714"/>
      <c r="T19" s="713"/>
      <c r="U19" s="714"/>
      <c r="V19" s="713"/>
      <c r="W19" s="714"/>
      <c r="X19" s="1533"/>
      <c r="Y19" s="3364"/>
      <c r="Z19" s="1534"/>
      <c r="AA19" s="1531">
        <v>1</v>
      </c>
      <c r="AB19" s="1531">
        <v>1</v>
      </c>
      <c r="AC19" s="1531">
        <v>1</v>
      </c>
    </row>
    <row r="20" spans="1:29" ht="85.5">
      <c r="A20" s="363"/>
      <c r="B20" s="586" t="s">
        <v>2528</v>
      </c>
      <c r="C20" s="2079" t="str">
        <f>IF(B1="工业",估价对象房地状况!G7,估价对象房地状况!C9)</f>
        <v>周边1公里无大型公园，人文环境有北京北大资源研修学院，自然及人文环境一般。</v>
      </c>
      <c r="D20" s="413">
        <v>100</v>
      </c>
      <c r="E20" s="415"/>
      <c r="F20" s="416">
        <f>SUMIF(69:69,E21,70:70)-SUMIF(69:69,C21,70:70)+100</f>
        <v>100</v>
      </c>
      <c r="G20" s="417"/>
      <c r="H20" s="408">
        <f>SUMIF(69:69,G21,70:70)-SUMIF(69:69,C21,70:70)+100</f>
        <v>100</v>
      </c>
      <c r="I20" s="410"/>
      <c r="J20" s="408">
        <f>SUMIF(69:69,I21,70:70)-SUMIF(69:69,C21,70:70)+100</f>
        <v>100</v>
      </c>
      <c r="K20" s="570"/>
      <c r="L20" s="2941"/>
      <c r="M20" s="2935"/>
      <c r="N20" s="2935"/>
      <c r="O20" s="2935"/>
      <c r="P20" s="3364"/>
      <c r="Q20" s="1530" t="str">
        <f>B20</f>
        <v>自然及人文环境</v>
      </c>
      <c r="R20" s="713" t="s">
        <v>17</v>
      </c>
      <c r="S20" s="714">
        <f>F20</f>
        <v>100</v>
      </c>
      <c r="T20" s="713" t="s">
        <v>17</v>
      </c>
      <c r="U20" s="714">
        <f>H20</f>
        <v>100</v>
      </c>
      <c r="V20" s="713" t="s">
        <v>17</v>
      </c>
      <c r="W20" s="714">
        <f>J20</f>
        <v>100</v>
      </c>
      <c r="X20" s="1533"/>
      <c r="Y20" s="3364"/>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1"/>
      <c r="M21" s="2935"/>
      <c r="N21" s="2935"/>
      <c r="O21" s="2935"/>
      <c r="P21" s="3364"/>
      <c r="Q21" s="1530"/>
      <c r="R21" s="713"/>
      <c r="S21" s="714"/>
      <c r="T21" s="713"/>
      <c r="U21" s="714"/>
      <c r="V21" s="713"/>
      <c r="W21" s="714"/>
      <c r="X21" s="1533"/>
      <c r="Y21" s="3364"/>
      <c r="Z21" s="1534"/>
      <c r="AA21" s="1531">
        <v>1</v>
      </c>
      <c r="AB21" s="1531">
        <v>1</v>
      </c>
      <c r="AC21" s="1531">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1"/>
      <c r="M22" s="2935"/>
      <c r="N22" s="2935"/>
      <c r="O22" s="2935"/>
      <c r="P22" s="3364"/>
      <c r="Q22" s="1530" t="str">
        <f>B22</f>
        <v>楼层</v>
      </c>
      <c r="R22" s="713" t="s">
        <v>17</v>
      </c>
      <c r="S22" s="714">
        <f>F22</f>
        <v>100</v>
      </c>
      <c r="T22" s="713" t="s">
        <v>17</v>
      </c>
      <c r="U22" s="714">
        <f>H22</f>
        <v>100</v>
      </c>
      <c r="V22" s="713" t="s">
        <v>17</v>
      </c>
      <c r="W22" s="714">
        <f>J22</f>
        <v>100</v>
      </c>
      <c r="X22" s="1533"/>
      <c r="Y22" s="3364"/>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364"/>
      <c r="Q23" s="1530">
        <f>B23</f>
        <v>111</v>
      </c>
      <c r="R23" s="713" t="s">
        <v>17</v>
      </c>
      <c r="S23" s="714">
        <f>F23</f>
        <v>100</v>
      </c>
      <c r="T23" s="713" t="s">
        <v>17</v>
      </c>
      <c r="U23" s="714">
        <f>H23</f>
        <v>100</v>
      </c>
      <c r="V23" s="713" t="s">
        <v>17</v>
      </c>
      <c r="W23" s="714">
        <f>J23</f>
        <v>100</v>
      </c>
      <c r="X23" s="1533"/>
      <c r="Y23" s="3364"/>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364"/>
      <c r="Q24" s="1530">
        <f t="shared" ref="Q24:Q36" si="8">B24</f>
        <v>111</v>
      </c>
      <c r="R24" s="713" t="s">
        <v>17</v>
      </c>
      <c r="S24" s="714">
        <f>F24</f>
        <v>100</v>
      </c>
      <c r="T24" s="713" t="s">
        <v>17</v>
      </c>
      <c r="U24" s="714">
        <f>H24</f>
        <v>100</v>
      </c>
      <c r="V24" s="713" t="s">
        <v>17</v>
      </c>
      <c r="W24" s="714">
        <f>J24</f>
        <v>100</v>
      </c>
      <c r="X24" s="1533"/>
      <c r="Y24" s="3364"/>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364"/>
      <c r="Q25" s="1521">
        <f t="shared" si="8"/>
        <v>111</v>
      </c>
      <c r="R25" s="709" t="s">
        <v>17</v>
      </c>
      <c r="S25" s="710">
        <f>F25</f>
        <v>100</v>
      </c>
      <c r="T25" s="709" t="s">
        <v>17</v>
      </c>
      <c r="U25" s="710">
        <f>H25</f>
        <v>100</v>
      </c>
      <c r="V25" s="709" t="s">
        <v>17</v>
      </c>
      <c r="W25" s="710">
        <f>J25</f>
        <v>100</v>
      </c>
      <c r="X25" s="711"/>
      <c r="Y25" s="3364"/>
      <c r="Z25" s="55">
        <f>Q25</f>
        <v>111</v>
      </c>
      <c r="AA25" s="1531">
        <f>D25/F25</f>
        <v>1</v>
      </c>
      <c r="AB25" s="1531">
        <f>D25/H25</f>
        <v>1</v>
      </c>
      <c r="AC25" s="1531">
        <f>D25/J25</f>
        <v>1</v>
      </c>
    </row>
    <row r="26" spans="1:29" ht="28.5">
      <c r="A26" s="607" t="s">
        <v>2381</v>
      </c>
      <c r="B26" s="66" t="s">
        <v>2530</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1"/>
      <c r="M26" s="2935"/>
      <c r="N26" s="2935"/>
      <c r="O26" s="2935"/>
      <c r="P26" s="3387" t="s">
        <v>2383</v>
      </c>
      <c r="Q26" s="1530" t="str">
        <f t="shared" si="8"/>
        <v>配套类型</v>
      </c>
      <c r="R26" s="713" t="s">
        <v>17</v>
      </c>
      <c r="S26" s="714">
        <f t="shared" ref="S26:S36" si="9">F26</f>
        <v>100</v>
      </c>
      <c r="T26" s="713" t="s">
        <v>17</v>
      </c>
      <c r="U26" s="714">
        <f t="shared" ref="U26:U36" si="10">H26</f>
        <v>100</v>
      </c>
      <c r="V26" s="713" t="s">
        <v>17</v>
      </c>
      <c r="W26" s="714">
        <f t="shared" ref="W26:W36" si="11">J26</f>
        <v>100</v>
      </c>
      <c r="X26" s="1533"/>
      <c r="Y26" s="3368" t="s">
        <v>2383</v>
      </c>
      <c r="Z26" s="1534" t="str">
        <f t="shared" ref="Z26:Z36" si="12">Q26</f>
        <v>配套类型</v>
      </c>
      <c r="AA26" s="1531">
        <f t="shared" si="3"/>
        <v>1</v>
      </c>
      <c r="AB26" s="1531">
        <f t="shared" si="4"/>
        <v>1</v>
      </c>
      <c r="AC26" s="1531">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368"/>
      <c r="Q27" s="715" t="str">
        <f t="shared" si="8"/>
        <v>项目停车位配比</v>
      </c>
      <c r="R27" s="716" t="s">
        <v>17</v>
      </c>
      <c r="S27" s="717">
        <f t="shared" si="9"/>
        <v>100</v>
      </c>
      <c r="T27" s="716" t="s">
        <v>17</v>
      </c>
      <c r="U27" s="717">
        <f t="shared" si="10"/>
        <v>100</v>
      </c>
      <c r="V27" s="716" t="s">
        <v>17</v>
      </c>
      <c r="W27" s="717">
        <f t="shared" si="11"/>
        <v>100</v>
      </c>
      <c r="X27" s="718"/>
      <c r="Y27" s="3368"/>
      <c r="Z27" s="719" t="str">
        <f t="shared" si="12"/>
        <v>项目停车位配比</v>
      </c>
      <c r="AA27" s="1531">
        <f t="shared" si="3"/>
        <v>1</v>
      </c>
      <c r="AB27" s="1531">
        <f t="shared" si="4"/>
        <v>1</v>
      </c>
      <c r="AC27" s="1531">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1"/>
      <c r="M28" s="2935"/>
      <c r="N28" s="2935"/>
      <c r="O28" s="2935"/>
      <c r="P28" s="3368"/>
      <c r="Q28" s="1530" t="str">
        <f t="shared" si="8"/>
        <v>公共部分装修</v>
      </c>
      <c r="R28" s="713" t="s">
        <v>17</v>
      </c>
      <c r="S28" s="714">
        <f t="shared" si="9"/>
        <v>100</v>
      </c>
      <c r="T28" s="713" t="s">
        <v>17</v>
      </c>
      <c r="U28" s="714">
        <f t="shared" si="10"/>
        <v>100</v>
      </c>
      <c r="V28" s="713" t="s">
        <v>17</v>
      </c>
      <c r="W28" s="714">
        <f t="shared" si="11"/>
        <v>100</v>
      </c>
      <c r="X28" s="1533"/>
      <c r="Y28" s="3368"/>
      <c r="Z28" s="1534" t="str">
        <f t="shared" si="12"/>
        <v>公共部分装修</v>
      </c>
      <c r="AA28" s="1531">
        <f t="shared" si="3"/>
        <v>1</v>
      </c>
      <c r="AB28" s="1531">
        <f t="shared" si="4"/>
        <v>1</v>
      </c>
      <c r="AC28" s="1531">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1"/>
      <c r="M29" s="2935"/>
      <c r="N29" s="2935"/>
      <c r="O29" s="2935"/>
      <c r="P29" s="3368"/>
      <c r="Q29" s="1530" t="str">
        <f t="shared" si="8"/>
        <v>成新率</v>
      </c>
      <c r="R29" s="713" t="s">
        <v>17</v>
      </c>
      <c r="S29" s="714" t="e">
        <f t="shared" si="9"/>
        <v>#N/A</v>
      </c>
      <c r="T29" s="713" t="s">
        <v>17</v>
      </c>
      <c r="U29" s="714" t="e">
        <f t="shared" si="10"/>
        <v>#N/A</v>
      </c>
      <c r="V29" s="713" t="s">
        <v>17</v>
      </c>
      <c r="W29" s="714" t="e">
        <f t="shared" si="11"/>
        <v>#N/A</v>
      </c>
      <c r="X29" s="1533"/>
      <c r="Y29" s="3368"/>
      <c r="Z29" s="1534" t="str">
        <f t="shared" si="12"/>
        <v>成新率</v>
      </c>
      <c r="AA29" s="1531" t="e">
        <f t="shared" si="3"/>
        <v>#N/A</v>
      </c>
      <c r="AB29" s="1531" t="e">
        <f t="shared" si="4"/>
        <v>#N/A</v>
      </c>
      <c r="AC29" s="1531"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1"/>
      <c r="M30" s="2935"/>
      <c r="N30" s="2935"/>
      <c r="O30" s="2935"/>
      <c r="P30" s="3368"/>
      <c r="Q30" s="1530" t="str">
        <f t="shared" si="8"/>
        <v>物业等级</v>
      </c>
      <c r="R30" s="713" t="s">
        <v>17</v>
      </c>
      <c r="S30" s="714">
        <f t="shared" si="9"/>
        <v>100</v>
      </c>
      <c r="T30" s="713" t="s">
        <v>17</v>
      </c>
      <c r="U30" s="714">
        <f t="shared" si="10"/>
        <v>100</v>
      </c>
      <c r="V30" s="713" t="s">
        <v>17</v>
      </c>
      <c r="W30" s="714">
        <f t="shared" si="11"/>
        <v>100</v>
      </c>
      <c r="X30" s="1533"/>
      <c r="Y30" s="3368"/>
      <c r="Z30" s="1534" t="str">
        <f t="shared" si="12"/>
        <v>物业等级</v>
      </c>
      <c r="AA30" s="1531">
        <f t="shared" si="3"/>
        <v>1</v>
      </c>
      <c r="AB30" s="1531">
        <f t="shared" si="4"/>
        <v>1</v>
      </c>
      <c r="AC30" s="1531">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6"/>
      <c r="M31" s="2937"/>
      <c r="N31" s="2937"/>
      <c r="O31" s="2937"/>
      <c r="P31" s="3368"/>
      <c r="Q31" s="1521" t="str">
        <f t="shared" si="8"/>
        <v>停车位面积</v>
      </c>
      <c r="R31" s="709" t="s">
        <v>17</v>
      </c>
      <c r="S31" s="710" t="e">
        <f t="shared" si="9"/>
        <v>#N/A</v>
      </c>
      <c r="T31" s="709" t="s">
        <v>17</v>
      </c>
      <c r="U31" s="710" t="e">
        <f t="shared" si="10"/>
        <v>#N/A</v>
      </c>
      <c r="V31" s="709" t="s">
        <v>17</v>
      </c>
      <c r="W31" s="710" t="e">
        <f t="shared" si="11"/>
        <v>#N/A</v>
      </c>
      <c r="X31" s="711"/>
      <c r="Y31" s="3368"/>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1"/>
      <c r="M32" s="2935"/>
      <c r="N32" s="2935"/>
      <c r="O32" s="2935"/>
      <c r="P32" s="3368" t="s">
        <v>2383</v>
      </c>
      <c r="Q32" s="1530" t="str">
        <f t="shared" si="8"/>
        <v>车位类型</v>
      </c>
      <c r="R32" s="713" t="s">
        <v>17</v>
      </c>
      <c r="S32" s="714">
        <f t="shared" si="9"/>
        <v>100</v>
      </c>
      <c r="T32" s="713" t="s">
        <v>17</v>
      </c>
      <c r="U32" s="714">
        <f t="shared" si="10"/>
        <v>100</v>
      </c>
      <c r="V32" s="713" t="s">
        <v>17</v>
      </c>
      <c r="W32" s="714">
        <f t="shared" si="11"/>
        <v>100</v>
      </c>
      <c r="X32" s="1533"/>
      <c r="Y32" s="3368" t="s">
        <v>2383</v>
      </c>
      <c r="Z32" s="1534" t="str">
        <f t="shared" si="12"/>
        <v>车位类型</v>
      </c>
      <c r="AA32" s="1531">
        <f t="shared" si="3"/>
        <v>1</v>
      </c>
      <c r="AB32" s="1531">
        <f t="shared" si="4"/>
        <v>1</v>
      </c>
      <c r="AC32" s="1531">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1"/>
      <c r="M33" s="2935"/>
      <c r="N33" s="2935"/>
      <c r="O33" s="2935"/>
      <c r="P33" s="3368"/>
      <c r="Q33" s="1530" t="str">
        <f t="shared" si="8"/>
        <v>是否直接入户</v>
      </c>
      <c r="R33" s="713" t="s">
        <v>17</v>
      </c>
      <c r="S33" s="714">
        <f t="shared" si="9"/>
        <v>100</v>
      </c>
      <c r="T33" s="713" t="s">
        <v>17</v>
      </c>
      <c r="U33" s="714">
        <f t="shared" si="10"/>
        <v>100</v>
      </c>
      <c r="V33" s="713" t="s">
        <v>17</v>
      </c>
      <c r="W33" s="714">
        <f t="shared" si="11"/>
        <v>100</v>
      </c>
      <c r="X33" s="1533"/>
      <c r="Y33" s="3368"/>
      <c r="Z33" s="1534" t="str">
        <f t="shared" si="12"/>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368"/>
      <c r="Q34" s="1530">
        <f t="shared" si="8"/>
        <v>111</v>
      </c>
      <c r="R34" s="713" t="s">
        <v>17</v>
      </c>
      <c r="S34" s="714">
        <f t="shared" si="9"/>
        <v>100</v>
      </c>
      <c r="T34" s="713" t="s">
        <v>17</v>
      </c>
      <c r="U34" s="714">
        <f t="shared" si="10"/>
        <v>100</v>
      </c>
      <c r="V34" s="713" t="s">
        <v>17</v>
      </c>
      <c r="W34" s="714">
        <f t="shared" si="11"/>
        <v>100</v>
      </c>
      <c r="X34" s="1533"/>
      <c r="Y34" s="3368"/>
      <c r="Z34" s="1534">
        <f t="shared" si="12"/>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368"/>
      <c r="Q35" s="715">
        <f t="shared" si="8"/>
        <v>111</v>
      </c>
      <c r="R35" s="716" t="s">
        <v>17</v>
      </c>
      <c r="S35" s="717">
        <f t="shared" si="9"/>
        <v>100</v>
      </c>
      <c r="T35" s="716" t="s">
        <v>17</v>
      </c>
      <c r="U35" s="717">
        <f t="shared" si="10"/>
        <v>100</v>
      </c>
      <c r="V35" s="716" t="s">
        <v>17</v>
      </c>
      <c r="W35" s="717">
        <f t="shared" si="11"/>
        <v>100</v>
      </c>
      <c r="X35" s="718"/>
      <c r="Y35" s="3368"/>
      <c r="Z35" s="719">
        <f t="shared" si="12"/>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368"/>
      <c r="Q36" s="1530">
        <f t="shared" si="8"/>
        <v>111</v>
      </c>
      <c r="R36" s="713" t="s">
        <v>17</v>
      </c>
      <c r="S36" s="714">
        <f t="shared" si="9"/>
        <v>100</v>
      </c>
      <c r="T36" s="713" t="s">
        <v>17</v>
      </c>
      <c r="U36" s="714">
        <f t="shared" si="10"/>
        <v>100</v>
      </c>
      <c r="V36" s="713" t="s">
        <v>17</v>
      </c>
      <c r="W36" s="714">
        <f t="shared" si="11"/>
        <v>100</v>
      </c>
      <c r="X36" s="1533"/>
      <c r="Y36" s="3368"/>
      <c r="Z36" s="1534">
        <f t="shared" si="12"/>
        <v>111</v>
      </c>
      <c r="AA36" s="1531">
        <f t="shared" si="3"/>
        <v>1</v>
      </c>
      <c r="AB36" s="1531">
        <f t="shared" si="4"/>
        <v>1</v>
      </c>
      <c r="AC36" s="1531">
        <f t="shared" si="5"/>
        <v>1</v>
      </c>
    </row>
    <row r="37" spans="1:29" ht="15">
      <c r="A37" s="437" t="s">
        <v>2538</v>
      </c>
      <c r="B37" s="2152" t="s">
        <v>2539</v>
      </c>
      <c r="C37" s="1309" t="s">
        <v>1</v>
      </c>
      <c r="D37" s="1310"/>
      <c r="E37" s="1311"/>
      <c r="F37" s="1312"/>
      <c r="G37" s="1313"/>
      <c r="H37" s="1314"/>
      <c r="I37" s="1311"/>
      <c r="J37" s="1314"/>
      <c r="K37" s="575"/>
      <c r="L37" s="2943"/>
      <c r="M37" s="2944"/>
      <c r="N37" s="2935"/>
      <c r="O37" s="2944"/>
      <c r="P37" s="3361" t="str">
        <f>A37</f>
        <v>成交单价</v>
      </c>
      <c r="Q37" s="3361"/>
      <c r="R37" s="3362">
        <f>E37</f>
        <v>0</v>
      </c>
      <c r="S37" s="3362"/>
      <c r="T37" s="3362">
        <f>G37</f>
        <v>0</v>
      </c>
      <c r="U37" s="3362"/>
      <c r="V37" s="3362">
        <f>I37</f>
        <v>0</v>
      </c>
      <c r="W37" s="3362"/>
      <c r="X37" s="698"/>
      <c r="Y37" s="720"/>
      <c r="Z37" s="698"/>
      <c r="AA37" s="698"/>
      <c r="AB37" s="698"/>
      <c r="AC37" s="698"/>
    </row>
    <row r="38" spans="1:29" ht="15.75" thickBot="1">
      <c r="A38" s="444" t="s">
        <v>2540</v>
      </c>
      <c r="B38" s="445" t="str">
        <f>B37</f>
        <v>元/车位</v>
      </c>
      <c r="C38" s="1315" t="e">
        <f>R39</f>
        <v>#DIV/0!</v>
      </c>
      <c r="D38" s="2531" t="s">
        <v>2878</v>
      </c>
      <c r="E38" s="1316" t="e">
        <f>R38</f>
        <v>#DIV/0!</v>
      </c>
      <c r="F38" s="2532"/>
      <c r="G38" s="1315" t="e">
        <f>T38</f>
        <v>#DIV/0!</v>
      </c>
      <c r="H38" s="2532"/>
      <c r="I38" s="1316" t="e">
        <f>V38</f>
        <v>#DIV/0!</v>
      </c>
      <c r="J38" s="2532"/>
      <c r="K38" s="2534">
        <f>F38+H38+J38</f>
        <v>0</v>
      </c>
      <c r="L38" s="2943"/>
      <c r="M38" s="2944"/>
      <c r="N38" s="2944"/>
      <c r="O38" s="2944"/>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698"/>
      <c r="Y38" s="698"/>
      <c r="Z38" s="698"/>
      <c r="AA38" s="698"/>
      <c r="AB38" s="698"/>
      <c r="AC38" s="698"/>
    </row>
    <row r="39" spans="1:29" ht="15.75" thickBot="1">
      <c r="A39" s="448" t="s">
        <v>2541</v>
      </c>
      <c r="B39" s="449"/>
      <c r="C39" s="1318" t="e">
        <f>R39</f>
        <v>#DIV/0!</v>
      </c>
      <c r="D39" s="1318"/>
      <c r="E39" s="1318"/>
      <c r="F39" s="1318"/>
      <c r="G39" s="1318"/>
      <c r="H39" s="1318"/>
      <c r="I39" s="1318"/>
      <c r="J39" s="1318"/>
      <c r="K39" s="576"/>
      <c r="L39" s="2943"/>
      <c r="M39" s="2944"/>
      <c r="N39" s="2944"/>
      <c r="O39" s="2944"/>
      <c r="P39" s="3358" t="str">
        <f>A39</f>
        <v>估价对象XX用房的比较价值（楼面单价，元/平方米）</v>
      </c>
      <c r="Q39" s="3359"/>
      <c r="R39" s="3388" t="e">
        <f>IF(F1="售价",ROUND(IF(D38="简单平均",AVERAGE(R38:W38),R38*F38+T38*H38+V38*J38),0),ROUND(IF(D38="简单平均",AVERAGE(R38:V38),R38*F38+T38*H38+V38*J38),1))</f>
        <v>#DIV/0!</v>
      </c>
      <c r="S39" s="3388"/>
      <c r="T39" s="3388"/>
      <c r="U39" s="3388"/>
      <c r="V39" s="3388"/>
      <c r="W39" s="3388"/>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8" customFormat="1" ht="13.5" customHeight="1">
      <c r="A44" s="2947"/>
      <c r="B44" s="2947"/>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2545</v>
      </c>
      <c r="B47" s="1051"/>
      <c r="C47" s="1064"/>
      <c r="D47" s="1064"/>
      <c r="E47" s="1064"/>
      <c r="F47" s="1322"/>
      <c r="G47" s="1322"/>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4" customFormat="1" ht="15">
      <c r="A48" s="461" t="s">
        <v>2546</v>
      </c>
      <c r="B48" s="462"/>
      <c r="C48" s="1338" t="str">
        <f>YEAR(C7)&amp;"-"&amp;MONTH(C7)</f>
        <v>2020-12</v>
      </c>
      <c r="D48" s="1339">
        <f>EDATE(C48,-1)</f>
        <v>44136</v>
      </c>
      <c r="E48" s="1339">
        <f t="shared" ref="E48:O48" si="13">EDATE(D48,-1)</f>
        <v>44105</v>
      </c>
      <c r="F48" s="1339">
        <f t="shared" si="13"/>
        <v>44075</v>
      </c>
      <c r="G48" s="1339">
        <f t="shared" si="13"/>
        <v>44044</v>
      </c>
      <c r="H48" s="1339">
        <f t="shared" si="13"/>
        <v>44013</v>
      </c>
      <c r="I48" s="1339">
        <f t="shared" si="13"/>
        <v>43983</v>
      </c>
      <c r="J48" s="1339">
        <f t="shared" si="13"/>
        <v>43952</v>
      </c>
      <c r="K48" s="1339">
        <f t="shared" si="13"/>
        <v>43922</v>
      </c>
      <c r="L48" s="1339">
        <f t="shared" si="13"/>
        <v>43891</v>
      </c>
      <c r="M48" s="1339">
        <f t="shared" si="13"/>
        <v>43862</v>
      </c>
      <c r="N48" s="1339">
        <f t="shared" si="13"/>
        <v>43831</v>
      </c>
      <c r="O48" s="1339">
        <f t="shared" si="13"/>
        <v>43800</v>
      </c>
      <c r="P48" s="2978"/>
      <c r="Q48" s="2960"/>
      <c r="R48" s="2960"/>
      <c r="S48" s="2960"/>
      <c r="T48" s="2960"/>
      <c r="U48" s="2960"/>
      <c r="V48" s="2960"/>
      <c r="W48" s="2960"/>
      <c r="X48" s="2960"/>
      <c r="Y48" s="2960"/>
      <c r="Z48" s="2960"/>
      <c r="AA48" s="2960"/>
      <c r="AB48" s="2960"/>
      <c r="AC48" s="2960"/>
    </row>
    <row r="49" spans="1:29" s="112" customFormat="1" ht="15">
      <c r="A49" s="465"/>
      <c r="B49" s="466"/>
      <c r="C49" s="1332">
        <v>100</v>
      </c>
      <c r="D49" s="468"/>
      <c r="E49" s="468"/>
      <c r="F49" s="468"/>
      <c r="G49" s="468"/>
      <c r="H49" s="468"/>
      <c r="I49" s="468"/>
      <c r="J49" s="468"/>
      <c r="K49" s="468"/>
      <c r="L49" s="468"/>
      <c r="M49" s="469"/>
      <c r="N49" s="468"/>
      <c r="O49" s="469"/>
      <c r="P49" s="2979"/>
      <c r="Q49" s="2878"/>
      <c r="R49" s="2878"/>
      <c r="S49" s="2878"/>
      <c r="T49" s="2878"/>
      <c r="U49" s="2878"/>
      <c r="V49" s="2878"/>
      <c r="W49" s="2878"/>
      <c r="X49" s="2878"/>
      <c r="Y49" s="2878"/>
      <c r="Z49" s="2878"/>
      <c r="AA49" s="2878"/>
      <c r="AB49" s="2878"/>
      <c r="AC49" s="2878"/>
    </row>
    <row r="50" spans="1:29" s="112" customFormat="1" ht="15.75" thickBot="1">
      <c r="A50" s="471" t="s">
        <v>2403</v>
      </c>
      <c r="B50" s="472"/>
      <c r="C50" s="473"/>
      <c r="D50" s="474"/>
      <c r="E50" s="474"/>
      <c r="F50" s="474"/>
      <c r="G50" s="474"/>
      <c r="H50" s="474"/>
      <c r="I50" s="474"/>
      <c r="J50" s="474"/>
      <c r="K50" s="474"/>
      <c r="L50" s="474"/>
      <c r="M50" s="475"/>
      <c r="N50" s="474"/>
      <c r="O50" s="475"/>
      <c r="P50" s="2979"/>
      <c r="Q50" s="2958"/>
      <c r="R50" s="2878"/>
      <c r="S50" s="2878"/>
      <c r="T50" s="2878"/>
      <c r="U50" s="2878"/>
      <c r="V50" s="2878"/>
      <c r="W50" s="2878"/>
      <c r="X50" s="2878"/>
      <c r="Y50" s="2878"/>
      <c r="Z50" s="2878"/>
      <c r="AA50" s="2878"/>
      <c r="AB50" s="2878"/>
      <c r="AC50" s="2878"/>
    </row>
    <row r="51" spans="1:29" s="112" customFormat="1" ht="15">
      <c r="A51" s="477" t="s">
        <v>2368</v>
      </c>
      <c r="B51" s="466"/>
      <c r="C51" s="478" t="s">
        <v>2470</v>
      </c>
      <c r="D51" s="479"/>
      <c r="E51" s="479"/>
      <c r="F51" s="479"/>
      <c r="G51" s="479"/>
      <c r="H51" s="479"/>
      <c r="I51" s="479"/>
      <c r="J51" s="479"/>
      <c r="K51" s="479"/>
      <c r="L51" s="480"/>
      <c r="M51" s="481"/>
      <c r="N51" s="2971"/>
      <c r="O51" s="2971"/>
      <c r="P51" s="2980"/>
      <c r="Q51" s="2958"/>
      <c r="R51" s="2878"/>
      <c r="S51" s="2878"/>
      <c r="T51" s="2878"/>
      <c r="U51" s="2878"/>
      <c r="V51" s="2878"/>
      <c r="W51" s="2878"/>
      <c r="X51" s="2878"/>
      <c r="Y51" s="2878"/>
      <c r="Z51" s="2878"/>
      <c r="AA51" s="2878"/>
      <c r="AB51" s="2878"/>
      <c r="AC51" s="2878"/>
    </row>
    <row r="52" spans="1:29" s="112" customFormat="1" ht="15.75" thickBot="1">
      <c r="A52" s="477"/>
      <c r="B52" s="466"/>
      <c r="C52" s="594">
        <v>100</v>
      </c>
      <c r="D52" s="468"/>
      <c r="E52" s="468"/>
      <c r="F52" s="468"/>
      <c r="G52" s="468"/>
      <c r="H52" s="468"/>
      <c r="I52" s="468"/>
      <c r="J52" s="468"/>
      <c r="K52" s="468"/>
      <c r="L52" s="468"/>
      <c r="M52" s="470"/>
      <c r="N52" s="2971"/>
      <c r="O52" s="2971"/>
      <c r="P52" s="2979"/>
      <c r="Q52" s="2958"/>
      <c r="R52" s="2878"/>
      <c r="S52" s="2878"/>
      <c r="T52" s="2878"/>
      <c r="U52" s="2878"/>
      <c r="V52" s="2878"/>
      <c r="W52" s="2878"/>
      <c r="X52" s="2878"/>
      <c r="Y52" s="2878"/>
      <c r="Z52" s="2878"/>
      <c r="AA52" s="2878"/>
      <c r="AB52" s="2878"/>
      <c r="AC52" s="2878"/>
    </row>
    <row r="53" spans="1:29">
      <c r="A53" s="483" t="s">
        <v>2406</v>
      </c>
      <c r="B53" s="484" t="s">
        <v>2372</v>
      </c>
      <c r="C53" s="485">
        <f>C9</f>
        <v>0</v>
      </c>
      <c r="D53" s="486"/>
      <c r="E53" s="486"/>
      <c r="F53" s="486"/>
      <c r="G53" s="486"/>
      <c r="H53" s="486"/>
      <c r="I53" s="486"/>
      <c r="J53" s="486"/>
      <c r="K53" s="487"/>
      <c r="L53" s="488"/>
      <c r="M53" s="489"/>
      <c r="N53" s="2972"/>
      <c r="O53" s="2972"/>
      <c r="P53" s="2981"/>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3"/>
      <c r="O54" s="2973"/>
      <c r="P54" s="2981"/>
      <c r="Q54" s="2958"/>
      <c r="R54" s="2944"/>
      <c r="S54" s="2944"/>
      <c r="T54" s="2944"/>
      <c r="U54" s="2944"/>
      <c r="V54" s="2944"/>
      <c r="W54" s="2944"/>
      <c r="X54" s="2944"/>
      <c r="Y54" s="2944"/>
      <c r="Z54" s="2944"/>
      <c r="AA54" s="2944"/>
      <c r="AB54" s="2944"/>
      <c r="AC54" s="2944"/>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2"/>
      <c r="O55" s="2972"/>
      <c r="P55" s="2981"/>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3"/>
      <c r="O56" s="2973"/>
      <c r="P56" s="2981"/>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2"/>
      <c r="O57" s="2972"/>
      <c r="P57" s="2981"/>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3"/>
      <c r="O58" s="2973"/>
      <c r="P58" s="2981"/>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4"/>
      <c r="O59" s="2974"/>
      <c r="P59" s="2982"/>
      <c r="Q59" s="2965"/>
      <c r="R59" s="2966"/>
      <c r="S59" s="2966"/>
      <c r="T59" s="2966"/>
      <c r="U59" s="2966"/>
      <c r="V59" s="2966"/>
      <c r="W59" s="2966"/>
      <c r="X59" s="2966"/>
      <c r="Y59" s="2966"/>
      <c r="Z59" s="2966"/>
      <c r="AA59" s="2966"/>
      <c r="AB59" s="2966"/>
      <c r="AC59" s="2966"/>
    </row>
    <row r="60" spans="1:29" s="429" customFormat="1" ht="15.75" thickBot="1">
      <c r="A60" s="509"/>
      <c r="B60" s="499"/>
      <c r="C60" s="516"/>
      <c r="D60" s="492"/>
      <c r="E60" s="492"/>
      <c r="F60" s="492"/>
      <c r="G60" s="492"/>
      <c r="H60" s="492"/>
      <c r="I60" s="492"/>
      <c r="J60" s="492"/>
      <c r="K60" s="492"/>
      <c r="L60" s="492"/>
      <c r="M60" s="493"/>
      <c r="N60" s="2973"/>
      <c r="O60" s="2973"/>
      <c r="P60" s="2982"/>
      <c r="Q60" s="2965"/>
      <c r="R60" s="2966"/>
      <c r="S60" s="2966"/>
      <c r="T60" s="2966"/>
      <c r="U60" s="2966"/>
      <c r="V60" s="2966"/>
      <c r="W60" s="2966"/>
      <c r="X60" s="2966"/>
      <c r="Y60" s="2966"/>
      <c r="Z60" s="2966"/>
      <c r="AA60" s="2966"/>
      <c r="AB60" s="2966"/>
      <c r="AC60" s="2966"/>
    </row>
    <row r="61" spans="1:29" s="429" customFormat="1" ht="15.75" thickTop="1">
      <c r="A61" s="509"/>
      <c r="B61" s="494">
        <f>B13</f>
        <v>111</v>
      </c>
      <c r="C61" s="510"/>
      <c r="D61" s="510"/>
      <c r="E61" s="510"/>
      <c r="F61" s="510"/>
      <c r="G61" s="510"/>
      <c r="H61" s="511"/>
      <c r="I61" s="511"/>
      <c r="J61" s="511"/>
      <c r="K61" s="511"/>
      <c r="L61" s="512"/>
      <c r="M61" s="513"/>
      <c r="N61" s="2974"/>
      <c r="O61" s="2974"/>
      <c r="P61" s="2983"/>
      <c r="Q61" s="2968"/>
      <c r="R61" s="2966"/>
      <c r="S61" s="2966"/>
      <c r="T61" s="2966"/>
      <c r="U61" s="2966"/>
      <c r="V61" s="2966"/>
      <c r="W61" s="2966"/>
      <c r="X61" s="2966"/>
      <c r="Y61" s="2966"/>
      <c r="Z61" s="2966"/>
      <c r="AA61" s="2966"/>
      <c r="AB61" s="2966"/>
      <c r="AC61" s="2966"/>
    </row>
    <row r="62" spans="1:29" s="429" customFormat="1" ht="15.75" thickBot="1">
      <c r="A62" s="509"/>
      <c r="B62" s="499"/>
      <c r="C62" s="516"/>
      <c r="D62" s="516"/>
      <c r="E62" s="516"/>
      <c r="F62" s="516"/>
      <c r="G62" s="516"/>
      <c r="H62" s="518"/>
      <c r="I62" s="518"/>
      <c r="J62" s="518"/>
      <c r="K62" s="518"/>
      <c r="L62" s="518"/>
      <c r="M62" s="519"/>
      <c r="N62" s="2974"/>
      <c r="O62" s="2974"/>
      <c r="P62" s="2982"/>
      <c r="Q62" s="2965"/>
      <c r="R62" s="2966"/>
      <c r="S62" s="2966"/>
      <c r="T62" s="2966"/>
      <c r="U62" s="2966"/>
      <c r="V62" s="2966"/>
      <c r="W62" s="2966"/>
      <c r="X62" s="2966"/>
      <c r="Y62" s="2966"/>
      <c r="Z62" s="2966"/>
      <c r="AA62" s="2966"/>
      <c r="AB62" s="2966"/>
      <c r="AC62" s="2966"/>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2"/>
      <c r="O63" s="2972"/>
      <c r="P63" s="2985"/>
      <c r="Q63" s="2958"/>
      <c r="R63" s="2944"/>
      <c r="S63" s="2944"/>
      <c r="T63" s="2944"/>
      <c r="U63" s="2944"/>
      <c r="V63" s="2944"/>
      <c r="W63" s="2944"/>
      <c r="X63" s="2944"/>
      <c r="Y63" s="2944"/>
      <c r="Z63" s="2944"/>
      <c r="AA63" s="2944"/>
      <c r="AB63" s="2944"/>
      <c r="AC63" s="294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3"/>
      <c r="O64" s="2973"/>
      <c r="P64" s="2981"/>
      <c r="Q64" s="2958"/>
      <c r="R64" s="2944"/>
      <c r="S64" s="2944"/>
      <c r="T64" s="2944"/>
      <c r="U64" s="2944"/>
      <c r="V64" s="2944"/>
      <c r="W64" s="2944"/>
      <c r="X64" s="2944"/>
      <c r="Y64" s="2944"/>
      <c r="Z64" s="2944"/>
      <c r="AA64" s="2944"/>
      <c r="AB64" s="2944"/>
      <c r="AC64" s="2944"/>
    </row>
    <row r="65" spans="1:29" ht="15.75" thickTop="1">
      <c r="A65" s="490"/>
      <c r="B65" s="494" t="s">
        <v>2421</v>
      </c>
      <c r="C65" s="534" t="s">
        <v>2415</v>
      </c>
      <c r="D65" s="534" t="s">
        <v>2416</v>
      </c>
      <c r="E65" s="534" t="s">
        <v>2417</v>
      </c>
      <c r="F65" s="534" t="s">
        <v>2418</v>
      </c>
      <c r="G65" s="534" t="s">
        <v>2419</v>
      </c>
      <c r="H65" s="495"/>
      <c r="I65" s="495"/>
      <c r="J65" s="495"/>
      <c r="K65" s="496"/>
      <c r="L65" s="497"/>
      <c r="M65" s="498"/>
      <c r="N65" s="2972"/>
      <c r="O65" s="2972"/>
      <c r="P65" s="2981"/>
      <c r="Q65" s="2958"/>
      <c r="R65" s="2944"/>
      <c r="S65" s="2944"/>
      <c r="T65" s="2944"/>
      <c r="U65" s="2944"/>
      <c r="V65" s="2944"/>
      <c r="W65" s="2944"/>
      <c r="X65" s="2944"/>
      <c r="Y65" s="2944"/>
      <c r="Z65" s="2944"/>
      <c r="AA65" s="2944"/>
      <c r="AB65" s="2944"/>
      <c r="AC65" s="294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3"/>
      <c r="O66" s="2973"/>
      <c r="P66" s="2981"/>
      <c r="Q66" s="2958"/>
      <c r="R66" s="2944"/>
      <c r="S66" s="2944"/>
      <c r="T66" s="2944"/>
      <c r="U66" s="2944"/>
      <c r="V66" s="2944"/>
      <c r="W66" s="2944"/>
      <c r="X66" s="2944"/>
      <c r="Y66" s="2944"/>
      <c r="Z66" s="2944"/>
      <c r="AA66" s="2944"/>
      <c r="AB66" s="2944"/>
      <c r="AC66" s="2944"/>
    </row>
    <row r="67" spans="1:29" ht="15.75" thickTop="1">
      <c r="A67" s="490"/>
      <c r="B67" s="502" t="s">
        <v>2507</v>
      </c>
      <c r="C67" s="615" t="s">
        <v>2493</v>
      </c>
      <c r="D67" s="615" t="s">
        <v>2494</v>
      </c>
      <c r="E67" s="615" t="s">
        <v>2495</v>
      </c>
      <c r="F67" s="615" t="s">
        <v>2496</v>
      </c>
      <c r="G67" s="615" t="s">
        <v>2497</v>
      </c>
      <c r="H67" s="495"/>
      <c r="I67" s="495"/>
      <c r="J67" s="495"/>
      <c r="K67" s="495"/>
      <c r="L67" s="495"/>
      <c r="M67" s="1284"/>
      <c r="N67" s="2973"/>
      <c r="O67" s="2973"/>
      <c r="P67" s="2981"/>
      <c r="Q67" s="2958"/>
      <c r="R67" s="2944"/>
      <c r="S67" s="2944"/>
      <c r="T67" s="2944"/>
      <c r="U67" s="2944"/>
      <c r="V67" s="2944"/>
      <c r="W67" s="2944"/>
      <c r="X67" s="2944"/>
      <c r="Y67" s="2944"/>
      <c r="Z67" s="2944"/>
      <c r="AA67" s="2944"/>
      <c r="AB67" s="2944"/>
      <c r="AC67" s="294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3"/>
      <c r="O68" s="2973"/>
      <c r="P68" s="2981"/>
      <c r="Q68" s="2958"/>
      <c r="R68" s="2944"/>
      <c r="S68" s="2944"/>
      <c r="T68" s="2944"/>
      <c r="U68" s="2944"/>
      <c r="V68" s="2944"/>
      <c r="W68" s="2944"/>
      <c r="X68" s="2944"/>
      <c r="Y68" s="2944"/>
      <c r="Z68" s="2944"/>
      <c r="AA68" s="2944"/>
      <c r="AB68" s="2944"/>
      <c r="AC68" s="2944"/>
    </row>
    <row r="69" spans="1:29" ht="15.75" thickTop="1">
      <c r="A69" s="490"/>
      <c r="B69" s="494" t="s">
        <v>2427</v>
      </c>
      <c r="C69" s="534" t="s">
        <v>2415</v>
      </c>
      <c r="D69" s="534" t="s">
        <v>2416</v>
      </c>
      <c r="E69" s="534" t="s">
        <v>2417</v>
      </c>
      <c r="F69" s="534" t="s">
        <v>2418</v>
      </c>
      <c r="G69" s="534" t="s">
        <v>2419</v>
      </c>
      <c r="H69" s="495"/>
      <c r="I69" s="495"/>
      <c r="J69" s="495"/>
      <c r="K69" s="496"/>
      <c r="L69" s="497"/>
      <c r="M69" s="498"/>
      <c r="N69" s="2972"/>
      <c r="O69" s="2972"/>
      <c r="P69" s="2981"/>
      <c r="Q69" s="2958"/>
      <c r="R69" s="2944"/>
      <c r="S69" s="2944"/>
      <c r="T69" s="2944"/>
      <c r="U69" s="2944"/>
      <c r="V69" s="2944"/>
      <c r="W69" s="2944"/>
      <c r="X69" s="2944"/>
      <c r="Y69" s="2944"/>
      <c r="Z69" s="2944"/>
      <c r="AA69" s="2944"/>
      <c r="AB69" s="2944"/>
      <c r="AC69" s="294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3"/>
      <c r="O70" s="2973"/>
      <c r="P70" s="2981"/>
      <c r="Q70" s="2958"/>
      <c r="R70" s="2944"/>
      <c r="S70" s="2944"/>
      <c r="T70" s="2944"/>
      <c r="U70" s="2944"/>
      <c r="V70" s="2944"/>
      <c r="W70" s="2944"/>
      <c r="X70" s="2944"/>
      <c r="Y70" s="2944"/>
      <c r="Z70" s="2944"/>
      <c r="AA70" s="2944"/>
      <c r="AB70" s="2944"/>
      <c r="AC70" s="2944"/>
    </row>
    <row r="71" spans="1:29" ht="15.75" thickTop="1">
      <c r="A71" s="490"/>
      <c r="B71" s="494" t="s">
        <v>2547</v>
      </c>
      <c r="C71" s="510"/>
      <c r="D71" s="510"/>
      <c r="E71" s="510"/>
      <c r="F71" s="510"/>
      <c r="G71" s="510"/>
      <c r="H71" s="539"/>
      <c r="I71" s="539"/>
      <c r="J71" s="539"/>
      <c r="K71" s="540"/>
      <c r="L71" s="541"/>
      <c r="M71" s="542"/>
      <c r="N71" s="2972"/>
      <c r="O71" s="2972"/>
      <c r="P71" s="2981"/>
      <c r="Q71" s="2958"/>
      <c r="R71" s="2944"/>
      <c r="S71" s="2944"/>
      <c r="T71" s="2944"/>
      <c r="U71" s="2944"/>
      <c r="V71" s="2944"/>
      <c r="W71" s="2944"/>
      <c r="X71" s="2944"/>
      <c r="Y71" s="2944"/>
      <c r="Z71" s="2944"/>
      <c r="AA71" s="2944"/>
      <c r="AB71" s="2944"/>
      <c r="AC71" s="294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3"/>
      <c r="O72" s="2973"/>
      <c r="P72" s="2981"/>
      <c r="Q72" s="2958"/>
      <c r="R72" s="2944"/>
      <c r="S72" s="2944"/>
      <c r="T72" s="2944"/>
      <c r="U72" s="2944"/>
      <c r="V72" s="2944"/>
      <c r="W72" s="2944"/>
      <c r="X72" s="2944"/>
      <c r="Y72" s="2944"/>
      <c r="Z72" s="2944"/>
      <c r="AA72" s="2944"/>
      <c r="AB72" s="2944"/>
      <c r="AC72" s="2944"/>
    </row>
    <row r="73" spans="1:29" s="112" customFormat="1" ht="15.75" thickTop="1">
      <c r="A73" s="535"/>
      <c r="B73" s="494">
        <f>B23</f>
        <v>111</v>
      </c>
      <c r="C73" s="505"/>
      <c r="D73" s="505"/>
      <c r="E73" s="505"/>
      <c r="F73" s="505"/>
      <c r="G73" s="510"/>
      <c r="H73" s="510"/>
      <c r="I73" s="510"/>
      <c r="J73" s="510"/>
      <c r="K73" s="510"/>
      <c r="L73" s="536"/>
      <c r="M73" s="537"/>
      <c r="N73" s="2971"/>
      <c r="O73" s="2971"/>
      <c r="P73" s="2981"/>
      <c r="Q73" s="2958"/>
      <c r="R73" s="2878"/>
      <c r="S73" s="2878"/>
      <c r="T73" s="2878"/>
      <c r="U73" s="2878"/>
      <c r="V73" s="2878"/>
      <c r="W73" s="2878"/>
      <c r="X73" s="2878"/>
      <c r="Y73" s="2878"/>
      <c r="Z73" s="2878"/>
      <c r="AA73" s="2878"/>
      <c r="AB73" s="2878"/>
      <c r="AC73" s="2878"/>
    </row>
    <row r="74" spans="1:29" s="112" customFormat="1" ht="15.75" thickBot="1">
      <c r="A74" s="535"/>
      <c r="B74" s="499"/>
      <c r="C74" s="516"/>
      <c r="D74" s="492"/>
      <c r="E74" s="492"/>
      <c r="F74" s="492"/>
      <c r="G74" s="492"/>
      <c r="H74" s="492"/>
      <c r="I74" s="492"/>
      <c r="J74" s="492"/>
      <c r="K74" s="492"/>
      <c r="L74" s="492"/>
      <c r="M74" s="493"/>
      <c r="N74" s="2973"/>
      <c r="O74" s="2973"/>
      <c r="P74" s="2981"/>
      <c r="Q74" s="2958"/>
      <c r="R74" s="2878"/>
      <c r="S74" s="2878"/>
      <c r="T74" s="2878"/>
      <c r="U74" s="2878"/>
      <c r="V74" s="2878"/>
      <c r="W74" s="2878"/>
      <c r="X74" s="2878"/>
      <c r="Y74" s="2878"/>
      <c r="Z74" s="2878"/>
      <c r="AA74" s="2878"/>
      <c r="AB74" s="2878"/>
      <c r="AC74" s="2878"/>
    </row>
    <row r="75" spans="1:29" s="112" customFormat="1" ht="15.75" thickTop="1">
      <c r="A75" s="535"/>
      <c r="B75" s="494">
        <f>B24</f>
        <v>111</v>
      </c>
      <c r="C75" s="505"/>
      <c r="D75" s="505"/>
      <c r="E75" s="505"/>
      <c r="F75" s="505"/>
      <c r="G75" s="510"/>
      <c r="H75" s="510"/>
      <c r="I75" s="510"/>
      <c r="J75" s="510"/>
      <c r="K75" s="510"/>
      <c r="L75" s="510"/>
      <c r="M75" s="537"/>
      <c r="N75" s="2971"/>
      <c r="O75" s="2971"/>
      <c r="P75" s="2981"/>
      <c r="Q75" s="2958"/>
      <c r="R75" s="2878"/>
      <c r="S75" s="2878"/>
      <c r="T75" s="2878"/>
      <c r="U75" s="2878"/>
      <c r="V75" s="2878"/>
      <c r="W75" s="2878"/>
      <c r="X75" s="2878"/>
      <c r="Y75" s="2878"/>
      <c r="Z75" s="2878"/>
      <c r="AA75" s="2878"/>
      <c r="AB75" s="2878"/>
      <c r="AC75" s="2878"/>
    </row>
    <row r="76" spans="1:29" s="112" customFormat="1" ht="15.75" thickBot="1">
      <c r="A76" s="535"/>
      <c r="B76" s="499"/>
      <c r="C76" s="516"/>
      <c r="D76" s="492"/>
      <c r="E76" s="492"/>
      <c r="F76" s="492"/>
      <c r="G76" s="492"/>
      <c r="H76" s="492"/>
      <c r="I76" s="492"/>
      <c r="J76" s="492"/>
      <c r="K76" s="492"/>
      <c r="L76" s="492"/>
      <c r="M76" s="493"/>
      <c r="N76" s="2973"/>
      <c r="O76" s="2973"/>
      <c r="P76" s="2981"/>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4"/>
      <c r="O77" s="2974"/>
      <c r="P77" s="2982"/>
      <c r="Q77" s="2965"/>
      <c r="R77" s="2966"/>
      <c r="S77" s="2966"/>
      <c r="T77" s="2966"/>
      <c r="U77" s="2966"/>
      <c r="V77" s="2966"/>
      <c r="W77" s="2966"/>
      <c r="X77" s="2966"/>
      <c r="Y77" s="2966"/>
      <c r="Z77" s="2966"/>
      <c r="AA77" s="2966"/>
      <c r="AB77" s="2966"/>
      <c r="AC77" s="2966"/>
    </row>
    <row r="78" spans="1:29" s="429" customFormat="1" ht="15.75" thickBot="1">
      <c r="A78" s="509"/>
      <c r="B78" s="499"/>
      <c r="C78" s="516"/>
      <c r="D78" s="516"/>
      <c r="E78" s="516"/>
      <c r="F78" s="516"/>
      <c r="G78" s="492"/>
      <c r="H78" s="492"/>
      <c r="I78" s="492"/>
      <c r="J78" s="492"/>
      <c r="K78" s="492"/>
      <c r="L78" s="492"/>
      <c r="M78" s="493"/>
      <c r="N78" s="2974"/>
      <c r="O78" s="2974"/>
      <c r="P78" s="2982"/>
      <c r="Q78" s="2965"/>
      <c r="R78" s="2966"/>
      <c r="S78" s="2966"/>
      <c r="T78" s="2966"/>
      <c r="U78" s="2966"/>
      <c r="V78" s="2966"/>
      <c r="W78" s="2966"/>
      <c r="X78" s="2966"/>
      <c r="Y78" s="2966"/>
      <c r="Z78" s="2966"/>
      <c r="AA78" s="2966"/>
      <c r="AB78" s="2966"/>
      <c r="AC78" s="2966"/>
    </row>
    <row r="79" spans="1:29" ht="27.75" thickTop="1">
      <c r="A79" s="483" t="s">
        <v>2381</v>
      </c>
      <c r="B79" s="484" t="s">
        <v>2548</v>
      </c>
      <c r="C79" s="485">
        <f>C26</f>
        <v>0</v>
      </c>
      <c r="D79" s="486"/>
      <c r="E79" s="486"/>
      <c r="F79" s="486"/>
      <c r="G79" s="486"/>
      <c r="H79" s="486"/>
      <c r="I79" s="486"/>
      <c r="J79" s="486"/>
      <c r="K79" s="487"/>
      <c r="L79" s="488"/>
      <c r="M79" s="489"/>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3"/>
      <c r="O80" s="2973"/>
      <c r="P80" s="2981"/>
      <c r="Q80" s="2958"/>
      <c r="R80" s="2944"/>
      <c r="S80" s="2944"/>
      <c r="T80" s="2944"/>
      <c r="U80" s="2944"/>
      <c r="V80" s="2944"/>
      <c r="W80" s="2944"/>
      <c r="X80" s="2944"/>
      <c r="Y80" s="2944"/>
      <c r="Z80" s="2944"/>
      <c r="AA80" s="2944"/>
      <c r="AB80" s="2944"/>
      <c r="AC80" s="2944"/>
    </row>
    <row r="81" spans="1:29" ht="15.75" thickTop="1">
      <c r="A81" s="490"/>
      <c r="B81" s="494" t="s">
        <v>2549</v>
      </c>
      <c r="C81" s="616"/>
      <c r="D81" s="616"/>
      <c r="E81" s="616"/>
      <c r="F81" s="616"/>
      <c r="G81" s="616"/>
      <c r="H81" s="616"/>
      <c r="I81" s="616"/>
      <c r="J81" s="616"/>
      <c r="K81" s="617"/>
      <c r="L81" s="618"/>
      <c r="M81" s="619"/>
      <c r="N81" s="2971"/>
      <c r="O81" s="2971"/>
      <c r="P81" s="2981"/>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3"/>
      <c r="O82" s="2973"/>
      <c r="P82" s="2982"/>
      <c r="Q82" s="2965"/>
      <c r="R82" s="2966"/>
      <c r="S82" s="2966"/>
      <c r="T82" s="2966"/>
      <c r="U82" s="2966"/>
      <c r="V82" s="2966"/>
      <c r="W82" s="2966"/>
      <c r="X82" s="2966"/>
      <c r="Y82" s="2966"/>
      <c r="Z82" s="2966"/>
      <c r="AA82" s="2966"/>
      <c r="AB82" s="2966"/>
      <c r="AC82" s="2966"/>
    </row>
    <row r="83" spans="1:29" ht="15" thickTop="1">
      <c r="A83" s="555"/>
      <c r="B83" s="494" t="s">
        <v>2434</v>
      </c>
      <c r="C83" s="510"/>
      <c r="D83" s="510"/>
      <c r="E83" s="539"/>
      <c r="F83" s="539"/>
      <c r="G83" s="539"/>
      <c r="H83" s="539"/>
      <c r="I83" s="539"/>
      <c r="J83" s="539"/>
      <c r="K83" s="540"/>
      <c r="L83" s="541"/>
      <c r="M83" s="542"/>
      <c r="N83" s="2972"/>
      <c r="O83" s="2972"/>
      <c r="P83" s="2981"/>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3"/>
      <c r="O84" s="2973"/>
      <c r="P84" s="2981"/>
      <c r="Q84" s="2958"/>
      <c r="R84" s="2944"/>
      <c r="S84" s="2944"/>
      <c r="T84" s="2944"/>
      <c r="U84" s="2944"/>
      <c r="V84" s="2944"/>
      <c r="W84" s="2944"/>
      <c r="X84" s="2944"/>
      <c r="Y84" s="2944"/>
      <c r="Z84" s="2944"/>
      <c r="AA84" s="2944"/>
      <c r="AB84" s="2944"/>
      <c r="AC84" s="2944"/>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2"/>
      <c r="O85" s="2972"/>
      <c r="P85" s="2981"/>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2"/>
      <c r="O86" s="2972"/>
      <c r="P86" s="2981"/>
      <c r="Q86" s="2958"/>
      <c r="R86" s="2944"/>
      <c r="S86" s="2944"/>
      <c r="T86" s="2944"/>
      <c r="U86" s="2944"/>
      <c r="V86" s="2944"/>
      <c r="W86" s="2944"/>
      <c r="X86" s="2944"/>
      <c r="Y86" s="2944"/>
      <c r="Z86" s="2944"/>
      <c r="AA86" s="2944"/>
      <c r="AB86" s="2944"/>
      <c r="AC86" s="2944"/>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81"/>
      <c r="Q87" s="2958"/>
      <c r="R87" s="2944"/>
      <c r="S87" s="2944"/>
      <c r="T87" s="2944"/>
      <c r="U87" s="2944"/>
      <c r="V87" s="2944"/>
      <c r="W87" s="2944"/>
      <c r="X87" s="2944"/>
      <c r="Y87" s="2944"/>
      <c r="Z87" s="2944"/>
      <c r="AA87" s="2944"/>
      <c r="AB87" s="2944"/>
      <c r="AC87" s="2944"/>
    </row>
    <row r="88" spans="1:29" ht="15" thickTop="1">
      <c r="A88" s="555"/>
      <c r="B88" s="502" t="s">
        <v>2551</v>
      </c>
      <c r="C88" s="486"/>
      <c r="D88" s="486"/>
      <c r="E88" s="486"/>
      <c r="F88" s="486"/>
      <c r="G88" s="486"/>
      <c r="H88" s="486"/>
      <c r="I88" s="486"/>
      <c r="J88" s="486"/>
      <c r="K88" s="487"/>
      <c r="L88" s="488"/>
      <c r="M88" s="489"/>
      <c r="N88" s="2972"/>
      <c r="O88" s="2972"/>
      <c r="P88" s="2981"/>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3"/>
      <c r="O89" s="2973"/>
      <c r="P89" s="2981"/>
      <c r="Q89" s="2958"/>
      <c r="R89" s="2944"/>
      <c r="S89" s="2944"/>
      <c r="T89" s="2944"/>
      <c r="U89" s="2944"/>
      <c r="V89" s="2944"/>
      <c r="W89" s="2944"/>
      <c r="X89" s="2944"/>
      <c r="Y89" s="2944"/>
      <c r="Z89" s="2944"/>
      <c r="AA89" s="2944"/>
      <c r="AB89" s="2944"/>
      <c r="AC89" s="2944"/>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4"/>
      <c r="O90" s="2974"/>
      <c r="P90" s="2982"/>
      <c r="Q90" s="2965"/>
      <c r="R90" s="2966"/>
      <c r="S90" s="2966"/>
      <c r="T90" s="2966"/>
      <c r="U90" s="2966"/>
      <c r="V90" s="2966"/>
      <c r="W90" s="2966"/>
      <c r="X90" s="2966"/>
      <c r="Y90" s="2966"/>
      <c r="Z90" s="2966"/>
      <c r="AA90" s="2966"/>
      <c r="AB90" s="2966"/>
      <c r="AC90" s="2966"/>
    </row>
    <row r="91" spans="1:29" s="429" customFormat="1">
      <c r="A91" s="549"/>
      <c r="B91" s="502"/>
      <c r="C91" s="551"/>
      <c r="D91" s="551"/>
      <c r="E91" s="551"/>
      <c r="F91" s="551"/>
      <c r="G91" s="551"/>
      <c r="H91" s="551"/>
      <c r="I91" s="551"/>
      <c r="J91" s="552"/>
      <c r="K91" s="552"/>
      <c r="L91" s="553"/>
      <c r="M91" s="554"/>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16"/>
      <c r="D92" s="492"/>
      <c r="E92" s="492"/>
      <c r="F92" s="492"/>
      <c r="G92" s="492"/>
      <c r="H92" s="492"/>
      <c r="I92" s="492"/>
      <c r="J92" s="492"/>
      <c r="K92" s="492"/>
      <c r="L92" s="492"/>
      <c r="M92" s="493"/>
      <c r="N92" s="2974"/>
      <c r="O92" s="2974"/>
      <c r="P92" s="2982"/>
      <c r="Q92" s="2965"/>
      <c r="R92" s="2966"/>
      <c r="S92" s="2966"/>
      <c r="T92" s="2966"/>
      <c r="U92" s="2966"/>
      <c r="V92" s="2966"/>
      <c r="W92" s="2966"/>
      <c r="X92" s="2966"/>
      <c r="Y92" s="2966"/>
      <c r="Z92" s="2966"/>
      <c r="AA92" s="2966"/>
      <c r="AB92" s="2966"/>
      <c r="AC92" s="2966"/>
    </row>
    <row r="93" spans="1:29" ht="15" thickTop="1">
      <c r="A93" s="555"/>
      <c r="B93" s="494" t="s">
        <v>2553</v>
      </c>
      <c r="C93" s="510"/>
      <c r="D93" s="510"/>
      <c r="E93" s="539"/>
      <c r="F93" s="539"/>
      <c r="G93" s="539"/>
      <c r="H93" s="539"/>
      <c r="I93" s="539"/>
      <c r="J93" s="539"/>
      <c r="K93" s="540"/>
      <c r="L93" s="541"/>
      <c r="M93" s="542"/>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3"/>
      <c r="O94" s="2973"/>
      <c r="P94" s="2981"/>
      <c r="Q94" s="2958"/>
      <c r="R94" s="2944"/>
      <c r="S94" s="2944"/>
      <c r="T94" s="2944"/>
      <c r="U94" s="2944"/>
      <c r="V94" s="2944"/>
      <c r="W94" s="2944"/>
      <c r="X94" s="2944"/>
      <c r="Y94" s="2944"/>
      <c r="Z94" s="2944"/>
      <c r="AA94" s="2944"/>
      <c r="AB94" s="2944"/>
      <c r="AC94" s="2944"/>
    </row>
    <row r="95" spans="1:29" ht="15" thickTop="1">
      <c r="A95" s="555"/>
      <c r="B95" s="494" t="s">
        <v>2554</v>
      </c>
      <c r="C95" s="486"/>
      <c r="D95" s="486"/>
      <c r="E95" s="486"/>
      <c r="F95" s="486"/>
      <c r="G95" s="486"/>
      <c r="H95" s="486"/>
      <c r="I95" s="486"/>
      <c r="J95" s="486"/>
      <c r="K95" s="487"/>
      <c r="L95" s="488"/>
      <c r="M95" s="489"/>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3"/>
      <c r="O96" s="2973"/>
      <c r="P96" s="2981"/>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3"/>
      <c r="O97" s="2973"/>
      <c r="P97" s="2986"/>
      <c r="Q97" s="2987"/>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3"/>
      <c r="O98" s="2973"/>
      <c r="P98" s="2981"/>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4"/>
      <c r="O99" s="2974"/>
      <c r="P99" s="2982"/>
      <c r="Q99" s="2965"/>
      <c r="R99" s="2966"/>
      <c r="S99" s="2966"/>
      <c r="T99" s="2966"/>
      <c r="U99" s="2966"/>
      <c r="V99" s="2966"/>
      <c r="W99" s="2966"/>
      <c r="X99" s="2966"/>
      <c r="Y99" s="2966"/>
      <c r="Z99" s="2966"/>
      <c r="AA99" s="2966"/>
      <c r="AB99" s="2966"/>
      <c r="AC99" s="2966"/>
    </row>
    <row r="100" spans="1:29" s="429" customFormat="1" ht="15.75" thickBot="1">
      <c r="A100" s="509"/>
      <c r="B100" s="491"/>
      <c r="C100" s="516"/>
      <c r="D100" s="492"/>
      <c r="E100" s="492"/>
      <c r="F100" s="492"/>
      <c r="G100" s="516"/>
      <c r="H100" s="518"/>
      <c r="I100" s="518"/>
      <c r="J100" s="518"/>
      <c r="K100" s="518"/>
      <c r="L100" s="518"/>
      <c r="M100" s="519"/>
      <c r="N100" s="2974"/>
      <c r="O100" s="2974"/>
      <c r="P100" s="2982"/>
      <c r="Q100" s="2965"/>
      <c r="R100" s="2966"/>
      <c r="S100" s="2966"/>
      <c r="T100" s="2966"/>
      <c r="U100" s="2966"/>
      <c r="V100" s="2966"/>
      <c r="W100" s="2966"/>
      <c r="X100" s="2966"/>
      <c r="Y100" s="2966"/>
      <c r="Z100" s="2966"/>
      <c r="AA100" s="2966"/>
      <c r="AB100" s="2966"/>
      <c r="AC100" s="2966"/>
    </row>
    <row r="101" spans="1:29" ht="15" thickTop="1">
      <c r="A101" s="555"/>
      <c r="B101" s="494">
        <f>B36</f>
        <v>111</v>
      </c>
      <c r="C101" s="510"/>
      <c r="D101" s="510"/>
      <c r="E101" s="510"/>
      <c r="F101" s="510"/>
      <c r="G101" s="510"/>
      <c r="H101" s="511"/>
      <c r="I101" s="511"/>
      <c r="J101" s="511"/>
      <c r="K101" s="511"/>
      <c r="L101" s="512"/>
      <c r="M101" s="513"/>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IF(C2="——",ROUND(C37*D3/10000,0),ROUND(C37*D3/10000,0)-D2)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4" t="s">
        <v>2464</v>
      </c>
      <c r="D4" s="3345"/>
      <c r="E4" s="3346" t="s">
        <v>2465</v>
      </c>
      <c r="F4" s="3347"/>
      <c r="G4" s="3344" t="s">
        <v>2466</v>
      </c>
      <c r="H4" s="3345"/>
      <c r="I4" s="3344" t="s">
        <v>2467</v>
      </c>
      <c r="J4" s="3345"/>
      <c r="K4" s="566" t="s">
        <v>2468</v>
      </c>
      <c r="L4" s="2934"/>
      <c r="M4" s="2935"/>
      <c r="N4" s="2935"/>
      <c r="O4" s="2935"/>
      <c r="P4" s="3348" t="s">
        <v>2469</v>
      </c>
      <c r="Q4" s="3349"/>
      <c r="R4" s="3331" t="s">
        <v>2465</v>
      </c>
      <c r="S4" s="3332"/>
      <c r="T4" s="3331" t="s">
        <v>2466</v>
      </c>
      <c r="U4" s="3332"/>
      <c r="V4" s="3356" t="s">
        <v>2467</v>
      </c>
      <c r="W4" s="3356"/>
      <c r="X4" s="1533"/>
      <c r="Y4" s="3331" t="s">
        <v>2469</v>
      </c>
      <c r="Z4" s="3332"/>
      <c r="AA4" s="3326" t="s">
        <v>2465</v>
      </c>
      <c r="AB4" s="3327" t="s">
        <v>2466</v>
      </c>
      <c r="AC4" s="3326" t="s">
        <v>2467</v>
      </c>
    </row>
    <row r="5" spans="1:29" ht="15">
      <c r="A5" s="363"/>
      <c r="B5" s="364"/>
      <c r="C5" s="3337" t="s">
        <v>2360</v>
      </c>
      <c r="D5" s="3338"/>
      <c r="E5" s="3335" t="s">
        <v>2361</v>
      </c>
      <c r="F5" s="3336"/>
      <c r="G5" s="3337" t="s">
        <v>2362</v>
      </c>
      <c r="H5" s="3338"/>
      <c r="I5" s="3337" t="s">
        <v>2363</v>
      </c>
      <c r="J5" s="3338"/>
      <c r="K5" s="566"/>
      <c r="L5" s="2934"/>
      <c r="M5" s="2935"/>
      <c r="N5" s="2935"/>
      <c r="O5" s="2935"/>
      <c r="P5" s="3350"/>
      <c r="Q5" s="3351"/>
      <c r="R5" s="3333"/>
      <c r="S5" s="3334"/>
      <c r="T5" s="3333"/>
      <c r="U5" s="3334"/>
      <c r="V5" s="3356"/>
      <c r="W5" s="3356"/>
      <c r="X5" s="1533"/>
      <c r="Y5" s="3333"/>
      <c r="Z5" s="3334"/>
      <c r="AA5" s="3327"/>
      <c r="AB5" s="3327"/>
      <c r="AC5" s="3327"/>
    </row>
    <row r="6" spans="1:29" ht="15.75" thickBot="1">
      <c r="A6" s="365"/>
      <c r="B6" s="366"/>
      <c r="C6" s="3339" t="s">
        <v>2364</v>
      </c>
      <c r="D6" s="3340"/>
      <c r="E6" s="3341" t="s">
        <v>2364</v>
      </c>
      <c r="F6" s="3342"/>
      <c r="G6" s="3339" t="s">
        <v>2364</v>
      </c>
      <c r="H6" s="3340"/>
      <c r="I6" s="3339" t="s">
        <v>2364</v>
      </c>
      <c r="J6" s="3340"/>
      <c r="K6" s="566" t="s">
        <v>2365</v>
      </c>
      <c r="L6" s="2934"/>
      <c r="M6" s="2935"/>
      <c r="N6" s="2935"/>
      <c r="O6" s="2935"/>
      <c r="P6" s="3352"/>
      <c r="Q6" s="3353"/>
      <c r="R6" s="3333"/>
      <c r="S6" s="3334"/>
      <c r="T6" s="3354"/>
      <c r="U6" s="3355"/>
      <c r="V6" s="3356"/>
      <c r="W6" s="3356"/>
      <c r="X6" s="1533"/>
      <c r="Y6" s="3354"/>
      <c r="Z6" s="3355"/>
      <c r="AA6" s="3328"/>
      <c r="AB6" s="3328"/>
      <c r="AC6" s="3328"/>
    </row>
    <row r="7" spans="1:29" s="112" customFormat="1" ht="15.75" thickBot="1">
      <c r="A7" s="367" t="s">
        <v>2366</v>
      </c>
      <c r="B7" s="368"/>
      <c r="C7" s="369">
        <f>'数据-取费表'!B2</f>
        <v>44187</v>
      </c>
      <c r="D7" s="370">
        <v>100</v>
      </c>
      <c r="E7" s="371"/>
      <c r="F7" s="372">
        <f>SUMIF(46:46,YEAR(E7)&amp;"-"&amp;MONTH(E7),47:47)</f>
        <v>0</v>
      </c>
      <c r="G7" s="2153"/>
      <c r="H7" s="370">
        <f>SUMIF(46:46,YEAR(G7)&amp;"-"&amp;MONTH(G7),47:47)</f>
        <v>0</v>
      </c>
      <c r="I7" s="371"/>
      <c r="J7" s="370">
        <f>SUMIF(46:46,YEAR(I7)&amp;"-"&amp;MONTH(I7),47:47)</f>
        <v>0</v>
      </c>
      <c r="K7" s="567"/>
      <c r="L7" s="2936"/>
      <c r="M7" s="2937"/>
      <c r="N7" s="2937"/>
      <c r="O7" s="2937"/>
      <c r="P7" s="3329" t="s">
        <v>2367</v>
      </c>
      <c r="Q7" s="3357"/>
      <c r="R7" s="709" t="s">
        <v>17</v>
      </c>
      <c r="S7" s="710">
        <f t="shared" ref="S7:S14" si="0">F7</f>
        <v>0</v>
      </c>
      <c r="T7" s="709" t="s">
        <v>17</v>
      </c>
      <c r="U7" s="710">
        <f t="shared" ref="U7:U14" si="1">H7</f>
        <v>0</v>
      </c>
      <c r="V7" s="709" t="s">
        <v>17</v>
      </c>
      <c r="W7" s="710">
        <f t="shared" ref="W7:W14" si="2">J7</f>
        <v>0</v>
      </c>
      <c r="X7" s="711"/>
      <c r="Y7" s="3329" t="s">
        <v>2367</v>
      </c>
      <c r="Z7" s="3330"/>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29" t="s">
        <v>2370</v>
      </c>
      <c r="Q8" s="3330"/>
      <c r="R8" s="709" t="s">
        <v>17</v>
      </c>
      <c r="S8" s="710">
        <f t="shared" si="0"/>
        <v>0</v>
      </c>
      <c r="T8" s="709" t="s">
        <v>17</v>
      </c>
      <c r="U8" s="710">
        <f t="shared" si="1"/>
        <v>0</v>
      </c>
      <c r="V8" s="709" t="s">
        <v>17</v>
      </c>
      <c r="W8" s="710">
        <f t="shared" si="2"/>
        <v>0</v>
      </c>
      <c r="X8" s="711"/>
      <c r="Y8" s="3329" t="s">
        <v>2370</v>
      </c>
      <c r="Z8" s="3330"/>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1"/>
      <c r="P9" s="3361" t="s">
        <v>2373</v>
      </c>
      <c r="Q9" s="1521" t="str">
        <f t="shared" ref="Q9:Q14" si="6">B9</f>
        <v>用途</v>
      </c>
      <c r="R9" s="709" t="s">
        <v>17</v>
      </c>
      <c r="S9" s="710">
        <f t="shared" si="0"/>
        <v>100</v>
      </c>
      <c r="T9" s="709" t="s">
        <v>17</v>
      </c>
      <c r="U9" s="710">
        <f t="shared" si="1"/>
        <v>100</v>
      </c>
      <c r="V9" s="709" t="s">
        <v>17</v>
      </c>
      <c r="W9" s="710">
        <f t="shared" si="2"/>
        <v>100</v>
      </c>
      <c r="X9" s="711"/>
      <c r="Y9" s="3271"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2"/>
      <c r="P10" s="3361"/>
      <c r="Q10" s="1521" t="str">
        <f t="shared" si="6"/>
        <v>土地使用年限（年）</v>
      </c>
      <c r="R10" s="709" t="s">
        <v>17</v>
      </c>
      <c r="S10" s="710">
        <f t="shared" si="0"/>
        <v>100</v>
      </c>
      <c r="T10" s="709" t="s">
        <v>17</v>
      </c>
      <c r="U10" s="710">
        <f t="shared" si="1"/>
        <v>100</v>
      </c>
      <c r="V10" s="709" t="s">
        <v>17</v>
      </c>
      <c r="W10" s="710">
        <f t="shared" si="2"/>
        <v>100</v>
      </c>
      <c r="X10" s="711"/>
      <c r="Y10" s="3271"/>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3"/>
      <c r="P11" s="3361"/>
      <c r="Q11" s="1521">
        <f t="shared" si="6"/>
        <v>111</v>
      </c>
      <c r="R11" s="709" t="s">
        <v>17</v>
      </c>
      <c r="S11" s="710">
        <f t="shared" si="0"/>
        <v>100</v>
      </c>
      <c r="T11" s="709" t="s">
        <v>17</v>
      </c>
      <c r="U11" s="710">
        <f t="shared" si="1"/>
        <v>100</v>
      </c>
      <c r="V11" s="709" t="s">
        <v>17</v>
      </c>
      <c r="W11" s="710">
        <f t="shared" si="2"/>
        <v>100</v>
      </c>
      <c r="X11" s="711"/>
      <c r="Y11" s="3271"/>
      <c r="Z11" s="55">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1"/>
      <c r="P12" s="3361"/>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1"/>
      <c r="M13" s="2935"/>
      <c r="N13" s="2935"/>
      <c r="O13" s="2993"/>
      <c r="P13" s="3361"/>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712">
        <f t="shared" si="5"/>
        <v>1</v>
      </c>
    </row>
    <row r="14" spans="1:29" ht="85.5">
      <c r="A14" s="398" t="s">
        <v>2377</v>
      </c>
      <c r="B14" s="65" t="s">
        <v>2527</v>
      </c>
      <c r="C14" s="2150" t="str">
        <f>IF(B1="工业",估价对象房地状况!G4,估价对象房地状况!C6)</f>
        <v>周边有438路、365路、449路、570路等多条公交线路及地铁16号线永丰站，交通便捷度较好。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3"/>
      <c r="P14" s="3363" t="s">
        <v>2378</v>
      </c>
      <c r="Q14" s="1530" t="str">
        <f t="shared" si="6"/>
        <v>交通便捷度</v>
      </c>
      <c r="R14" s="713" t="s">
        <v>17</v>
      </c>
      <c r="S14" s="714">
        <f t="shared" si="0"/>
        <v>100</v>
      </c>
      <c r="T14" s="713" t="s">
        <v>17</v>
      </c>
      <c r="U14" s="714">
        <f t="shared" si="1"/>
        <v>100</v>
      </c>
      <c r="V14" s="713" t="s">
        <v>17</v>
      </c>
      <c r="W14" s="714">
        <f t="shared" si="2"/>
        <v>100</v>
      </c>
      <c r="X14" s="1533"/>
      <c r="Y14" s="3363" t="s">
        <v>2378</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1"/>
      <c r="M15" s="2935"/>
      <c r="N15" s="2935"/>
      <c r="O15" s="2993"/>
      <c r="P15" s="3364"/>
      <c r="Q15" s="1530"/>
      <c r="R15" s="713"/>
      <c r="S15" s="714"/>
      <c r="T15" s="713"/>
      <c r="U15" s="714"/>
      <c r="V15" s="713"/>
      <c r="W15" s="714"/>
      <c r="X15" s="1533"/>
      <c r="Y15" s="3364"/>
      <c r="Z15" s="1534"/>
      <c r="AA15" s="1531">
        <v>1</v>
      </c>
      <c r="AB15" s="1531">
        <v>1</v>
      </c>
      <c r="AC15" s="1531">
        <v>1</v>
      </c>
    </row>
    <row r="16" spans="1:29" ht="171">
      <c r="A16" s="386"/>
      <c r="B16" s="409"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3"/>
      <c r="P16" s="3364"/>
      <c r="Q16" s="1530" t="str">
        <f>B16</f>
        <v>公共配套设施</v>
      </c>
      <c r="R16" s="713" t="s">
        <v>17</v>
      </c>
      <c r="S16" s="714">
        <f>F16</f>
        <v>100</v>
      </c>
      <c r="T16" s="713" t="s">
        <v>17</v>
      </c>
      <c r="U16" s="714">
        <f>H16</f>
        <v>100</v>
      </c>
      <c r="V16" s="713" t="s">
        <v>17</v>
      </c>
      <c r="W16" s="714">
        <f>J16</f>
        <v>100</v>
      </c>
      <c r="X16" s="1533"/>
      <c r="Y16" s="3364"/>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1"/>
      <c r="M17" s="2935"/>
      <c r="N17" s="2935"/>
      <c r="O17" s="2993"/>
      <c r="P17" s="3364"/>
      <c r="Q17" s="1530"/>
      <c r="R17" s="713"/>
      <c r="S17" s="714"/>
      <c r="T17" s="713"/>
      <c r="U17" s="714"/>
      <c r="V17" s="713"/>
      <c r="W17" s="714"/>
      <c r="X17" s="1533"/>
      <c r="Y17" s="3364"/>
      <c r="Z17" s="1534"/>
      <c r="AA17" s="1531">
        <v>1</v>
      </c>
      <c r="AB17" s="1531">
        <v>1</v>
      </c>
      <c r="AC17" s="1531">
        <v>1</v>
      </c>
    </row>
    <row r="18" spans="1:29" ht="15">
      <c r="A18" s="386"/>
      <c r="B18" s="1286" t="s">
        <v>2507</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3"/>
      <c r="P18" s="3364"/>
      <c r="Q18" s="1530" t="str">
        <f>B18</f>
        <v>基础设施水平</v>
      </c>
      <c r="R18" s="713" t="s">
        <v>17</v>
      </c>
      <c r="S18" s="714">
        <f>F18</f>
        <v>100</v>
      </c>
      <c r="T18" s="713" t="s">
        <v>17</v>
      </c>
      <c r="U18" s="714">
        <f>H18</f>
        <v>100</v>
      </c>
      <c r="V18" s="713" t="s">
        <v>17</v>
      </c>
      <c r="W18" s="714">
        <f>J18</f>
        <v>100</v>
      </c>
      <c r="X18" s="1533"/>
      <c r="Y18" s="3364"/>
      <c r="Z18" s="1534" t="str">
        <f>Q18</f>
        <v>基础设施水平</v>
      </c>
      <c r="AA18" s="1531">
        <f>D18/F18</f>
        <v>1</v>
      </c>
      <c r="AB18" s="1531">
        <f>D18/H18</f>
        <v>1</v>
      </c>
      <c r="AC18" s="1531">
        <f>D18/J18</f>
        <v>1</v>
      </c>
    </row>
    <row r="19" spans="1:29" ht="15">
      <c r="A19" s="386"/>
      <c r="B19" s="1286"/>
      <c r="C19" s="2080"/>
      <c r="D19" s="408"/>
      <c r="E19" s="2080"/>
      <c r="F19" s="411"/>
      <c r="G19" s="2080"/>
      <c r="H19" s="406"/>
      <c r="I19" s="405"/>
      <c r="J19" s="406"/>
      <c r="K19" s="1285"/>
      <c r="L19" s="2941"/>
      <c r="M19" s="2935"/>
      <c r="N19" s="2935"/>
      <c r="O19" s="2993"/>
      <c r="P19" s="3364"/>
      <c r="Q19" s="1530"/>
      <c r="R19" s="713"/>
      <c r="S19" s="714"/>
      <c r="T19" s="713"/>
      <c r="U19" s="714"/>
      <c r="V19" s="713"/>
      <c r="W19" s="714"/>
      <c r="X19" s="1533"/>
      <c r="Y19" s="3364"/>
      <c r="Z19" s="1534"/>
      <c r="AA19" s="1531">
        <v>1</v>
      </c>
      <c r="AB19" s="1531">
        <v>1</v>
      </c>
      <c r="AC19" s="1531">
        <v>1</v>
      </c>
    </row>
    <row r="20" spans="1:29" ht="85.5">
      <c r="A20" s="386"/>
      <c r="B20" s="409" t="s">
        <v>2528</v>
      </c>
      <c r="C20" s="2079" t="str">
        <f>IF(B1="工业",估价对象房地状况!G7,估价对象房地状况!C9)</f>
        <v>周边1公里无大型公园，人文环境有北京北大资源研修学院，自然及人文环境一般。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3"/>
      <c r="P20" s="3364"/>
      <c r="Q20" s="1530" t="str">
        <f>B20</f>
        <v>自然及人文环境</v>
      </c>
      <c r="R20" s="713" t="s">
        <v>17</v>
      </c>
      <c r="S20" s="714">
        <f>F20</f>
        <v>100</v>
      </c>
      <c r="T20" s="713" t="s">
        <v>17</v>
      </c>
      <c r="U20" s="714">
        <f>H20</f>
        <v>100</v>
      </c>
      <c r="V20" s="713" t="s">
        <v>17</v>
      </c>
      <c r="W20" s="714">
        <f>J20</f>
        <v>100</v>
      </c>
      <c r="X20" s="1533"/>
      <c r="Y20" s="3364"/>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1"/>
      <c r="M21" s="2935"/>
      <c r="N21" s="2935"/>
      <c r="O21" s="2993"/>
      <c r="P21" s="3364"/>
      <c r="Q21" s="1530"/>
      <c r="R21" s="713"/>
      <c r="S21" s="714"/>
      <c r="T21" s="713"/>
      <c r="U21" s="714"/>
      <c r="V21" s="713"/>
      <c r="W21" s="714"/>
      <c r="X21" s="1533"/>
      <c r="Y21" s="3364"/>
      <c r="Z21" s="1534"/>
      <c r="AA21" s="1531">
        <v>1</v>
      </c>
      <c r="AB21" s="1531">
        <v>1</v>
      </c>
      <c r="AC21" s="1531">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3"/>
      <c r="P22" s="3364"/>
      <c r="Q22" s="1530" t="str">
        <f>B22</f>
        <v>楼层</v>
      </c>
      <c r="R22" s="713" t="s">
        <v>17</v>
      </c>
      <c r="S22" s="714">
        <f>F22</f>
        <v>100</v>
      </c>
      <c r="T22" s="713" t="s">
        <v>17</v>
      </c>
      <c r="U22" s="714">
        <f>H22</f>
        <v>100</v>
      </c>
      <c r="V22" s="713" t="s">
        <v>17</v>
      </c>
      <c r="W22" s="714">
        <f>J22</f>
        <v>100</v>
      </c>
      <c r="X22" s="1533"/>
      <c r="Y22" s="3364"/>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3"/>
      <c r="P23" s="3364"/>
      <c r="Q23" s="1530">
        <f>B23</f>
        <v>111</v>
      </c>
      <c r="R23" s="713" t="s">
        <v>17</v>
      </c>
      <c r="S23" s="714">
        <f>F23</f>
        <v>100</v>
      </c>
      <c r="T23" s="713" t="s">
        <v>17</v>
      </c>
      <c r="U23" s="714">
        <f>H23</f>
        <v>100</v>
      </c>
      <c r="V23" s="713" t="s">
        <v>17</v>
      </c>
      <c r="W23" s="714">
        <f>J23</f>
        <v>100</v>
      </c>
      <c r="X23" s="1533"/>
      <c r="Y23" s="3364"/>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3"/>
      <c r="P24" s="3364"/>
      <c r="Q24" s="1530">
        <f t="shared" ref="Q24:Q34" si="8">B24</f>
        <v>111</v>
      </c>
      <c r="R24" s="713" t="s">
        <v>17</v>
      </c>
      <c r="S24" s="714">
        <f>F24</f>
        <v>100</v>
      </c>
      <c r="T24" s="713" t="s">
        <v>17</v>
      </c>
      <c r="U24" s="714">
        <f>H24</f>
        <v>100</v>
      </c>
      <c r="V24" s="713" t="s">
        <v>17</v>
      </c>
      <c r="W24" s="714">
        <f>J24</f>
        <v>100</v>
      </c>
      <c r="X24" s="1533"/>
      <c r="Y24" s="3364"/>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6"/>
      <c r="M25" s="2937"/>
      <c r="N25" s="2937"/>
      <c r="O25" s="2991"/>
      <c r="P25" s="3364"/>
      <c r="Q25" s="1521">
        <f t="shared" si="8"/>
        <v>111</v>
      </c>
      <c r="R25" s="709" t="s">
        <v>17</v>
      </c>
      <c r="S25" s="710">
        <f>F25</f>
        <v>100</v>
      </c>
      <c r="T25" s="709" t="s">
        <v>17</v>
      </c>
      <c r="U25" s="710">
        <f>H25</f>
        <v>100</v>
      </c>
      <c r="V25" s="709" t="s">
        <v>17</v>
      </c>
      <c r="W25" s="710">
        <f>J25</f>
        <v>100</v>
      </c>
      <c r="X25" s="711"/>
      <c r="Y25" s="3364"/>
      <c r="Z25" s="55">
        <f>Q25</f>
        <v>111</v>
      </c>
      <c r="AA25" s="1531">
        <f>D25/F25</f>
        <v>1</v>
      </c>
      <c r="AB25" s="1531">
        <f>D25/H25</f>
        <v>1</v>
      </c>
      <c r="AC25" s="1531">
        <f>D25/J25</f>
        <v>1</v>
      </c>
    </row>
    <row r="26" spans="1:29" ht="28.5">
      <c r="A26" s="424" t="s">
        <v>2381</v>
      </c>
      <c r="B26" s="67" t="s">
        <v>2532</v>
      </c>
      <c r="C26" s="2146"/>
      <c r="D26" s="425">
        <v>100</v>
      </c>
      <c r="E26" s="2146"/>
      <c r="F26" s="622">
        <f>SUMIF(77:77,E26,78:78)-SUMIF(77:77,C26,78:78)+100</f>
        <v>100</v>
      </c>
      <c r="G26" s="2146"/>
      <c r="H26" s="425">
        <f>SUMIF(77:77,G26,78:78)-SUMIF(77:77,C26,78:78)+100</f>
        <v>100</v>
      </c>
      <c r="I26" s="2146"/>
      <c r="J26" s="425">
        <f>SUMIF(77:77,I26,78:78)-SUMIF(77:77,C26,78:78)+100</f>
        <v>100</v>
      </c>
      <c r="K26" s="568"/>
      <c r="L26" s="2941"/>
      <c r="M26" s="2935"/>
      <c r="N26" s="2935"/>
      <c r="O26" s="2993"/>
      <c r="P26" s="3387" t="s">
        <v>2383</v>
      </c>
      <c r="Q26" s="1530" t="str">
        <f t="shared" si="8"/>
        <v>公共部分装修</v>
      </c>
      <c r="R26" s="713" t="s">
        <v>17</v>
      </c>
      <c r="S26" s="714">
        <f t="shared" ref="S26:S34" si="9">F26</f>
        <v>100</v>
      </c>
      <c r="T26" s="713" t="s">
        <v>17</v>
      </c>
      <c r="U26" s="714">
        <f t="shared" ref="U26:U34" si="10">H26</f>
        <v>100</v>
      </c>
      <c r="V26" s="713" t="s">
        <v>17</v>
      </c>
      <c r="W26" s="714">
        <f t="shared" ref="W26:W34" si="11">J26</f>
        <v>100</v>
      </c>
      <c r="X26" s="1533"/>
      <c r="Y26" s="3368" t="s">
        <v>2383</v>
      </c>
      <c r="Z26" s="1534" t="str">
        <f t="shared" ref="Z26:Z34" si="12">Q26</f>
        <v>公共部分装修</v>
      </c>
      <c r="AA26" s="1531">
        <f t="shared" si="3"/>
        <v>1</v>
      </c>
      <c r="AB26" s="1531">
        <f t="shared" si="4"/>
        <v>1</v>
      </c>
      <c r="AC26" s="1531">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4"/>
      <c r="P27" s="3368"/>
      <c r="Q27" s="715" t="str">
        <f t="shared" si="8"/>
        <v>成新率</v>
      </c>
      <c r="R27" s="716" t="s">
        <v>17</v>
      </c>
      <c r="S27" s="717" t="e">
        <f t="shared" si="9"/>
        <v>#N/A</v>
      </c>
      <c r="T27" s="716" t="s">
        <v>17</v>
      </c>
      <c r="U27" s="717" t="e">
        <f t="shared" si="10"/>
        <v>#N/A</v>
      </c>
      <c r="V27" s="716" t="s">
        <v>17</v>
      </c>
      <c r="W27" s="717" t="e">
        <f t="shared" si="11"/>
        <v>#N/A</v>
      </c>
      <c r="X27" s="718"/>
      <c r="Y27" s="3368"/>
      <c r="Z27" s="719" t="str">
        <f t="shared" si="12"/>
        <v>成新率</v>
      </c>
      <c r="AA27" s="1531" t="e">
        <f t="shared" si="3"/>
        <v>#N/A</v>
      </c>
      <c r="AB27" s="1531" t="e">
        <f t="shared" si="4"/>
        <v>#N/A</v>
      </c>
      <c r="AC27" s="1531"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3"/>
      <c r="P28" s="3368"/>
      <c r="Q28" s="1530" t="str">
        <f t="shared" si="8"/>
        <v>物业等级</v>
      </c>
      <c r="R28" s="713" t="s">
        <v>17</v>
      </c>
      <c r="S28" s="714">
        <f t="shared" si="9"/>
        <v>100</v>
      </c>
      <c r="T28" s="713" t="s">
        <v>17</v>
      </c>
      <c r="U28" s="714">
        <f t="shared" si="10"/>
        <v>100</v>
      </c>
      <c r="V28" s="713" t="s">
        <v>17</v>
      </c>
      <c r="W28" s="714">
        <f t="shared" si="11"/>
        <v>100</v>
      </c>
      <c r="X28" s="1533"/>
      <c r="Y28" s="3368"/>
      <c r="Z28" s="1534" t="str">
        <f t="shared" si="12"/>
        <v>物业等级</v>
      </c>
      <c r="AA28" s="1531">
        <f t="shared" si="3"/>
        <v>1</v>
      </c>
      <c r="AB28" s="1531">
        <f t="shared" si="4"/>
        <v>1</v>
      </c>
      <c r="AC28" s="1531">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3"/>
      <c r="P29" s="3368"/>
      <c r="Q29" s="1530" t="str">
        <f t="shared" si="8"/>
        <v>有无电梯</v>
      </c>
      <c r="R29" s="713" t="s">
        <v>17</v>
      </c>
      <c r="S29" s="714">
        <f t="shared" si="9"/>
        <v>100</v>
      </c>
      <c r="T29" s="713" t="s">
        <v>17</v>
      </c>
      <c r="U29" s="714">
        <f t="shared" si="10"/>
        <v>100</v>
      </c>
      <c r="V29" s="713" t="s">
        <v>17</v>
      </c>
      <c r="W29" s="714">
        <f t="shared" si="11"/>
        <v>100</v>
      </c>
      <c r="X29" s="1533"/>
      <c r="Y29" s="3368"/>
      <c r="Z29" s="1534" t="str">
        <f t="shared" si="12"/>
        <v>有无电梯</v>
      </c>
      <c r="AA29" s="1531">
        <f t="shared" si="3"/>
        <v>1</v>
      </c>
      <c r="AB29" s="1531">
        <f t="shared" si="4"/>
        <v>1</v>
      </c>
      <c r="AC29" s="1531">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3"/>
      <c r="P30" s="3368"/>
      <c r="Q30" s="1530" t="str">
        <f t="shared" si="8"/>
        <v>建筑面积</v>
      </c>
      <c r="R30" s="713" t="s">
        <v>17</v>
      </c>
      <c r="S30" s="714" t="e">
        <f t="shared" si="9"/>
        <v>#N/A</v>
      </c>
      <c r="T30" s="713" t="s">
        <v>17</v>
      </c>
      <c r="U30" s="714" t="e">
        <f t="shared" si="10"/>
        <v>#N/A</v>
      </c>
      <c r="V30" s="713" t="s">
        <v>17</v>
      </c>
      <c r="W30" s="714" t="e">
        <f t="shared" si="11"/>
        <v>#N/A</v>
      </c>
      <c r="X30" s="1533"/>
      <c r="Y30" s="3368"/>
      <c r="Z30" s="1534" t="str">
        <f t="shared" si="12"/>
        <v>建筑面积</v>
      </c>
      <c r="AA30" s="1531" t="e">
        <f t="shared" si="3"/>
        <v>#N/A</v>
      </c>
      <c r="AB30" s="1531" t="e">
        <f t="shared" si="4"/>
        <v>#N/A</v>
      </c>
      <c r="AC30" s="1531"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1"/>
      <c r="P31" s="3368"/>
      <c r="Q31" s="1521" t="str">
        <f t="shared" si="8"/>
        <v>是否封闭</v>
      </c>
      <c r="R31" s="709" t="s">
        <v>17</v>
      </c>
      <c r="S31" s="710">
        <f t="shared" si="9"/>
        <v>100</v>
      </c>
      <c r="T31" s="709" t="s">
        <v>17</v>
      </c>
      <c r="U31" s="710">
        <f t="shared" si="10"/>
        <v>100</v>
      </c>
      <c r="V31" s="709" t="s">
        <v>17</v>
      </c>
      <c r="W31" s="710">
        <f t="shared" si="11"/>
        <v>100</v>
      </c>
      <c r="X31" s="711"/>
      <c r="Y31" s="3368"/>
      <c r="Z31" s="55" t="str">
        <f t="shared" si="12"/>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3"/>
      <c r="P32" s="3368" t="s">
        <v>2383</v>
      </c>
      <c r="Q32" s="1530">
        <f t="shared" si="8"/>
        <v>111</v>
      </c>
      <c r="R32" s="713" t="s">
        <v>17</v>
      </c>
      <c r="S32" s="714">
        <f t="shared" si="9"/>
        <v>100</v>
      </c>
      <c r="T32" s="713" t="s">
        <v>17</v>
      </c>
      <c r="U32" s="714">
        <f t="shared" si="10"/>
        <v>100</v>
      </c>
      <c r="V32" s="713" t="s">
        <v>17</v>
      </c>
      <c r="W32" s="714">
        <f t="shared" si="11"/>
        <v>100</v>
      </c>
      <c r="X32" s="1533"/>
      <c r="Y32" s="3368" t="s">
        <v>2383</v>
      </c>
      <c r="Z32" s="1534">
        <f t="shared" si="12"/>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3"/>
      <c r="P33" s="3368"/>
      <c r="Q33" s="1530">
        <f t="shared" si="8"/>
        <v>111</v>
      </c>
      <c r="R33" s="713" t="s">
        <v>17</v>
      </c>
      <c r="S33" s="714">
        <f t="shared" si="9"/>
        <v>100</v>
      </c>
      <c r="T33" s="713" t="s">
        <v>17</v>
      </c>
      <c r="U33" s="714">
        <f t="shared" si="10"/>
        <v>100</v>
      </c>
      <c r="V33" s="713" t="s">
        <v>17</v>
      </c>
      <c r="W33" s="714">
        <f t="shared" si="11"/>
        <v>100</v>
      </c>
      <c r="X33" s="1533"/>
      <c r="Y33" s="3368"/>
      <c r="Z33" s="1534">
        <f t="shared" si="12"/>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1"/>
      <c r="M34" s="2935"/>
      <c r="N34" s="2935"/>
      <c r="O34" s="2993"/>
      <c r="P34" s="3368"/>
      <c r="Q34" s="1530">
        <f t="shared" si="8"/>
        <v>111</v>
      </c>
      <c r="R34" s="713" t="s">
        <v>17</v>
      </c>
      <c r="S34" s="714">
        <f t="shared" si="9"/>
        <v>100</v>
      </c>
      <c r="T34" s="713" t="s">
        <v>17</v>
      </c>
      <c r="U34" s="714">
        <f t="shared" si="10"/>
        <v>100</v>
      </c>
      <c r="V34" s="713" t="s">
        <v>17</v>
      </c>
      <c r="W34" s="714">
        <f t="shared" si="11"/>
        <v>100</v>
      </c>
      <c r="X34" s="1533"/>
      <c r="Y34" s="3368"/>
      <c r="Z34" s="1534">
        <f t="shared" si="12"/>
        <v>111</v>
      </c>
      <c r="AA34" s="1531">
        <f t="shared" si="3"/>
        <v>1</v>
      </c>
      <c r="AB34" s="1531">
        <f t="shared" si="4"/>
        <v>1</v>
      </c>
      <c r="AC34" s="1531">
        <f t="shared" si="5"/>
        <v>1</v>
      </c>
    </row>
    <row r="35" spans="1:30" ht="15">
      <c r="A35" s="437" t="s">
        <v>2395</v>
      </c>
      <c r="B35" s="438"/>
      <c r="C35" s="1309" t="s">
        <v>1</v>
      </c>
      <c r="D35" s="1310"/>
      <c r="E35" s="1311"/>
      <c r="F35" s="1312"/>
      <c r="G35" s="1313"/>
      <c r="H35" s="1314"/>
      <c r="I35" s="1311"/>
      <c r="J35" s="1314"/>
      <c r="K35" s="722"/>
      <c r="L35" s="2943"/>
      <c r="M35" s="2944"/>
      <c r="N35" s="2935"/>
      <c r="O35" s="2944"/>
      <c r="P35" s="3361" t="str">
        <f>A35</f>
        <v>成交单价（元/平方米）</v>
      </c>
      <c r="Q35" s="3361"/>
      <c r="R35" s="3362">
        <f>E35</f>
        <v>0</v>
      </c>
      <c r="S35" s="3362"/>
      <c r="T35" s="3362">
        <f>G35</f>
        <v>0</v>
      </c>
      <c r="U35" s="3362"/>
      <c r="V35" s="3362">
        <f>I35</f>
        <v>0</v>
      </c>
      <c r="W35" s="3362"/>
      <c r="X35" s="698"/>
      <c r="Y35" s="720"/>
      <c r="Z35" s="698"/>
      <c r="AA35" s="698"/>
      <c r="AB35" s="698"/>
      <c r="AC35" s="698"/>
    </row>
    <row r="36" spans="1:30" ht="15.75" thickBot="1">
      <c r="A36" s="444" t="s">
        <v>2487</v>
      </c>
      <c r="B36" s="445"/>
      <c r="C36" s="1315" t="e">
        <f>R37</f>
        <v>#DIV/0!</v>
      </c>
      <c r="D36" s="2531" t="s">
        <v>2878</v>
      </c>
      <c r="E36" s="1316" t="e">
        <f>R36</f>
        <v>#DIV/0!</v>
      </c>
      <c r="F36" s="2532"/>
      <c r="G36" s="1315" t="e">
        <f>T36</f>
        <v>#DIV/0!</v>
      </c>
      <c r="H36" s="2532"/>
      <c r="I36" s="1316" t="e">
        <f>V36</f>
        <v>#DIV/0!</v>
      </c>
      <c r="J36" s="2532"/>
      <c r="K36" s="2534">
        <f>F36+H36+J36</f>
        <v>0</v>
      </c>
      <c r="L36" s="2943"/>
      <c r="M36" s="2944"/>
      <c r="N36" s="2935"/>
      <c r="O36" s="2944"/>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698"/>
      <c r="Y36" s="698"/>
      <c r="Z36" s="698"/>
      <c r="AA36" s="698"/>
      <c r="AB36" s="698"/>
      <c r="AC36" s="698"/>
    </row>
    <row r="37" spans="1:30" ht="15.75" thickBot="1">
      <c r="A37" s="448" t="s">
        <v>2488</v>
      </c>
      <c r="B37" s="449"/>
      <c r="C37" s="1318" t="e">
        <f>R37</f>
        <v>#DIV/0!</v>
      </c>
      <c r="D37" s="1318"/>
      <c r="E37" s="1318"/>
      <c r="F37" s="1318"/>
      <c r="G37" s="1318"/>
      <c r="H37" s="1318"/>
      <c r="I37" s="1318"/>
      <c r="J37" s="1318"/>
      <c r="K37" s="723"/>
      <c r="L37" s="2943"/>
      <c r="M37" s="2944"/>
      <c r="N37" s="2944"/>
      <c r="O37" s="2944"/>
      <c r="P37" s="3358" t="str">
        <f>A37</f>
        <v>估价对象XX用房的比较价值（楼面单价，元/平方米）</v>
      </c>
      <c r="Q37" s="3359"/>
      <c r="R37" s="3388" t="e">
        <f>IF(F1="售价",ROUND(IF(D36="简单平均",AVERAGE(R36:W36),R36*F36+T36*H36+V36*J36),0),ROUND(IF(D36="简单平均",AVERAGE(R36:V36),R36*F36+T36*H36+V36*J36),1))</f>
        <v>#DIV/0!</v>
      </c>
      <c r="S37" s="3388"/>
      <c r="T37" s="3388"/>
      <c r="U37" s="3388"/>
      <c r="V37" s="3388"/>
      <c r="W37" s="3388"/>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2492</v>
      </c>
      <c r="B45" s="698"/>
      <c r="C45" s="703"/>
      <c r="D45" s="703"/>
      <c r="E45" s="703"/>
      <c r="F45" s="704"/>
      <c r="G45" s="704"/>
      <c r="H45" s="703"/>
      <c r="I45" s="703"/>
      <c r="J45" s="703"/>
      <c r="K45" s="705"/>
      <c r="L45" s="706"/>
      <c r="M45" s="703"/>
      <c r="N45" s="2988"/>
      <c r="O45" s="2988"/>
      <c r="P45" s="2988"/>
      <c r="Q45" s="2958"/>
      <c r="R45" s="2944"/>
      <c r="S45" s="2944"/>
      <c r="T45" s="2944"/>
      <c r="U45" s="2944"/>
      <c r="V45" s="2944"/>
      <c r="W45" s="2944"/>
      <c r="X45" s="2944"/>
      <c r="Y45" s="2944"/>
      <c r="Z45" s="2944"/>
      <c r="AA45" s="2944"/>
      <c r="AB45" s="2944"/>
      <c r="AC45" s="2944"/>
      <c r="AD45" s="2944"/>
    </row>
    <row r="46" spans="1:30" s="464" customFormat="1" ht="15">
      <c r="A46" s="461" t="s">
        <v>2366</v>
      </c>
      <c r="B46" s="462"/>
      <c r="C46" s="1338" t="str">
        <f>YEAR(C7)&amp;"-"&amp;MONTH(C7)</f>
        <v>2020-12</v>
      </c>
      <c r="D46" s="1339">
        <f>EDATE(C46,-1)</f>
        <v>44136</v>
      </c>
      <c r="E46" s="1339">
        <f t="shared" ref="E46:O46" si="13">EDATE(D46,-1)</f>
        <v>44105</v>
      </c>
      <c r="F46" s="1339">
        <f t="shared" si="13"/>
        <v>44075</v>
      </c>
      <c r="G46" s="1339">
        <f t="shared" si="13"/>
        <v>44044</v>
      </c>
      <c r="H46" s="1339">
        <f t="shared" si="13"/>
        <v>44013</v>
      </c>
      <c r="I46" s="1339">
        <f t="shared" si="13"/>
        <v>43983</v>
      </c>
      <c r="J46" s="1339">
        <f t="shared" si="13"/>
        <v>43952</v>
      </c>
      <c r="K46" s="1339">
        <f t="shared" si="13"/>
        <v>43922</v>
      </c>
      <c r="L46" s="1339">
        <f t="shared" si="13"/>
        <v>43891</v>
      </c>
      <c r="M46" s="1339">
        <f t="shared" si="13"/>
        <v>43862</v>
      </c>
      <c r="N46" s="1339">
        <f t="shared" si="13"/>
        <v>43831</v>
      </c>
      <c r="O46" s="1339">
        <f t="shared" si="13"/>
        <v>43800</v>
      </c>
      <c r="P46" s="2995"/>
      <c r="Q46" s="2960"/>
      <c r="R46" s="2960"/>
      <c r="S46" s="2960"/>
      <c r="T46" s="2960"/>
      <c r="U46" s="2960"/>
      <c r="V46" s="2960"/>
      <c r="W46" s="2960"/>
      <c r="X46" s="2960"/>
      <c r="Y46" s="2960"/>
      <c r="Z46" s="2960"/>
      <c r="AA46" s="2960"/>
      <c r="AB46" s="2960"/>
      <c r="AC46" s="2960"/>
      <c r="AD46" s="2960"/>
    </row>
    <row r="47" spans="1:30" s="112" customFormat="1" ht="15">
      <c r="A47" s="465"/>
      <c r="B47" s="466"/>
      <c r="C47" s="1337">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2" customFormat="1" ht="15.75" thickBot="1">
      <c r="A48" s="471" t="s">
        <v>2403</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2" customFormat="1" ht="15">
      <c r="A49" s="477" t="s">
        <v>2368</v>
      </c>
      <c r="B49" s="466"/>
      <c r="C49" s="478" t="s">
        <v>2470</v>
      </c>
      <c r="D49" s="479"/>
      <c r="E49" s="479"/>
      <c r="F49" s="479"/>
      <c r="G49" s="479"/>
      <c r="H49" s="479"/>
      <c r="I49" s="479"/>
      <c r="J49" s="479"/>
      <c r="K49" s="479"/>
      <c r="L49" s="480"/>
      <c r="M49" s="481"/>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7"/>
      <c r="B50" s="466"/>
      <c r="C50" s="594">
        <v>100</v>
      </c>
      <c r="D50" s="468"/>
      <c r="E50" s="468"/>
      <c r="F50" s="468"/>
      <c r="G50" s="468"/>
      <c r="H50" s="468"/>
      <c r="I50" s="468"/>
      <c r="J50" s="468"/>
      <c r="K50" s="468"/>
      <c r="L50" s="468"/>
      <c r="M50" s="470"/>
      <c r="N50" s="2971"/>
      <c r="O50" s="2971"/>
      <c r="P50" s="2958"/>
      <c r="Q50" s="2958"/>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2"/>
      <c r="O51" s="2972"/>
      <c r="P51" s="2997"/>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3"/>
      <c r="O52" s="2973"/>
      <c r="P52" s="2997"/>
      <c r="Q52" s="2958"/>
      <c r="R52" s="2944"/>
      <c r="S52" s="2944"/>
      <c r="T52" s="2944"/>
      <c r="U52" s="2944"/>
      <c r="V52" s="2944"/>
      <c r="W52" s="2944"/>
      <c r="X52" s="2944"/>
      <c r="Y52" s="2944"/>
      <c r="Z52" s="2944"/>
      <c r="AA52" s="2944"/>
      <c r="AB52" s="2944"/>
      <c r="AC52" s="2944"/>
      <c r="AD52" s="2944"/>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2"/>
      <c r="O53" s="2972"/>
      <c r="P53" s="2997"/>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3"/>
      <c r="O54" s="2973"/>
      <c r="P54" s="2997"/>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2"/>
      <c r="O55" s="2972"/>
      <c r="P55" s="2997"/>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3"/>
      <c r="O56" s="2973"/>
      <c r="P56" s="2997"/>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4"/>
      <c r="O57" s="2974"/>
      <c r="P57" s="2998"/>
      <c r="Q57" s="2965"/>
      <c r="R57" s="2966"/>
      <c r="S57" s="2966"/>
      <c r="T57" s="2966"/>
      <c r="U57" s="2966"/>
      <c r="V57" s="2966"/>
      <c r="W57" s="2966"/>
      <c r="X57" s="2966"/>
      <c r="Y57" s="2966"/>
      <c r="Z57" s="2966"/>
      <c r="AA57" s="2966"/>
      <c r="AB57" s="2966"/>
      <c r="AC57" s="2966"/>
      <c r="AD57" s="2966"/>
    </row>
    <row r="58" spans="1:30" s="429" customFormat="1" ht="15.75" thickBot="1">
      <c r="A58" s="509"/>
      <c r="B58" s="499"/>
      <c r="C58" s="516"/>
      <c r="D58" s="492"/>
      <c r="E58" s="492"/>
      <c r="F58" s="492"/>
      <c r="G58" s="492"/>
      <c r="H58" s="492"/>
      <c r="I58" s="492"/>
      <c r="J58" s="492"/>
      <c r="K58" s="492"/>
      <c r="L58" s="492"/>
      <c r="M58" s="493"/>
      <c r="N58" s="2973"/>
      <c r="O58" s="2973"/>
      <c r="P58" s="2998"/>
      <c r="Q58" s="2965"/>
      <c r="R58" s="2966"/>
      <c r="S58" s="2966"/>
      <c r="T58" s="2966"/>
      <c r="U58" s="2966"/>
      <c r="V58" s="2966"/>
      <c r="W58" s="2966"/>
      <c r="X58" s="2966"/>
      <c r="Y58" s="2966"/>
      <c r="Z58" s="2966"/>
      <c r="AA58" s="2966"/>
      <c r="AB58" s="2966"/>
      <c r="AC58" s="2966"/>
      <c r="AD58" s="2966"/>
    </row>
    <row r="59" spans="1:30" s="429" customFormat="1" ht="15.75" thickTop="1">
      <c r="A59" s="509"/>
      <c r="B59" s="494">
        <f>B13</f>
        <v>111</v>
      </c>
      <c r="C59" s="505"/>
      <c r="D59" s="505"/>
      <c r="E59" s="505"/>
      <c r="F59" s="505"/>
      <c r="G59" s="510"/>
      <c r="H59" s="511"/>
      <c r="I59" s="511"/>
      <c r="J59" s="511"/>
      <c r="K59" s="511"/>
      <c r="L59" s="512"/>
      <c r="M59" s="513"/>
      <c r="N59" s="2974"/>
      <c r="O59" s="2974"/>
      <c r="P59" s="2942"/>
      <c r="Q59" s="2968"/>
      <c r="R59" s="2966"/>
      <c r="S59" s="2966"/>
      <c r="T59" s="2966"/>
      <c r="U59" s="2966"/>
      <c r="V59" s="2966"/>
      <c r="W59" s="2966"/>
      <c r="X59" s="2966"/>
      <c r="Y59" s="2966"/>
      <c r="Z59" s="2966"/>
      <c r="AA59" s="2966"/>
      <c r="AB59" s="2966"/>
      <c r="AC59" s="2966"/>
      <c r="AD59" s="2966"/>
    </row>
    <row r="60" spans="1:30" s="429" customFormat="1" ht="15.75" thickBot="1">
      <c r="A60" s="509"/>
      <c r="B60" s="499"/>
      <c r="C60" s="516"/>
      <c r="D60" s="516"/>
      <c r="E60" s="516"/>
      <c r="F60" s="516"/>
      <c r="G60" s="516"/>
      <c r="H60" s="518"/>
      <c r="I60" s="518"/>
      <c r="J60" s="518"/>
      <c r="K60" s="518"/>
      <c r="L60" s="518"/>
      <c r="M60" s="519"/>
      <c r="N60" s="2974"/>
      <c r="O60" s="2974"/>
      <c r="P60" s="2998"/>
      <c r="Q60" s="2965"/>
      <c r="R60" s="2966"/>
      <c r="S60" s="2966"/>
      <c r="T60" s="2966"/>
      <c r="U60" s="2966"/>
      <c r="V60" s="2966"/>
      <c r="W60" s="2966"/>
      <c r="X60" s="2966"/>
      <c r="Y60" s="2966"/>
      <c r="Z60" s="2966"/>
      <c r="AA60" s="2966"/>
      <c r="AB60" s="2966"/>
      <c r="AC60" s="2966"/>
      <c r="AD60" s="2966"/>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2"/>
      <c r="O61" s="2972"/>
      <c r="P61" s="2999"/>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3"/>
      <c r="O62" s="2973"/>
      <c r="P62" s="2997"/>
      <c r="Q62" s="2958"/>
      <c r="R62" s="2944"/>
      <c r="S62" s="2944"/>
      <c r="T62" s="2944"/>
      <c r="U62" s="2944"/>
      <c r="V62" s="2944"/>
      <c r="W62" s="2944"/>
      <c r="X62" s="2944"/>
      <c r="Y62" s="2944"/>
      <c r="Z62" s="2944"/>
      <c r="AA62" s="2944"/>
      <c r="AB62" s="2944"/>
      <c r="AC62" s="2944"/>
      <c r="AD62" s="2944"/>
    </row>
    <row r="63" spans="1:30" ht="27.75" thickTop="1">
      <c r="A63" s="490"/>
      <c r="B63" s="494" t="s">
        <v>2558</v>
      </c>
      <c r="C63" s="534" t="s">
        <v>2415</v>
      </c>
      <c r="D63" s="534" t="s">
        <v>2416</v>
      </c>
      <c r="E63" s="534" t="s">
        <v>2417</v>
      </c>
      <c r="F63" s="534" t="s">
        <v>2418</v>
      </c>
      <c r="G63" s="534" t="s">
        <v>2419</v>
      </c>
      <c r="H63" s="495"/>
      <c r="I63" s="495"/>
      <c r="J63" s="495"/>
      <c r="K63" s="496"/>
      <c r="L63" s="497"/>
      <c r="M63" s="498"/>
      <c r="N63" s="2972"/>
      <c r="O63" s="2972"/>
      <c r="P63" s="2997"/>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3"/>
      <c r="O64" s="2973"/>
      <c r="P64" s="2997"/>
      <c r="Q64" s="2958"/>
      <c r="R64" s="2944"/>
      <c r="S64" s="2944"/>
      <c r="T64" s="2944"/>
      <c r="U64" s="2944"/>
      <c r="V64" s="2944"/>
      <c r="W64" s="2944"/>
      <c r="X64" s="2944"/>
      <c r="Y64" s="2944"/>
      <c r="Z64" s="2944"/>
      <c r="AA64" s="2944"/>
      <c r="AB64" s="2944"/>
      <c r="AC64" s="2944"/>
      <c r="AD64" s="2944"/>
    </row>
    <row r="65" spans="1:30" ht="15.75" thickTop="1">
      <c r="A65" s="490"/>
      <c r="B65" s="502" t="s">
        <v>2507</v>
      </c>
      <c r="C65" s="615" t="s">
        <v>2493</v>
      </c>
      <c r="D65" s="615" t="s">
        <v>2494</v>
      </c>
      <c r="E65" s="615" t="s">
        <v>2495</v>
      </c>
      <c r="F65" s="615" t="s">
        <v>2496</v>
      </c>
      <c r="G65" s="615" t="s">
        <v>2497</v>
      </c>
      <c r="H65" s="495"/>
      <c r="I65" s="495"/>
      <c r="J65" s="495"/>
      <c r="K65" s="495"/>
      <c r="L65" s="495"/>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3"/>
      <c r="O66" s="2973"/>
      <c r="P66" s="2997"/>
      <c r="Q66" s="2958"/>
      <c r="R66" s="2944"/>
      <c r="S66" s="2944"/>
      <c r="T66" s="2944"/>
      <c r="U66" s="2944"/>
      <c r="V66" s="2944"/>
      <c r="W66" s="2944"/>
      <c r="X66" s="2944"/>
      <c r="Y66" s="2944"/>
      <c r="Z66" s="2944"/>
      <c r="AA66" s="2944"/>
      <c r="AB66" s="2944"/>
      <c r="AC66" s="2944"/>
      <c r="AD66" s="2944"/>
    </row>
    <row r="67" spans="1:30" ht="15.75" thickTop="1">
      <c r="A67" s="490"/>
      <c r="B67" s="494" t="s">
        <v>2427</v>
      </c>
      <c r="C67" s="534" t="s">
        <v>2415</v>
      </c>
      <c r="D67" s="534" t="s">
        <v>2416</v>
      </c>
      <c r="E67" s="534" t="s">
        <v>2417</v>
      </c>
      <c r="F67" s="534" t="s">
        <v>2418</v>
      </c>
      <c r="G67" s="534" t="s">
        <v>2419</v>
      </c>
      <c r="H67" s="495"/>
      <c r="I67" s="495"/>
      <c r="J67" s="495"/>
      <c r="K67" s="496"/>
      <c r="L67" s="497"/>
      <c r="M67" s="498"/>
      <c r="N67" s="2972"/>
      <c r="O67" s="2972"/>
      <c r="P67" s="2997"/>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3"/>
      <c r="O68" s="2973"/>
      <c r="P68" s="2997"/>
      <c r="Q68" s="2958"/>
      <c r="R68" s="2944"/>
      <c r="S68" s="2944"/>
      <c r="T68" s="2944"/>
      <c r="U68" s="2944"/>
      <c r="V68" s="2944"/>
      <c r="W68" s="2944"/>
      <c r="X68" s="2944"/>
      <c r="Y68" s="2944"/>
      <c r="Z68" s="2944"/>
      <c r="AA68" s="2944"/>
      <c r="AB68" s="2944"/>
      <c r="AC68" s="2944"/>
      <c r="AD68" s="2944"/>
    </row>
    <row r="69" spans="1:30" ht="15.75" thickTop="1">
      <c r="A69" s="490"/>
      <c r="B69" s="494" t="s">
        <v>2547</v>
      </c>
      <c r="C69" s="510"/>
      <c r="D69" s="510"/>
      <c r="E69" s="510"/>
      <c r="F69" s="510"/>
      <c r="G69" s="510"/>
      <c r="H69" s="539"/>
      <c r="I69" s="539"/>
      <c r="J69" s="539"/>
      <c r="K69" s="540"/>
      <c r="L69" s="541"/>
      <c r="M69" s="542"/>
      <c r="N69" s="2972"/>
      <c r="O69" s="2972"/>
      <c r="P69" s="2997"/>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5"/>
      <c r="B71" s="494">
        <f>B23</f>
        <v>111</v>
      </c>
      <c r="C71" s="505"/>
      <c r="D71" s="505"/>
      <c r="E71" s="505"/>
      <c r="F71" s="505"/>
      <c r="G71" s="510"/>
      <c r="H71" s="510"/>
      <c r="I71" s="510"/>
      <c r="J71" s="510"/>
      <c r="K71" s="510"/>
      <c r="L71" s="536"/>
      <c r="M71" s="537"/>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5"/>
      <c r="B72" s="499"/>
      <c r="C72" s="516"/>
      <c r="D72" s="492"/>
      <c r="E72" s="492"/>
      <c r="F72" s="492"/>
      <c r="G72" s="492"/>
      <c r="H72" s="492"/>
      <c r="I72" s="492"/>
      <c r="J72" s="492"/>
      <c r="K72" s="492"/>
      <c r="L72" s="492"/>
      <c r="M72" s="493"/>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5"/>
      <c r="B73" s="494">
        <f>B24</f>
        <v>111</v>
      </c>
      <c r="C73" s="505"/>
      <c r="D73" s="505"/>
      <c r="E73" s="505"/>
      <c r="F73" s="505"/>
      <c r="G73" s="510"/>
      <c r="H73" s="510"/>
      <c r="I73" s="510"/>
      <c r="J73" s="510"/>
      <c r="K73" s="510"/>
      <c r="L73" s="510"/>
      <c r="M73" s="537"/>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5"/>
      <c r="B74" s="499"/>
      <c r="C74" s="516"/>
      <c r="D74" s="492"/>
      <c r="E74" s="492"/>
      <c r="F74" s="492"/>
      <c r="G74" s="492"/>
      <c r="H74" s="492"/>
      <c r="I74" s="492"/>
      <c r="J74" s="492"/>
      <c r="K74" s="492"/>
      <c r="L74" s="492"/>
      <c r="M74" s="493"/>
      <c r="N74" s="2973"/>
      <c r="O74" s="2973"/>
      <c r="P74" s="2997"/>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4"/>
      <c r="O75" s="2974"/>
      <c r="P75" s="2998"/>
      <c r="Q75" s="2965"/>
      <c r="R75" s="2966"/>
      <c r="S75" s="2966"/>
      <c r="T75" s="2966"/>
      <c r="U75" s="2966"/>
      <c r="V75" s="2966"/>
      <c r="W75" s="2966"/>
      <c r="X75" s="2966"/>
      <c r="Y75" s="2966"/>
      <c r="Z75" s="2966"/>
      <c r="AA75" s="2966"/>
      <c r="AB75" s="2966"/>
      <c r="AC75" s="2966"/>
      <c r="AD75" s="2966"/>
    </row>
    <row r="76" spans="1:30" s="429" customFormat="1" ht="15.75" thickBot="1">
      <c r="A76" s="509"/>
      <c r="B76" s="499"/>
      <c r="C76" s="516"/>
      <c r="D76" s="516"/>
      <c r="E76" s="516"/>
      <c r="F76" s="516"/>
      <c r="G76" s="492"/>
      <c r="H76" s="492"/>
      <c r="I76" s="492"/>
      <c r="J76" s="492"/>
      <c r="K76" s="492"/>
      <c r="L76" s="492"/>
      <c r="M76" s="493"/>
      <c r="N76" s="2974"/>
      <c r="O76" s="2974"/>
      <c r="P76" s="2998"/>
      <c r="Q76" s="2965"/>
      <c r="R76" s="2966"/>
      <c r="S76" s="2966"/>
      <c r="T76" s="2966"/>
      <c r="U76" s="2966"/>
      <c r="V76" s="2966"/>
      <c r="W76" s="2966"/>
      <c r="X76" s="2966"/>
      <c r="Y76" s="2966"/>
      <c r="Z76" s="2966"/>
      <c r="AA76" s="2966"/>
      <c r="AB76" s="2966"/>
      <c r="AC76" s="2966"/>
      <c r="AD76" s="2966"/>
    </row>
    <row r="77" spans="1:30" ht="15" thickTop="1">
      <c r="A77" s="483" t="s">
        <v>2381</v>
      </c>
      <c r="B77" s="484" t="s">
        <v>2434</v>
      </c>
      <c r="C77" s="510"/>
      <c r="D77" s="510"/>
      <c r="E77" s="486"/>
      <c r="F77" s="486"/>
      <c r="G77" s="486"/>
      <c r="H77" s="486"/>
      <c r="I77" s="486"/>
      <c r="J77" s="486"/>
      <c r="K77" s="487"/>
      <c r="L77" s="488"/>
      <c r="M77" s="489"/>
      <c r="N77" s="2972"/>
      <c r="O77" s="2972"/>
      <c r="P77" s="2997"/>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1"/>
      <c r="O79" s="2971"/>
      <c r="P79" s="2997"/>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1"/>
      <c r="O80" s="2971"/>
      <c r="P80" s="2997"/>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5"/>
      <c r="B82" s="502" t="s">
        <v>2551</v>
      </c>
      <c r="C82" s="510"/>
      <c r="D82" s="510"/>
      <c r="E82" s="539"/>
      <c r="F82" s="539"/>
      <c r="G82" s="539"/>
      <c r="H82" s="539"/>
      <c r="I82" s="539"/>
      <c r="J82" s="539"/>
      <c r="K82" s="540"/>
      <c r="L82" s="541"/>
      <c r="M82" s="542"/>
      <c r="N82" s="2972"/>
      <c r="O82" s="2972"/>
      <c r="P82" s="2997"/>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5"/>
      <c r="B84" s="494" t="s">
        <v>2559</v>
      </c>
      <c r="C84" s="510"/>
      <c r="D84" s="510"/>
      <c r="E84" s="510"/>
      <c r="F84" s="510"/>
      <c r="G84" s="510"/>
      <c r="H84" s="510"/>
      <c r="I84" s="539"/>
      <c r="J84" s="539"/>
      <c r="K84" s="540"/>
      <c r="L84" s="541"/>
      <c r="M84" s="542"/>
      <c r="N84" s="2972"/>
      <c r="O84" s="2972"/>
      <c r="P84" s="2997"/>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2"/>
      <c r="O87" s="2972"/>
      <c r="P87" s="2997"/>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3"/>
      <c r="O88" s="2973"/>
      <c r="P88" s="2997"/>
      <c r="Q88" s="2958"/>
      <c r="R88" s="2944"/>
      <c r="S88" s="2944"/>
      <c r="T88" s="2944"/>
      <c r="U88" s="2944"/>
      <c r="V88" s="2944"/>
      <c r="W88" s="2944"/>
      <c r="X88" s="2944"/>
      <c r="Y88" s="2944"/>
      <c r="Z88" s="2944"/>
      <c r="AA88" s="2944"/>
      <c r="AB88" s="2944"/>
      <c r="AC88" s="2944"/>
      <c r="AD88" s="2944"/>
    </row>
    <row r="89" spans="1:30" s="429" customFormat="1" ht="15" thickTop="1">
      <c r="A89" s="549"/>
      <c r="B89" s="494" t="s">
        <v>2561</v>
      </c>
      <c r="C89" s="510"/>
      <c r="D89" s="510"/>
      <c r="E89" s="510"/>
      <c r="F89" s="510"/>
      <c r="G89" s="510"/>
      <c r="H89" s="510"/>
      <c r="I89" s="510"/>
      <c r="J89" s="510"/>
      <c r="K89" s="510"/>
      <c r="L89" s="510"/>
      <c r="M89" s="537"/>
      <c r="N89" s="2974"/>
      <c r="O89" s="2974"/>
      <c r="P89" s="2998"/>
      <c r="Q89" s="2965"/>
      <c r="R89" s="2966"/>
      <c r="S89" s="2966"/>
      <c r="T89" s="2966"/>
      <c r="U89" s="2966"/>
      <c r="V89" s="2966"/>
      <c r="W89" s="2966"/>
      <c r="X89" s="2966"/>
      <c r="Y89" s="2966"/>
      <c r="Z89" s="2966"/>
      <c r="AA89" s="2966"/>
      <c r="AB89" s="2966"/>
      <c r="AC89" s="2966"/>
      <c r="AD89" s="2966"/>
    </row>
    <row r="90" spans="1:30" s="429" customFormat="1" ht="15.75" thickBot="1">
      <c r="A90" s="509"/>
      <c r="B90" s="499"/>
      <c r="C90" s="516"/>
      <c r="D90" s="492"/>
      <c r="E90" s="492"/>
      <c r="F90" s="492"/>
      <c r="G90" s="492"/>
      <c r="H90" s="492"/>
      <c r="I90" s="492"/>
      <c r="J90" s="492"/>
      <c r="K90" s="492"/>
      <c r="L90" s="492"/>
      <c r="M90" s="493"/>
      <c r="N90" s="2974"/>
      <c r="O90" s="2974"/>
      <c r="P90" s="2998"/>
      <c r="Q90" s="2965"/>
      <c r="R90" s="2966"/>
      <c r="S90" s="2966"/>
      <c r="T90" s="2966"/>
      <c r="U90" s="2966"/>
      <c r="V90" s="2966"/>
      <c r="W90" s="2966"/>
      <c r="X90" s="2966"/>
      <c r="Y90" s="2966"/>
      <c r="Z90" s="2966"/>
      <c r="AA90" s="2966"/>
      <c r="AB90" s="2966"/>
      <c r="AC90" s="2966"/>
      <c r="AD90" s="2966"/>
    </row>
    <row r="91" spans="1:30" ht="15" thickTop="1">
      <c r="A91" s="555"/>
      <c r="B91" s="494">
        <f>B32</f>
        <v>111</v>
      </c>
      <c r="C91" s="505"/>
      <c r="D91" s="505"/>
      <c r="E91" s="505"/>
      <c r="F91" s="505"/>
      <c r="G91" s="510"/>
      <c r="H91" s="511"/>
      <c r="I91" s="511"/>
      <c r="J91" s="511"/>
      <c r="K91" s="511"/>
      <c r="L91" s="512"/>
      <c r="M91" s="513"/>
      <c r="N91" s="2972"/>
      <c r="O91" s="2972"/>
      <c r="P91" s="2997"/>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3"/>
      <c r="O92" s="2973"/>
      <c r="P92" s="2997"/>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2"/>
      <c r="O93" s="2972"/>
      <c r="P93" s="2997"/>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3"/>
      <c r="O94" s="2973"/>
      <c r="P94" s="2997"/>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3"/>
      <c r="O95" s="2973"/>
      <c r="P95" s="3000"/>
      <c r="Q95" s="2987"/>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N31" sqref="N3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220572</v>
      </c>
      <c r="C2" s="1031"/>
      <c r="D2" s="1031"/>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21643</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30" ht="15">
      <c r="A4" s="360" t="s">
        <v>2463</v>
      </c>
      <c r="B4" s="361"/>
      <c r="C4" s="3344" t="s">
        <v>2464</v>
      </c>
      <c r="D4" s="3345"/>
      <c r="E4" s="3346" t="s">
        <v>2465</v>
      </c>
      <c r="F4" s="3347"/>
      <c r="G4" s="3344" t="s">
        <v>2466</v>
      </c>
      <c r="H4" s="3345"/>
      <c r="I4" s="3344" t="s">
        <v>2467</v>
      </c>
      <c r="J4" s="3345"/>
      <c r="K4" s="566" t="s">
        <v>2468</v>
      </c>
      <c r="L4" s="2934"/>
      <c r="M4" s="2935"/>
      <c r="N4" s="2935"/>
      <c r="O4" s="2935"/>
      <c r="P4" s="3348" t="s">
        <v>2469</v>
      </c>
      <c r="Q4" s="3349"/>
      <c r="R4" s="3331" t="s">
        <v>2465</v>
      </c>
      <c r="S4" s="3332"/>
      <c r="T4" s="3331" t="s">
        <v>2466</v>
      </c>
      <c r="U4" s="3332"/>
      <c r="V4" s="3356" t="s">
        <v>2467</v>
      </c>
      <c r="W4" s="3356"/>
      <c r="X4" s="1533"/>
      <c r="Y4" s="3331" t="s">
        <v>2469</v>
      </c>
      <c r="Z4" s="3332"/>
      <c r="AA4" s="3326" t="s">
        <v>2465</v>
      </c>
      <c r="AB4" s="3327" t="s">
        <v>2466</v>
      </c>
      <c r="AC4" s="3326" t="s">
        <v>2467</v>
      </c>
    </row>
    <row r="5" spans="1:30" ht="65.25" customHeight="1">
      <c r="A5" s="363"/>
      <c r="B5" s="364"/>
      <c r="C5" s="3389" t="s">
        <v>3388</v>
      </c>
      <c r="D5" s="3338"/>
      <c r="E5" s="3335" t="str">
        <f>土地案例!A2</f>
        <v>北京市海淀区“海淀北部地区整体开发”西北旺镇HD00-0403-0061、0050、0031、0040、0046地块二类居住、其他类多功能、医院及机构养老设施用地</v>
      </c>
      <c r="F5" s="3336"/>
      <c r="G5" s="3337" t="str">
        <f>土地案例!A3</f>
        <v>北京市海淀区“海淀北部地区整体开发”西北旺镇HD00-0403-0043、0049地块二类居住及基础教育用地</v>
      </c>
      <c r="H5" s="3338"/>
      <c r="I5" s="3337" t="str">
        <f>土地案例!A12</f>
        <v>北京市海淀区“海淀北部地区整体开发”翠湖科技园HD00-0303-6022地块R2二类居住用地</v>
      </c>
      <c r="J5" s="3338"/>
      <c r="K5" s="566"/>
      <c r="L5" s="2934"/>
      <c r="M5" s="2935"/>
      <c r="N5" s="2935"/>
      <c r="O5" s="2935"/>
      <c r="P5" s="3350"/>
      <c r="Q5" s="3351"/>
      <c r="R5" s="3333"/>
      <c r="S5" s="3334"/>
      <c r="T5" s="3333"/>
      <c r="U5" s="3334"/>
      <c r="V5" s="3356"/>
      <c r="W5" s="3356"/>
      <c r="X5" s="1533"/>
      <c r="Y5" s="3333"/>
      <c r="Z5" s="3334"/>
      <c r="AA5" s="3327"/>
      <c r="AB5" s="3327"/>
      <c r="AC5" s="3327"/>
    </row>
    <row r="6" spans="1:30" ht="15.75" thickBot="1">
      <c r="A6" s="365"/>
      <c r="B6" s="366"/>
      <c r="C6" s="3390" t="s">
        <v>3389</v>
      </c>
      <c r="D6" s="3340"/>
      <c r="E6" s="3390" t="s">
        <v>3390</v>
      </c>
      <c r="F6" s="3340"/>
      <c r="G6" s="3390" t="s">
        <v>3390</v>
      </c>
      <c r="H6" s="3340"/>
      <c r="I6" s="3390" t="s">
        <v>3391</v>
      </c>
      <c r="J6" s="3340"/>
      <c r="K6" s="566" t="s">
        <v>2365</v>
      </c>
      <c r="L6" s="2934"/>
      <c r="M6" s="2935"/>
      <c r="N6" s="2935"/>
      <c r="O6" s="2935"/>
      <c r="P6" s="3352"/>
      <c r="Q6" s="3353"/>
      <c r="R6" s="3333"/>
      <c r="S6" s="3334"/>
      <c r="T6" s="3354"/>
      <c r="U6" s="3355"/>
      <c r="V6" s="3356"/>
      <c r="W6" s="3356"/>
      <c r="X6" s="1533"/>
      <c r="Y6" s="3354"/>
      <c r="Z6" s="3355"/>
      <c r="AA6" s="3328"/>
      <c r="AB6" s="3328"/>
      <c r="AC6" s="3328"/>
    </row>
    <row r="7" spans="1:30" s="112" customFormat="1" ht="15.75" thickBot="1">
      <c r="A7" s="367" t="s">
        <v>2366</v>
      </c>
      <c r="B7" s="368"/>
      <c r="C7" s="369">
        <f>'数据-取费表'!B2</f>
        <v>44187</v>
      </c>
      <c r="D7" s="370">
        <v>100</v>
      </c>
      <c r="E7" s="371" t="str">
        <f>土地案例!AA2</f>
        <v>2020-02-25</v>
      </c>
      <c r="F7" s="372">
        <f>SUMIF(70:70,YEAR(E7)&amp;"-"&amp;INT((MONTH(E7)+2)/3),71:71)</f>
        <v>98.5</v>
      </c>
      <c r="G7" s="2153" t="str">
        <f>土地案例!AA3</f>
        <v>2020-02-14</v>
      </c>
      <c r="H7" s="370">
        <f>SUMIF(70:70,YEAR(G7)&amp;"-"&amp;INT((MONTH(G7)+2)/3),71:71)</f>
        <v>98.5</v>
      </c>
      <c r="I7" s="2153" t="str">
        <f>土地案例!AA12</f>
        <v>2018-01-12</v>
      </c>
      <c r="J7" s="370">
        <f>SUMIF(70:70,YEAR(I7)&amp;"-"&amp;INT((MONTH(I7)+2)/3),71:71)</f>
        <v>94.5</v>
      </c>
      <c r="K7" s="567"/>
      <c r="L7" s="2936"/>
      <c r="M7" s="2937"/>
      <c r="N7" s="2937"/>
      <c r="O7" s="2937"/>
      <c r="P7" s="3329" t="s">
        <v>2367</v>
      </c>
      <c r="Q7" s="3357"/>
      <c r="R7" s="709" t="s">
        <v>17</v>
      </c>
      <c r="S7" s="710">
        <f t="shared" ref="S7:S15" si="0">F7</f>
        <v>98.5</v>
      </c>
      <c r="T7" s="709" t="s">
        <v>17</v>
      </c>
      <c r="U7" s="710">
        <f t="shared" ref="U7:U15" si="1">H7</f>
        <v>98.5</v>
      </c>
      <c r="V7" s="709" t="s">
        <v>17</v>
      </c>
      <c r="W7" s="710">
        <f t="shared" ref="W7:W15" si="2">J7</f>
        <v>94.5</v>
      </c>
      <c r="X7" s="711"/>
      <c r="Y7" s="3329" t="s">
        <v>2367</v>
      </c>
      <c r="Z7" s="3330"/>
      <c r="AA7" s="712">
        <f>D7/F7</f>
        <v>1.015228426395939</v>
      </c>
      <c r="AB7" s="712">
        <f>D7/H7</f>
        <v>1.015228426395939</v>
      </c>
      <c r="AC7" s="712">
        <f>D7/J7</f>
        <v>1.0582010582010581</v>
      </c>
    </row>
    <row r="8" spans="1:30" s="112"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6"/>
      <c r="M8" s="2937"/>
      <c r="N8" s="2937"/>
      <c r="O8" s="2937"/>
      <c r="P8" s="3329" t="s">
        <v>2370</v>
      </c>
      <c r="Q8" s="3330"/>
      <c r="R8" s="709" t="s">
        <v>17</v>
      </c>
      <c r="S8" s="710">
        <f t="shared" si="0"/>
        <v>100</v>
      </c>
      <c r="T8" s="709" t="s">
        <v>17</v>
      </c>
      <c r="U8" s="710">
        <f t="shared" si="1"/>
        <v>100</v>
      </c>
      <c r="V8" s="709" t="s">
        <v>17</v>
      </c>
      <c r="W8" s="710">
        <f t="shared" si="2"/>
        <v>100</v>
      </c>
      <c r="X8" s="711"/>
      <c r="Y8" s="3329" t="s">
        <v>2370</v>
      </c>
      <c r="Z8" s="3330"/>
      <c r="AA8" s="712">
        <f t="shared" ref="AA8:AA45" si="3">D8/F8</f>
        <v>1</v>
      </c>
      <c r="AB8" s="712">
        <f t="shared" ref="AB8:AB45" si="4">D8/H8</f>
        <v>1</v>
      </c>
      <c r="AC8" s="712">
        <f t="shared" ref="AC8:AC45" si="5">D8/J8</f>
        <v>1</v>
      </c>
    </row>
    <row r="9" spans="1:30" s="112" customFormat="1">
      <c r="A9" s="374" t="s">
        <v>2371</v>
      </c>
      <c r="B9" s="67" t="s">
        <v>2372</v>
      </c>
      <c r="C9" s="2156" t="s">
        <v>3282</v>
      </c>
      <c r="D9" s="130">
        <v>100</v>
      </c>
      <c r="E9" s="2156" t="s">
        <v>3282</v>
      </c>
      <c r="F9" s="130">
        <f>SUMIF(75:75,E9,76:76)-SUMIF(75:75,C9,76:76)+100</f>
        <v>100</v>
      </c>
      <c r="G9" s="2156" t="s">
        <v>3282</v>
      </c>
      <c r="H9" s="130">
        <f>SUMIF(75:75,G9,76:76)-SUMIF(75:75,C9,76:76)+100</f>
        <v>100</v>
      </c>
      <c r="I9" s="2156" t="s">
        <v>3282</v>
      </c>
      <c r="J9" s="130">
        <f>SUMIF(75:75,I9,76:76)-SUMIF(75:75,C9,76:76)+100</f>
        <v>100</v>
      </c>
      <c r="K9" s="567"/>
      <c r="L9" s="2936"/>
      <c r="M9" s="2937"/>
      <c r="N9" s="2937"/>
      <c r="O9" s="2991"/>
      <c r="P9" s="3361"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t="s">
        <v>3395</v>
      </c>
      <c r="F10" s="131">
        <f>ROUND(100/'数据-取费表'!G16,0)</f>
        <v>102</v>
      </c>
      <c r="G10" s="421" t="s">
        <v>3396</v>
      </c>
      <c r="H10" s="131">
        <f>ROUND(100/'数据-取费表'!G16,0)</f>
        <v>102</v>
      </c>
      <c r="I10" s="421" t="s">
        <v>3395</v>
      </c>
      <c r="J10" s="131">
        <f>ROUND(100/'数据-取费表'!G16,0)</f>
        <v>102</v>
      </c>
      <c r="K10" s="627"/>
      <c r="L10" s="2938"/>
      <c r="M10" s="2939"/>
      <c r="N10" s="2939"/>
      <c r="O10" s="2992"/>
      <c r="P10" s="3361"/>
      <c r="Q10" s="1521" t="str">
        <f t="shared" si="6"/>
        <v>土地使用年限（年）</v>
      </c>
      <c r="R10" s="709" t="s">
        <v>17</v>
      </c>
      <c r="S10" s="710">
        <f t="shared" si="0"/>
        <v>102</v>
      </c>
      <c r="T10" s="709" t="s">
        <v>17</v>
      </c>
      <c r="U10" s="710">
        <f t="shared" si="1"/>
        <v>102</v>
      </c>
      <c r="V10" s="709" t="s">
        <v>17</v>
      </c>
      <c r="W10" s="710">
        <f t="shared" si="2"/>
        <v>102</v>
      </c>
      <c r="X10" s="711"/>
      <c r="Y10" s="3271"/>
      <c r="Z10" s="55" t="str">
        <f t="shared" si="7"/>
        <v>土地使用年限（年）</v>
      </c>
      <c r="AA10" s="712">
        <f t="shared" si="3"/>
        <v>0.98039215686274506</v>
      </c>
      <c r="AB10" s="712">
        <f t="shared" si="4"/>
        <v>0.98039215686274506</v>
      </c>
      <c r="AC10" s="712">
        <f t="shared" si="5"/>
        <v>0.98039215686274506</v>
      </c>
    </row>
    <row r="11" spans="1:30" ht="15">
      <c r="A11" s="386"/>
      <c r="B11" s="380" t="s">
        <v>2376</v>
      </c>
      <c r="C11" s="387">
        <f>'数据-汇总表'!I6</f>
        <v>1.81</v>
      </c>
      <c r="D11" s="131">
        <v>100</v>
      </c>
      <c r="E11" s="387">
        <v>2.5</v>
      </c>
      <c r="F11" s="131">
        <f>LOOKUP(E11,80:80,81:81)-LOOKUP(C11,80:80,81:81)+100</f>
        <v>98.5</v>
      </c>
      <c r="G11" s="388">
        <v>2.5</v>
      </c>
      <c r="H11" s="131">
        <f>LOOKUP(G11,80:80,81:81)-LOOKUP(C11,80:80,81:81)+100</f>
        <v>98.5</v>
      </c>
      <c r="I11" s="387">
        <v>1.8</v>
      </c>
      <c r="J11" s="131">
        <f>LOOKUP(I11,80:80,81:81)-LOOKUP(C11,80:80,81:81)+100</f>
        <v>100</v>
      </c>
      <c r="K11" s="628">
        <v>1.5</v>
      </c>
      <c r="L11" s="2940"/>
      <c r="M11" s="2935"/>
      <c r="N11" s="2935"/>
      <c r="O11" s="2993"/>
      <c r="P11" s="3361"/>
      <c r="Q11" s="1521" t="str">
        <f t="shared" si="6"/>
        <v>容积率</v>
      </c>
      <c r="R11" s="709" t="s">
        <v>17</v>
      </c>
      <c r="S11" s="710">
        <f t="shared" si="0"/>
        <v>98.5</v>
      </c>
      <c r="T11" s="709" t="s">
        <v>17</v>
      </c>
      <c r="U11" s="710">
        <f t="shared" si="1"/>
        <v>98.5</v>
      </c>
      <c r="V11" s="709" t="s">
        <v>17</v>
      </c>
      <c r="W11" s="710">
        <f t="shared" si="2"/>
        <v>100</v>
      </c>
      <c r="X11" s="711"/>
      <c r="Y11" s="3271"/>
      <c r="Z11" s="55" t="str">
        <f t="shared" si="7"/>
        <v>容积率</v>
      </c>
      <c r="AA11" s="712">
        <f t="shared" si="3"/>
        <v>1.015228426395939</v>
      </c>
      <c r="AB11" s="712">
        <f t="shared" si="4"/>
        <v>1.015228426395939</v>
      </c>
      <c r="AC11" s="712">
        <f t="shared" si="5"/>
        <v>1</v>
      </c>
    </row>
    <row r="12" spans="1:30" s="112" customFormat="1" ht="15">
      <c r="A12" s="389"/>
      <c r="B12" s="2072" t="s">
        <v>2565</v>
      </c>
      <c r="C12" s="3075" t="s">
        <v>3397</v>
      </c>
      <c r="D12" s="391">
        <v>100</v>
      </c>
      <c r="E12" s="3075" t="s">
        <v>3398</v>
      </c>
      <c r="F12" s="131">
        <f>SUMIF(82:82,E12,83:83)-SUMIF(82:82,C12,83:83)+100</f>
        <v>90</v>
      </c>
      <c r="G12" s="3075" t="s">
        <v>3398</v>
      </c>
      <c r="H12" s="131">
        <f>SUMIF(82:82,G12,83:83)-SUMIF(82:82,C12,83:83)+100</f>
        <v>90</v>
      </c>
      <c r="I12" s="3075" t="s">
        <v>3397</v>
      </c>
      <c r="J12" s="131">
        <f>SUMIF(82:82,I12,83:83)-SUMIF(82:82,C12,83:83)+100</f>
        <v>100</v>
      </c>
      <c r="K12" s="627"/>
      <c r="L12" s="2936"/>
      <c r="M12" s="2937"/>
      <c r="N12" s="2937"/>
      <c r="O12" s="2991"/>
      <c r="P12" s="3361"/>
      <c r="Q12" s="1521" t="str">
        <f t="shared" si="6"/>
        <v>配建</v>
      </c>
      <c r="R12" s="709" t="s">
        <v>17</v>
      </c>
      <c r="S12" s="710">
        <f t="shared" si="0"/>
        <v>90</v>
      </c>
      <c r="T12" s="709" t="s">
        <v>17</v>
      </c>
      <c r="U12" s="710">
        <f t="shared" si="1"/>
        <v>90</v>
      </c>
      <c r="V12" s="709" t="s">
        <v>17</v>
      </c>
      <c r="W12" s="710">
        <f t="shared" si="2"/>
        <v>100</v>
      </c>
      <c r="X12" s="711"/>
      <c r="Y12" s="3271"/>
      <c r="Z12" s="55" t="str">
        <f t="shared" si="7"/>
        <v>配建</v>
      </c>
      <c r="AA12" s="712">
        <f>D12/F12</f>
        <v>1.1111111111111112</v>
      </c>
      <c r="AB12" s="712">
        <f>D12/H12</f>
        <v>1.1111111111111112</v>
      </c>
      <c r="AC12" s="712">
        <f>D12/J12</f>
        <v>1</v>
      </c>
    </row>
    <row r="13" spans="1:30" ht="15">
      <c r="A13" s="386"/>
      <c r="B13" s="3069"/>
      <c r="C13" s="3076"/>
      <c r="D13" s="393">
        <v>100</v>
      </c>
      <c r="E13" s="3076"/>
      <c r="F13" s="131">
        <f>SUMIF(84:84,E13,85:85)-SUMIF(84:84,C13,85:85)+100</f>
        <v>100</v>
      </c>
      <c r="G13" s="3076"/>
      <c r="H13" s="393">
        <f>SUMIF(84:84,G13,85:85)-SUMIF(84:84,C13,85:85)+100</f>
        <v>100</v>
      </c>
      <c r="I13" s="3076"/>
      <c r="J13" s="393">
        <f>SUMIF(84:84,I13,85:85)-SUMIF(84:84,C13,85:85)+100</f>
        <v>100</v>
      </c>
      <c r="K13" s="627"/>
      <c r="L13" s="2941"/>
      <c r="M13" s="2935"/>
      <c r="N13" s="2935"/>
      <c r="O13" s="2993"/>
      <c r="P13" s="3361"/>
      <c r="Q13" s="1521">
        <f t="shared" si="6"/>
        <v>0</v>
      </c>
      <c r="R13" s="709" t="s">
        <v>17</v>
      </c>
      <c r="S13" s="710">
        <f t="shared" si="0"/>
        <v>100</v>
      </c>
      <c r="T13" s="709" t="s">
        <v>17</v>
      </c>
      <c r="U13" s="710">
        <f t="shared" si="1"/>
        <v>100</v>
      </c>
      <c r="V13" s="709" t="s">
        <v>17</v>
      </c>
      <c r="W13" s="710">
        <f t="shared" si="2"/>
        <v>100</v>
      </c>
      <c r="X13" s="711"/>
      <c r="Y13" s="3271"/>
      <c r="Z13" s="55">
        <f t="shared" si="7"/>
        <v>0</v>
      </c>
      <c r="AA13" s="712">
        <f>D13/F13</f>
        <v>1</v>
      </c>
      <c r="AB13" s="712">
        <f>D13/H13</f>
        <v>1</v>
      </c>
      <c r="AC13" s="712">
        <f>D13/J13</f>
        <v>1</v>
      </c>
    </row>
    <row r="14" spans="1:30" ht="15.75" thickBot="1">
      <c r="A14" s="394"/>
      <c r="B14" s="3070" t="s">
        <v>3392</v>
      </c>
      <c r="C14" s="3071">
        <v>1</v>
      </c>
      <c r="D14" s="396">
        <v>100</v>
      </c>
      <c r="E14" s="3072">
        <v>0</v>
      </c>
      <c r="F14" s="396">
        <f>SUMIF(86:86,E14,87:87)-SUMIF(86:86,C14,87:87)+100</f>
        <v>120</v>
      </c>
      <c r="G14" s="3073">
        <v>0</v>
      </c>
      <c r="H14" s="396">
        <f>SUMIF(86:86,G14,87:87)-SUMIF(86:86,C14,87:87)+100</f>
        <v>120</v>
      </c>
      <c r="I14" s="3073">
        <v>0</v>
      </c>
      <c r="J14" s="396">
        <f>SUMIF(86:86,I14,87:87)-SUMIF(86:86,C14,87:87)+100</f>
        <v>120</v>
      </c>
      <c r="K14" s="627"/>
      <c r="L14" s="2941"/>
      <c r="M14" s="2935"/>
      <c r="N14" s="2935"/>
      <c r="O14" s="2993"/>
      <c r="P14" s="3361"/>
      <c r="Q14" s="1521" t="str">
        <f t="shared" si="6"/>
        <v>自持比例</v>
      </c>
      <c r="R14" s="709" t="s">
        <v>17</v>
      </c>
      <c r="S14" s="710">
        <f t="shared" si="0"/>
        <v>120</v>
      </c>
      <c r="T14" s="709" t="s">
        <v>17</v>
      </c>
      <c r="U14" s="710">
        <f t="shared" si="1"/>
        <v>120</v>
      </c>
      <c r="V14" s="709" t="s">
        <v>17</v>
      </c>
      <c r="W14" s="710">
        <f t="shared" si="2"/>
        <v>120</v>
      </c>
      <c r="X14" s="711"/>
      <c r="Y14" s="3271"/>
      <c r="Z14" s="55" t="str">
        <f t="shared" si="7"/>
        <v>自持比例</v>
      </c>
      <c r="AA14" s="712">
        <f>D14/F14</f>
        <v>0.83333333333333337</v>
      </c>
      <c r="AB14" s="712">
        <f>D14/H14</f>
        <v>0.83333333333333337</v>
      </c>
      <c r="AC14" s="712">
        <f>D14/J14</f>
        <v>0.83333333333333337</v>
      </c>
    </row>
    <row r="15" spans="1:30" ht="94.5">
      <c r="A15" s="398" t="s">
        <v>2377</v>
      </c>
      <c r="B15" s="65" t="s">
        <v>1943</v>
      </c>
      <c r="C15" s="2075" t="str">
        <f>估价对象房地状况!C15</f>
        <v>周边居住用地比例较少、有颐丰庄园、大牛坊社区等居住项目，综合评价居住社区成熟度一般。</v>
      </c>
      <c r="D15" s="399">
        <v>100</v>
      </c>
      <c r="E15" s="3081" t="s">
        <v>3410</v>
      </c>
      <c r="F15" s="399">
        <f>SUMIF(88:88,E16,89:89)-SUMIF(88:88,C16,89:89)+100</f>
        <v>110</v>
      </c>
      <c r="G15" s="3081" t="s">
        <v>3410</v>
      </c>
      <c r="H15" s="399">
        <f>SUMIF(88:88,G16,89:89)-SUMIF(88:88,C16,89:89)+100</f>
        <v>110</v>
      </c>
      <c r="I15" s="3082" t="s">
        <v>3411</v>
      </c>
      <c r="J15" s="399">
        <f>SUMIF(88:88,I16,89:89)-SUMIF(88:88,C16,89:89)+100</f>
        <v>100</v>
      </c>
      <c r="K15" s="628">
        <v>10</v>
      </c>
      <c r="L15" s="2941"/>
      <c r="M15" s="2935"/>
      <c r="N15" s="2935"/>
      <c r="O15" s="2993"/>
      <c r="P15" s="3363" t="s">
        <v>2378</v>
      </c>
      <c r="Q15" s="1530" t="str">
        <f t="shared" si="6"/>
        <v>居住社区成熟度</v>
      </c>
      <c r="R15" s="713" t="s">
        <v>17</v>
      </c>
      <c r="S15" s="714">
        <f t="shared" si="0"/>
        <v>110</v>
      </c>
      <c r="T15" s="713" t="s">
        <v>17</v>
      </c>
      <c r="U15" s="714">
        <f t="shared" si="1"/>
        <v>110</v>
      </c>
      <c r="V15" s="713" t="s">
        <v>17</v>
      </c>
      <c r="W15" s="714">
        <f t="shared" si="2"/>
        <v>100</v>
      </c>
      <c r="X15" s="1533"/>
      <c r="Y15" s="3363" t="s">
        <v>2378</v>
      </c>
      <c r="Z15" s="1534" t="str">
        <f t="shared" si="7"/>
        <v>居住社区成熟度</v>
      </c>
      <c r="AA15" s="1531">
        <f t="shared" si="3"/>
        <v>0.90909090909090906</v>
      </c>
      <c r="AB15" s="1531">
        <f t="shared" si="4"/>
        <v>0.90909090909090906</v>
      </c>
      <c r="AC15" s="1531">
        <f t="shared" si="5"/>
        <v>1</v>
      </c>
    </row>
    <row r="16" spans="1:30" ht="15">
      <c r="A16" s="386"/>
      <c r="B16" s="404"/>
      <c r="C16" s="405" t="s">
        <v>3182</v>
      </c>
      <c r="D16" s="406"/>
      <c r="E16" s="2077" t="s">
        <v>3181</v>
      </c>
      <c r="F16" s="406"/>
      <c r="G16" s="2077" t="s">
        <v>3181</v>
      </c>
      <c r="H16" s="408"/>
      <c r="I16" s="2076" t="s">
        <v>3182</v>
      </c>
      <c r="J16" s="406"/>
      <c r="K16" s="627"/>
      <c r="L16" s="2941"/>
      <c r="M16" s="2935"/>
      <c r="N16" s="2935"/>
      <c r="O16" s="2993"/>
      <c r="P16" s="3364"/>
      <c r="Q16" s="1530"/>
      <c r="R16" s="713"/>
      <c r="S16" s="714"/>
      <c r="T16" s="713"/>
      <c r="U16" s="714"/>
      <c r="V16" s="713"/>
      <c r="W16" s="714"/>
      <c r="X16" s="1533"/>
      <c r="Y16" s="3364"/>
      <c r="Z16" s="1534"/>
      <c r="AA16" s="1531">
        <v>1</v>
      </c>
      <c r="AB16" s="1531">
        <v>1</v>
      </c>
      <c r="AC16" s="1531">
        <v>1</v>
      </c>
    </row>
    <row r="17" spans="1:29" ht="71.25" hidden="1">
      <c r="A17" s="386"/>
      <c r="B17" s="409" t="s">
        <v>2471</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3"/>
      <c r="P17" s="3364"/>
      <c r="Q17" s="1530" t="str">
        <f>B17</f>
        <v>商业繁华度</v>
      </c>
      <c r="R17" s="713" t="s">
        <v>17</v>
      </c>
      <c r="S17" s="714">
        <f>F17</f>
        <v>100</v>
      </c>
      <c r="T17" s="713" t="s">
        <v>17</v>
      </c>
      <c r="U17" s="714">
        <f>H17</f>
        <v>100</v>
      </c>
      <c r="V17" s="713" t="s">
        <v>17</v>
      </c>
      <c r="W17" s="714">
        <f>J17</f>
        <v>100</v>
      </c>
      <c r="X17" s="1533"/>
      <c r="Y17" s="3364"/>
      <c r="Z17" s="1534" t="str">
        <f>Q17</f>
        <v>商业繁华度</v>
      </c>
      <c r="AA17" s="1531">
        <f t="shared" si="3"/>
        <v>1</v>
      </c>
      <c r="AB17" s="1531">
        <f t="shared" si="4"/>
        <v>1</v>
      </c>
      <c r="AC17" s="1531">
        <f t="shared" si="5"/>
        <v>1</v>
      </c>
    </row>
    <row r="18" spans="1:29" ht="15" hidden="1">
      <c r="A18" s="386"/>
      <c r="B18" s="414"/>
      <c r="C18" s="2080"/>
      <c r="D18" s="408"/>
      <c r="E18" s="2082"/>
      <c r="F18" s="408"/>
      <c r="G18" s="2082"/>
      <c r="H18" s="406"/>
      <c r="I18" s="2081"/>
      <c r="J18" s="406"/>
      <c r="K18" s="627"/>
      <c r="L18" s="2941"/>
      <c r="M18" s="2935"/>
      <c r="N18" s="2935"/>
      <c r="O18" s="2993"/>
      <c r="P18" s="3364"/>
      <c r="Q18" s="1530"/>
      <c r="R18" s="713"/>
      <c r="S18" s="714"/>
      <c r="T18" s="713"/>
      <c r="U18" s="714"/>
      <c r="V18" s="713"/>
      <c r="W18" s="714"/>
      <c r="X18" s="1533"/>
      <c r="Y18" s="3364"/>
      <c r="Z18" s="1534"/>
      <c r="AA18" s="1531">
        <v>1</v>
      </c>
      <c r="AB18" s="1531">
        <v>1</v>
      </c>
      <c r="AC18" s="1531">
        <v>1</v>
      </c>
    </row>
    <row r="19" spans="1:29" ht="71.25" hidden="1">
      <c r="A19" s="386"/>
      <c r="B19" s="409" t="s">
        <v>2505</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3"/>
      <c r="P19" s="3364"/>
      <c r="Q19" s="1530" t="str">
        <f>B19</f>
        <v>办公集聚程度</v>
      </c>
      <c r="R19" s="713" t="s">
        <v>17</v>
      </c>
      <c r="S19" s="714">
        <f>F19</f>
        <v>100</v>
      </c>
      <c r="T19" s="713" t="s">
        <v>17</v>
      </c>
      <c r="U19" s="714">
        <f>H19</f>
        <v>100</v>
      </c>
      <c r="V19" s="713" t="s">
        <v>17</v>
      </c>
      <c r="W19" s="714">
        <f>J19</f>
        <v>100</v>
      </c>
      <c r="X19" s="1533"/>
      <c r="Y19" s="3364"/>
      <c r="Z19" s="1534" t="str">
        <f>Q19</f>
        <v>办公集聚程度</v>
      </c>
      <c r="AA19" s="1531">
        <f t="shared" si="3"/>
        <v>1</v>
      </c>
      <c r="AB19" s="1531">
        <f t="shared" si="4"/>
        <v>1</v>
      </c>
      <c r="AC19" s="1531">
        <f t="shared" si="5"/>
        <v>1</v>
      </c>
    </row>
    <row r="20" spans="1:29" ht="15" hidden="1">
      <c r="A20" s="386"/>
      <c r="B20" s="414"/>
      <c r="C20" s="405"/>
      <c r="D20" s="406"/>
      <c r="E20" s="2077"/>
      <c r="F20" s="406"/>
      <c r="G20" s="2077"/>
      <c r="H20" s="406"/>
      <c r="I20" s="2076"/>
      <c r="J20" s="406"/>
      <c r="K20" s="627"/>
      <c r="L20" s="2941"/>
      <c r="M20" s="2935"/>
      <c r="N20" s="2935"/>
      <c r="O20" s="2993"/>
      <c r="P20" s="3364"/>
      <c r="Q20" s="1530"/>
      <c r="R20" s="713"/>
      <c r="S20" s="714"/>
      <c r="T20" s="713"/>
      <c r="U20" s="714"/>
      <c r="V20" s="713"/>
      <c r="W20" s="714"/>
      <c r="X20" s="1533"/>
      <c r="Y20" s="3364"/>
      <c r="Z20" s="1534"/>
      <c r="AA20" s="1531">
        <v>1</v>
      </c>
      <c r="AB20" s="1531">
        <v>1</v>
      </c>
      <c r="AC20" s="1531">
        <v>1</v>
      </c>
    </row>
    <row r="21" spans="1:29" ht="85.5">
      <c r="A21" s="386"/>
      <c r="B21" s="409" t="s">
        <v>2527</v>
      </c>
      <c r="C21" s="2079" t="str">
        <f>估价对象房地状况!C18</f>
        <v>周边有438路、365路、449路、570路等多条公交线路及地铁16号线永丰站，交通便捷度较好。</v>
      </c>
      <c r="D21" s="408">
        <v>100</v>
      </c>
      <c r="E21" s="410" t="s">
        <v>3413</v>
      </c>
      <c r="F21" s="413">
        <f>SUMIF(94:94,E22,95:95)-SUMIF(94:94,C22,95:95)+100</f>
        <v>98</v>
      </c>
      <c r="G21" s="410" t="s">
        <v>3413</v>
      </c>
      <c r="H21" s="408">
        <f>SUMIF(94:94,G22,95:95)-SUMIF(94:94,C22,95:95)+100</f>
        <v>98</v>
      </c>
      <c r="I21" s="412" t="s">
        <v>3412</v>
      </c>
      <c r="J21" s="408">
        <f>SUMIF(94:94,I22,95:95)-SUMIF(94:94,C22,95:95)+100</f>
        <v>98</v>
      </c>
      <c r="K21" s="628">
        <v>2</v>
      </c>
      <c r="L21" s="2941"/>
      <c r="M21" s="2935"/>
      <c r="N21" s="2935"/>
      <c r="O21" s="2993"/>
      <c r="P21" s="3364"/>
      <c r="Q21" s="1530" t="str">
        <f>B21</f>
        <v>交通便捷度</v>
      </c>
      <c r="R21" s="713" t="s">
        <v>17</v>
      </c>
      <c r="S21" s="714">
        <f>F21</f>
        <v>98</v>
      </c>
      <c r="T21" s="713" t="s">
        <v>17</v>
      </c>
      <c r="U21" s="714">
        <f>H21</f>
        <v>98</v>
      </c>
      <c r="V21" s="713" t="s">
        <v>17</v>
      </c>
      <c r="W21" s="714">
        <f>J21</f>
        <v>98</v>
      </c>
      <c r="X21" s="1533"/>
      <c r="Y21" s="3364"/>
      <c r="Z21" s="1534" t="str">
        <f>Q21</f>
        <v>交通便捷度</v>
      </c>
      <c r="AA21" s="1531">
        <f t="shared" si="3"/>
        <v>1.0204081632653061</v>
      </c>
      <c r="AB21" s="1531">
        <f t="shared" si="4"/>
        <v>1.0204081632653061</v>
      </c>
      <c r="AC21" s="1531">
        <f t="shared" si="5"/>
        <v>1.0204081632653061</v>
      </c>
    </row>
    <row r="22" spans="1:29" ht="15">
      <c r="A22" s="386"/>
      <c r="B22" s="1286"/>
      <c r="C22" s="405" t="s">
        <v>3181</v>
      </c>
      <c r="D22" s="408"/>
      <c r="E22" s="2077" t="s">
        <v>3182</v>
      </c>
      <c r="F22" s="406"/>
      <c r="G22" s="2077" t="s">
        <v>3182</v>
      </c>
      <c r="H22" s="406"/>
      <c r="I22" s="2076" t="s">
        <v>3182</v>
      </c>
      <c r="J22" s="406"/>
      <c r="K22" s="627"/>
      <c r="L22" s="2941"/>
      <c r="M22" s="2935"/>
      <c r="N22" s="2935"/>
      <c r="O22" s="2993"/>
      <c r="P22" s="3364"/>
      <c r="Q22" s="1530"/>
      <c r="R22" s="713"/>
      <c r="S22" s="714"/>
      <c r="T22" s="713"/>
      <c r="U22" s="714"/>
      <c r="V22" s="713"/>
      <c r="W22" s="714"/>
      <c r="X22" s="1533"/>
      <c r="Y22" s="3364"/>
      <c r="Z22" s="1534"/>
      <c r="AA22" s="1531">
        <v>1</v>
      </c>
      <c r="AB22" s="1531">
        <v>1</v>
      </c>
      <c r="AC22" s="1531">
        <v>1</v>
      </c>
    </row>
    <row r="23" spans="1:29" ht="42.75">
      <c r="A23" s="363"/>
      <c r="B23" s="409" t="s">
        <v>2566</v>
      </c>
      <c r="C23" s="1291" t="str">
        <f>估价对象房地状况!C19</f>
        <v>有部分有其他用地，对本宗地略有影响。</v>
      </c>
      <c r="D23" s="413">
        <v>100</v>
      </c>
      <c r="E23" s="3084" t="s">
        <v>3415</v>
      </c>
      <c r="F23" s="413">
        <f>SUMIF(96:96,E24,97:97)-SUMIF(96:96,C24,97:97)+100</f>
        <v>103</v>
      </c>
      <c r="G23" s="3084" t="s">
        <v>3415</v>
      </c>
      <c r="H23" s="413">
        <f>SUMIF(96:96,G24,97:97)-SUMIF(96:96,C24,97:97)+100</f>
        <v>103</v>
      </c>
      <c r="I23" s="3083" t="s">
        <v>3414</v>
      </c>
      <c r="J23" s="413">
        <f>SUMIF(96:96,I24,97:97)-SUMIF(96:96,C24,97:97)+100</f>
        <v>100</v>
      </c>
      <c r="K23" s="628">
        <v>3</v>
      </c>
      <c r="L23" s="2941"/>
      <c r="M23" s="2935"/>
      <c r="N23" s="2935"/>
      <c r="O23" s="2993"/>
      <c r="P23" s="3364"/>
      <c r="Q23" s="1530" t="str">
        <f t="shared" ref="Q23:Q37" si="8">B23</f>
        <v>区域土地利用方向</v>
      </c>
      <c r="R23" s="713" t="s">
        <v>17</v>
      </c>
      <c r="S23" s="714">
        <f>F23</f>
        <v>103</v>
      </c>
      <c r="T23" s="713" t="s">
        <v>17</v>
      </c>
      <c r="U23" s="714">
        <f>H23</f>
        <v>103</v>
      </c>
      <c r="V23" s="713" t="s">
        <v>17</v>
      </c>
      <c r="W23" s="714">
        <f>J23</f>
        <v>100</v>
      </c>
      <c r="X23" s="1533"/>
      <c r="Y23" s="3364"/>
      <c r="Z23" s="1534" t="str">
        <f>Q23</f>
        <v>区域土地利用方向</v>
      </c>
      <c r="AA23" s="1531">
        <f t="shared" si="3"/>
        <v>0.970873786407767</v>
      </c>
      <c r="AB23" s="1531">
        <f t="shared" si="4"/>
        <v>0.970873786407767</v>
      </c>
      <c r="AC23" s="1531">
        <f t="shared" si="5"/>
        <v>1</v>
      </c>
    </row>
    <row r="24" spans="1:29" ht="15">
      <c r="A24" s="363"/>
      <c r="B24" s="414"/>
      <c r="C24" s="572" t="s">
        <v>3182</v>
      </c>
      <c r="D24" s="406"/>
      <c r="E24" s="2077" t="s">
        <v>3181</v>
      </c>
      <c r="F24" s="406"/>
      <c r="G24" s="2076" t="s">
        <v>3181</v>
      </c>
      <c r="H24" s="406"/>
      <c r="I24" s="2076" t="s">
        <v>3182</v>
      </c>
      <c r="J24" s="406"/>
      <c r="K24" s="744"/>
      <c r="L24" s="2941"/>
      <c r="M24" s="2935"/>
      <c r="N24" s="2935"/>
      <c r="O24" s="2993"/>
      <c r="P24" s="3364"/>
      <c r="Q24" s="1530"/>
      <c r="R24" s="713"/>
      <c r="S24" s="714"/>
      <c r="T24" s="713"/>
      <c r="U24" s="714"/>
      <c r="V24" s="713"/>
      <c r="W24" s="714"/>
      <c r="X24" s="1533"/>
      <c r="Y24" s="3364"/>
      <c r="Z24" s="1534"/>
      <c r="AA24" s="1531"/>
      <c r="AB24" s="1531"/>
      <c r="AC24" s="1531"/>
    </row>
    <row r="25" spans="1:29" ht="69" customHeight="1">
      <c r="A25" s="363"/>
      <c r="B25" s="1286" t="s">
        <v>2567</v>
      </c>
      <c r="C25" s="2134" t="str">
        <f>估价对象房地状况!C20</f>
        <v>周边1公里无大型公园，人文环境有北京北大资源研修学院，自然及人文环境一般。</v>
      </c>
      <c r="D25" s="408">
        <v>100</v>
      </c>
      <c r="E25" s="412" t="s">
        <v>3417</v>
      </c>
      <c r="F25" s="408">
        <f>SUMIF(98:98,E26,99:99)-SUMIF(98:98,C26,99:99)+100</f>
        <v>103</v>
      </c>
      <c r="G25" s="412" t="s">
        <v>3417</v>
      </c>
      <c r="H25" s="408">
        <f>SUMIF(98:98,G26,99:99)-SUMIF(98:98,C26,99:99)+100</f>
        <v>103</v>
      </c>
      <c r="I25" s="412" t="s">
        <v>3416</v>
      </c>
      <c r="J25" s="408">
        <f>SUMIF(98:98,I26,99:99)-SUMIF(98:98,C26,99:99)+100</f>
        <v>103</v>
      </c>
      <c r="K25" s="628">
        <v>3</v>
      </c>
      <c r="L25" s="2941"/>
      <c r="M25" s="2935"/>
      <c r="N25" s="2935"/>
      <c r="O25" s="2993"/>
      <c r="P25" s="3364"/>
      <c r="Q25" s="1530" t="str">
        <f t="shared" si="8"/>
        <v>自然及人文环境状况</v>
      </c>
      <c r="R25" s="713" t="s">
        <v>17</v>
      </c>
      <c r="S25" s="714">
        <f>F25</f>
        <v>103</v>
      </c>
      <c r="T25" s="713" t="s">
        <v>17</v>
      </c>
      <c r="U25" s="714">
        <f>H25</f>
        <v>103</v>
      </c>
      <c r="V25" s="713" t="s">
        <v>17</v>
      </c>
      <c r="W25" s="714">
        <f>J25</f>
        <v>103</v>
      </c>
      <c r="X25" s="1533"/>
      <c r="Y25" s="3364"/>
      <c r="Z25" s="1534" t="str">
        <f>Q25</f>
        <v>自然及人文环境状况</v>
      </c>
      <c r="AA25" s="1531">
        <f t="shared" si="3"/>
        <v>0.970873786407767</v>
      </c>
      <c r="AB25" s="1531">
        <f t="shared" si="4"/>
        <v>0.970873786407767</v>
      </c>
      <c r="AC25" s="1531">
        <f t="shared" si="5"/>
        <v>0.970873786407767</v>
      </c>
    </row>
    <row r="26" spans="1:29" ht="15">
      <c r="A26" s="363"/>
      <c r="B26" s="414"/>
      <c r="C26" s="405" t="s">
        <v>3182</v>
      </c>
      <c r="D26" s="406"/>
      <c r="E26" s="2083" t="s">
        <v>3181</v>
      </c>
      <c r="F26" s="406"/>
      <c r="G26" s="2083" t="s">
        <v>3181</v>
      </c>
      <c r="H26" s="406"/>
      <c r="I26" s="405" t="s">
        <v>3181</v>
      </c>
      <c r="J26" s="406"/>
      <c r="K26" s="627"/>
      <c r="L26" s="2941"/>
      <c r="M26" s="2935"/>
      <c r="N26" s="2935"/>
      <c r="O26" s="2993"/>
      <c r="P26" s="3364"/>
      <c r="Q26" s="1530"/>
      <c r="R26" s="713"/>
      <c r="S26" s="714"/>
      <c r="T26" s="713"/>
      <c r="U26" s="714"/>
      <c r="V26" s="713"/>
      <c r="W26" s="714"/>
      <c r="X26" s="1533"/>
      <c r="Y26" s="3364"/>
      <c r="Z26" s="1534"/>
      <c r="AA26" s="1531">
        <v>1</v>
      </c>
      <c r="AB26" s="1531">
        <v>1</v>
      </c>
      <c r="AC26" s="1531">
        <v>1</v>
      </c>
    </row>
    <row r="27" spans="1:29" s="112" customFormat="1" ht="189.75">
      <c r="A27" s="604"/>
      <c r="B27" s="1286" t="s">
        <v>2472</v>
      </c>
      <c r="C27" s="2079" t="str">
        <f>估价对象房地状况!C21</f>
        <v>周边1公里范围内有购物场所（华联超市）、医院（无）、银行（工商银行、北京农商银行）、学校（海淀科技园小学）、餐饮等公共服务配套设施，公共配套设施状况一般。</v>
      </c>
      <c r="D27" s="408">
        <v>100</v>
      </c>
      <c r="E27" s="410" t="s">
        <v>3419</v>
      </c>
      <c r="F27" s="408">
        <f>SUMIF(100:100,E28,101:101)-SUMIF(100:100,C28,101:101)+100</f>
        <v>104</v>
      </c>
      <c r="G27" s="410" t="s">
        <v>3419</v>
      </c>
      <c r="H27" s="408">
        <f>SUMIF(100:100,G28,101:101)-SUMIF(100:100,C28,101:101)+100</f>
        <v>104</v>
      </c>
      <c r="I27" s="412" t="s">
        <v>3418</v>
      </c>
      <c r="J27" s="408">
        <f>SUMIF(100:100,I28,101:101)-SUMIF(100:100,C28,101:101)+100</f>
        <v>104</v>
      </c>
      <c r="K27" s="628">
        <v>4</v>
      </c>
      <c r="L27" s="2936"/>
      <c r="M27" s="2937"/>
      <c r="N27" s="2937"/>
      <c r="O27" s="2991"/>
      <c r="P27" s="3364"/>
      <c r="Q27" s="1521" t="str">
        <f t="shared" si="8"/>
        <v>公共配套设施</v>
      </c>
      <c r="R27" s="709" t="s">
        <v>17</v>
      </c>
      <c r="S27" s="710">
        <f>F27</f>
        <v>104</v>
      </c>
      <c r="T27" s="709" t="s">
        <v>17</v>
      </c>
      <c r="U27" s="710">
        <f>H27</f>
        <v>104</v>
      </c>
      <c r="V27" s="709" t="s">
        <v>17</v>
      </c>
      <c r="W27" s="710">
        <f>J27</f>
        <v>104</v>
      </c>
      <c r="X27" s="711"/>
      <c r="Y27" s="3364"/>
      <c r="Z27" s="55" t="str">
        <f>Q27</f>
        <v>公共配套设施</v>
      </c>
      <c r="AA27" s="1531">
        <f>D27/F27</f>
        <v>0.96153846153846156</v>
      </c>
      <c r="AB27" s="1531">
        <f>D27/H27</f>
        <v>0.96153846153846156</v>
      </c>
      <c r="AC27" s="1531">
        <f>D27/J27</f>
        <v>0.96153846153846156</v>
      </c>
    </row>
    <row r="28" spans="1:29" s="112" customFormat="1" ht="15">
      <c r="A28" s="604"/>
      <c r="B28" s="414"/>
      <c r="C28" s="2157" t="s">
        <v>3182</v>
      </c>
      <c r="D28" s="406"/>
      <c r="E28" s="2083" t="s">
        <v>3181</v>
      </c>
      <c r="F28" s="406"/>
      <c r="G28" s="2083" t="s">
        <v>3181</v>
      </c>
      <c r="H28" s="406"/>
      <c r="I28" s="405" t="s">
        <v>3181</v>
      </c>
      <c r="J28" s="406"/>
      <c r="K28" s="627"/>
      <c r="L28" s="2936"/>
      <c r="M28" s="2937"/>
      <c r="N28" s="2937"/>
      <c r="O28" s="2991"/>
      <c r="P28" s="3364"/>
      <c r="Q28" s="1521"/>
      <c r="R28" s="709"/>
      <c r="S28" s="710"/>
      <c r="T28" s="709"/>
      <c r="U28" s="710"/>
      <c r="V28" s="709"/>
      <c r="W28" s="710"/>
      <c r="X28" s="711"/>
      <c r="Y28" s="3364"/>
      <c r="Z28" s="55"/>
      <c r="AA28" s="1531">
        <v>1</v>
      </c>
      <c r="AB28" s="1531">
        <v>1</v>
      </c>
      <c r="AC28" s="1531">
        <v>1</v>
      </c>
    </row>
    <row r="29" spans="1:29" s="112" customFormat="1" ht="15">
      <c r="A29" s="604"/>
      <c r="B29" s="1286" t="s">
        <v>2473</v>
      </c>
      <c r="C29" s="2079"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6"/>
      <c r="M29" s="2937"/>
      <c r="N29" s="2937"/>
      <c r="O29" s="2991"/>
      <c r="P29" s="3364"/>
      <c r="Q29" s="1521" t="str">
        <f>B29</f>
        <v>基础设施水平</v>
      </c>
      <c r="R29" s="709" t="s">
        <v>17</v>
      </c>
      <c r="S29" s="710">
        <f>F29</f>
        <v>100</v>
      </c>
      <c r="T29" s="709" t="s">
        <v>17</v>
      </c>
      <c r="U29" s="710">
        <f>H29</f>
        <v>100</v>
      </c>
      <c r="V29" s="709" t="s">
        <v>17</v>
      </c>
      <c r="W29" s="710">
        <f>J29</f>
        <v>100</v>
      </c>
      <c r="X29" s="711"/>
      <c r="Y29" s="3364"/>
      <c r="Z29" s="55" t="str">
        <f>Q29</f>
        <v>基础设施水平</v>
      </c>
      <c r="AA29" s="1531">
        <f>D29/F29</f>
        <v>1</v>
      </c>
      <c r="AB29" s="1531">
        <f>D29/H29</f>
        <v>1</v>
      </c>
      <c r="AC29" s="1531">
        <f>D29/J29</f>
        <v>1</v>
      </c>
    </row>
    <row r="30" spans="1:29" s="112" customFormat="1" ht="15">
      <c r="A30" s="604"/>
      <c r="B30" s="414"/>
      <c r="C30" s="2157" t="s">
        <v>3175</v>
      </c>
      <c r="D30" s="406"/>
      <c r="E30" s="2157" t="s">
        <v>3175</v>
      </c>
      <c r="F30" s="406"/>
      <c r="G30" s="2157" t="s">
        <v>3175</v>
      </c>
      <c r="H30" s="406"/>
      <c r="I30" s="2157" t="s">
        <v>3175</v>
      </c>
      <c r="J30" s="406"/>
      <c r="K30" s="627"/>
      <c r="L30" s="2936"/>
      <c r="M30" s="2937"/>
      <c r="N30" s="2937"/>
      <c r="O30" s="2991"/>
      <c r="P30" s="3364"/>
      <c r="Q30" s="1521"/>
      <c r="R30" s="709"/>
      <c r="S30" s="710"/>
      <c r="T30" s="709"/>
      <c r="U30" s="710"/>
      <c r="V30" s="709"/>
      <c r="W30" s="710"/>
      <c r="X30" s="711"/>
      <c r="Y30" s="3364"/>
      <c r="Z30" s="55"/>
      <c r="AA30" s="1531">
        <v>1</v>
      </c>
      <c r="AB30" s="1531">
        <v>1</v>
      </c>
      <c r="AC30" s="1531">
        <v>1</v>
      </c>
    </row>
    <row r="31" spans="1:29" ht="15">
      <c r="A31" s="386"/>
      <c r="B31" s="414" t="s">
        <v>2474</v>
      </c>
      <c r="C31" s="3086" t="s">
        <v>3420</v>
      </c>
      <c r="D31" s="393">
        <v>100</v>
      </c>
      <c r="E31" s="589" t="s">
        <v>3420</v>
      </c>
      <c r="F31" s="393">
        <f>SUMIF(104:104,E31,105:105)-SUMIF(104:104,C31,105:105)+100</f>
        <v>100</v>
      </c>
      <c r="G31" s="589" t="s">
        <v>3406</v>
      </c>
      <c r="H31" s="393">
        <f>SUMIF(104:104,G31,105:105)-SUMIF(104:104,C31,105:105)+100</f>
        <v>99</v>
      </c>
      <c r="I31" s="589" t="s">
        <v>3406</v>
      </c>
      <c r="J31" s="393">
        <f>SUMIF(104:104,I31,105:105)-SUMIF(104:104,C31,105:105)+100</f>
        <v>99</v>
      </c>
      <c r="K31" s="628">
        <v>1</v>
      </c>
      <c r="L31" s="2941"/>
      <c r="M31" s="2935"/>
      <c r="N31" s="2935"/>
      <c r="O31" s="2993"/>
      <c r="P31" s="3364"/>
      <c r="Q31" s="1530" t="str">
        <f t="shared" si="8"/>
        <v>临街状况</v>
      </c>
      <c r="R31" s="713" t="s">
        <v>17</v>
      </c>
      <c r="S31" s="714">
        <f t="shared" ref="S31:S45" si="9">F31</f>
        <v>100</v>
      </c>
      <c r="T31" s="713" t="s">
        <v>17</v>
      </c>
      <c r="U31" s="714">
        <f t="shared" ref="U31:U45" si="10">H31</f>
        <v>99</v>
      </c>
      <c r="V31" s="713" t="s">
        <v>17</v>
      </c>
      <c r="W31" s="714">
        <f t="shared" ref="W31:W45" si="11">J31</f>
        <v>99</v>
      </c>
      <c r="X31" s="1533"/>
      <c r="Y31" s="3364"/>
      <c r="Z31" s="1534" t="str">
        <f t="shared" ref="Z31:Z45" si="12">Q31</f>
        <v>临街状况</v>
      </c>
      <c r="AA31" s="1531">
        <f t="shared" si="3"/>
        <v>1</v>
      </c>
      <c r="AB31" s="1531">
        <f t="shared" si="4"/>
        <v>1.0101010101010102</v>
      </c>
      <c r="AC31" s="1531">
        <f t="shared" si="5"/>
        <v>1.0101010101010102</v>
      </c>
    </row>
    <row r="32" spans="1:29" ht="27.75">
      <c r="A32" s="386"/>
      <c r="B32" s="1286" t="s">
        <v>2509</v>
      </c>
      <c r="C32" s="412" t="s">
        <v>3408</v>
      </c>
      <c r="D32" s="408">
        <v>100</v>
      </c>
      <c r="E32" s="412" t="s">
        <v>3421</v>
      </c>
      <c r="F32" s="408">
        <f>SUMIF(106:106,E33,107:107)-SUMIF(106:106,C33,107:107)+100</f>
        <v>101</v>
      </c>
      <c r="G32" s="412" t="s">
        <v>3423</v>
      </c>
      <c r="H32" s="408">
        <f>SUMIF(106:106,G33,107:107)-SUMIF(106:106,C33,107:107)+100</f>
        <v>100</v>
      </c>
      <c r="I32" s="412" t="s">
        <v>3424</v>
      </c>
      <c r="J32" s="408">
        <f>SUMIF(106:106,I33,107:107)-SUMIF(106:106,C33,107:107)+100</f>
        <v>100</v>
      </c>
      <c r="K32" s="628">
        <v>1</v>
      </c>
      <c r="L32" s="2941"/>
      <c r="M32" s="2935"/>
      <c r="N32" s="2935"/>
      <c r="O32" s="2993"/>
      <c r="P32" s="3364"/>
      <c r="Q32" s="1530" t="str">
        <f t="shared" si="8"/>
        <v>毗邻道路的类型与等级</v>
      </c>
      <c r="R32" s="713" t="s">
        <v>17</v>
      </c>
      <c r="S32" s="714">
        <f t="shared" si="9"/>
        <v>101</v>
      </c>
      <c r="T32" s="713" t="s">
        <v>17</v>
      </c>
      <c r="U32" s="714">
        <f t="shared" si="10"/>
        <v>100</v>
      </c>
      <c r="V32" s="713" t="s">
        <v>17</v>
      </c>
      <c r="W32" s="714">
        <f t="shared" si="11"/>
        <v>100</v>
      </c>
      <c r="X32" s="1533"/>
      <c r="Y32" s="3364"/>
      <c r="Z32" s="1534" t="str">
        <f t="shared" si="12"/>
        <v>毗邻道路的类型与等级</v>
      </c>
      <c r="AA32" s="1531">
        <f t="shared" si="3"/>
        <v>0.99009900990099009</v>
      </c>
      <c r="AB32" s="1531">
        <f t="shared" si="4"/>
        <v>1</v>
      </c>
      <c r="AC32" s="1531">
        <f t="shared" si="5"/>
        <v>1</v>
      </c>
    </row>
    <row r="33" spans="1:29" ht="15.75" thickBot="1">
      <c r="A33" s="386"/>
      <c r="B33" s="414"/>
      <c r="C33" s="405" t="s">
        <v>3407</v>
      </c>
      <c r="D33" s="406"/>
      <c r="E33" s="2083" t="s">
        <v>3422</v>
      </c>
      <c r="F33" s="406"/>
      <c r="G33" s="2083" t="s">
        <v>3407</v>
      </c>
      <c r="H33" s="406"/>
      <c r="I33" s="405" t="s">
        <v>3407</v>
      </c>
      <c r="J33" s="406"/>
      <c r="K33" s="569"/>
      <c r="L33" s="2941"/>
      <c r="M33" s="2935"/>
      <c r="N33" s="2935"/>
      <c r="O33" s="2993"/>
      <c r="P33" s="3364"/>
      <c r="Q33" s="1530"/>
      <c r="R33" s="713"/>
      <c r="S33" s="714"/>
      <c r="T33" s="713"/>
      <c r="U33" s="714"/>
      <c r="V33" s="713"/>
      <c r="W33" s="714"/>
      <c r="X33" s="1533"/>
      <c r="Y33" s="3364"/>
      <c r="Z33" s="1534"/>
      <c r="AA33" s="1531">
        <v>1</v>
      </c>
      <c r="AB33" s="1531">
        <v>1</v>
      </c>
      <c r="AC33" s="1531">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3"/>
      <c r="P34" s="3364"/>
      <c r="Q34" s="1530" t="str">
        <f t="shared" si="8"/>
        <v>土地级别</v>
      </c>
      <c r="R34" s="713" t="s">
        <v>17</v>
      </c>
      <c r="S34" s="714">
        <f t="shared" si="9"/>
        <v>100</v>
      </c>
      <c r="T34" s="713" t="s">
        <v>17</v>
      </c>
      <c r="U34" s="714">
        <f t="shared" si="10"/>
        <v>100</v>
      </c>
      <c r="V34" s="713" t="s">
        <v>17</v>
      </c>
      <c r="W34" s="714">
        <f t="shared" si="11"/>
        <v>100</v>
      </c>
      <c r="X34" s="1533"/>
      <c r="Y34" s="3364"/>
      <c r="Z34" s="1534" t="str">
        <f t="shared" si="12"/>
        <v>土地级别</v>
      </c>
      <c r="AA34" s="1531">
        <f t="shared" si="3"/>
        <v>1</v>
      </c>
      <c r="AB34" s="1531">
        <f t="shared" si="4"/>
        <v>1</v>
      </c>
      <c r="AC34" s="1531">
        <f t="shared" si="5"/>
        <v>1</v>
      </c>
    </row>
    <row r="35" spans="1:29" ht="15" hidden="1">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3"/>
      <c r="P35" s="3364"/>
      <c r="Q35" s="1530">
        <f t="shared" si="8"/>
        <v>111</v>
      </c>
      <c r="R35" s="713" t="s">
        <v>17</v>
      </c>
      <c r="S35" s="714">
        <f t="shared" si="9"/>
        <v>100</v>
      </c>
      <c r="T35" s="713" t="s">
        <v>17</v>
      </c>
      <c r="U35" s="714">
        <f t="shared" si="10"/>
        <v>100</v>
      </c>
      <c r="V35" s="713" t="s">
        <v>17</v>
      </c>
      <c r="W35" s="714">
        <f t="shared" si="11"/>
        <v>100</v>
      </c>
      <c r="X35" s="1533"/>
      <c r="Y35" s="3364"/>
      <c r="Z35" s="1534">
        <f t="shared" si="12"/>
        <v>111</v>
      </c>
      <c r="AA35" s="1531">
        <f t="shared" si="3"/>
        <v>1</v>
      </c>
      <c r="AB35" s="1531">
        <f t="shared" si="4"/>
        <v>1</v>
      </c>
      <c r="AC35" s="1531">
        <f t="shared" si="5"/>
        <v>1</v>
      </c>
    </row>
    <row r="36" spans="1:29" ht="15" hidden="1">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3"/>
      <c r="P36" s="3387" t="s">
        <v>2383</v>
      </c>
      <c r="Q36" s="1530">
        <f t="shared" si="8"/>
        <v>111</v>
      </c>
      <c r="R36" s="713" t="s">
        <v>17</v>
      </c>
      <c r="S36" s="714">
        <f t="shared" si="9"/>
        <v>100</v>
      </c>
      <c r="T36" s="713" t="s">
        <v>17</v>
      </c>
      <c r="U36" s="714">
        <f t="shared" si="10"/>
        <v>100</v>
      </c>
      <c r="V36" s="713" t="s">
        <v>17</v>
      </c>
      <c r="W36" s="714">
        <f t="shared" si="11"/>
        <v>100</v>
      </c>
      <c r="X36" s="1533"/>
      <c r="Y36" s="3368" t="s">
        <v>2383</v>
      </c>
      <c r="Z36" s="1534">
        <f t="shared" si="12"/>
        <v>111</v>
      </c>
      <c r="AA36" s="1531">
        <f t="shared" si="3"/>
        <v>1</v>
      </c>
      <c r="AB36" s="1531">
        <f t="shared" si="4"/>
        <v>1</v>
      </c>
      <c r="AC36" s="1531">
        <f t="shared" si="5"/>
        <v>1</v>
      </c>
    </row>
    <row r="37" spans="1:29" s="429" customFormat="1" ht="15.75" hidden="1"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4"/>
      <c r="P37" s="3368"/>
      <c r="Q37" s="1530">
        <f t="shared" si="8"/>
        <v>111</v>
      </c>
      <c r="R37" s="716" t="s">
        <v>17</v>
      </c>
      <c r="S37" s="717">
        <f t="shared" si="9"/>
        <v>100</v>
      </c>
      <c r="T37" s="716" t="s">
        <v>17</v>
      </c>
      <c r="U37" s="717">
        <f t="shared" si="10"/>
        <v>100</v>
      </c>
      <c r="V37" s="716" t="s">
        <v>17</v>
      </c>
      <c r="W37" s="717">
        <f t="shared" si="11"/>
        <v>100</v>
      </c>
      <c r="X37" s="718"/>
      <c r="Y37" s="3368"/>
      <c r="Z37" s="719">
        <f t="shared" si="12"/>
        <v>111</v>
      </c>
      <c r="AA37" s="1531">
        <f t="shared" si="3"/>
        <v>1</v>
      </c>
      <c r="AB37" s="1531">
        <f t="shared" si="4"/>
        <v>1</v>
      </c>
      <c r="AC37" s="1531">
        <f t="shared" si="5"/>
        <v>1</v>
      </c>
    </row>
    <row r="38" spans="1:29" ht="15">
      <c r="A38" s="430" t="s">
        <v>2381</v>
      </c>
      <c r="B38" s="414" t="s">
        <v>2569</v>
      </c>
      <c r="C38" s="634">
        <f>'数据-基础表'!A3</f>
        <v>34165.910000000003</v>
      </c>
      <c r="D38" s="425">
        <v>100</v>
      </c>
      <c r="E38" s="634">
        <f>土地案例!J2</f>
        <v>67309.960000000006</v>
      </c>
      <c r="F38" s="425">
        <f>LOOKUP(E38,117:117,118:118)-LOOKUP(C38,117:117,118:118)+100</f>
        <v>102</v>
      </c>
      <c r="G38" s="634">
        <f>土地案例!J3</f>
        <v>48727.09</v>
      </c>
      <c r="H38" s="425">
        <f>LOOKUP(G38,117:117,118:118)-LOOKUP(C38,117:117,118:118)+100</f>
        <v>101</v>
      </c>
      <c r="I38" s="486">
        <f>土地案例!J12</f>
        <v>74772.84</v>
      </c>
      <c r="J38" s="425">
        <f>LOOKUP(I38,117:117,118:118)-LOOKUP(C38,117:117,118:118)+100</f>
        <v>102</v>
      </c>
      <c r="K38" s="569"/>
      <c r="L38" s="2941"/>
      <c r="M38" s="2935"/>
      <c r="N38" s="2935"/>
      <c r="O38" s="2993"/>
      <c r="P38" s="3368"/>
      <c r="Q38" s="1530" t="str">
        <f>B38</f>
        <v>宗地面积</v>
      </c>
      <c r="R38" s="713" t="s">
        <v>17</v>
      </c>
      <c r="S38" s="714">
        <f t="shared" si="9"/>
        <v>102</v>
      </c>
      <c r="T38" s="713" t="s">
        <v>17</v>
      </c>
      <c r="U38" s="714">
        <f t="shared" si="10"/>
        <v>101</v>
      </c>
      <c r="V38" s="713" t="s">
        <v>17</v>
      </c>
      <c r="W38" s="714">
        <f t="shared" si="11"/>
        <v>102</v>
      </c>
      <c r="X38" s="1533"/>
      <c r="Y38" s="3368"/>
      <c r="Z38" s="1534" t="str">
        <f t="shared" si="12"/>
        <v>宗地面积</v>
      </c>
      <c r="AA38" s="1531">
        <f t="shared" si="3"/>
        <v>0.98039215686274506</v>
      </c>
      <c r="AB38" s="1531">
        <f t="shared" si="4"/>
        <v>0.99009900990099009</v>
      </c>
      <c r="AC38" s="1531">
        <f t="shared" si="5"/>
        <v>0.98039215686274506</v>
      </c>
    </row>
    <row r="39" spans="1:29" ht="15">
      <c r="A39" s="430"/>
      <c r="B39" s="380" t="s">
        <v>2570</v>
      </c>
      <c r="C39" s="2085" t="s">
        <v>3166</v>
      </c>
      <c r="D39" s="393">
        <v>100</v>
      </c>
      <c r="E39" s="2085" t="s">
        <v>3166</v>
      </c>
      <c r="F39" s="393">
        <f>SUMIF(119:119,E39,120:120)-SUMIF(119:119,C39,120:120)+100</f>
        <v>100</v>
      </c>
      <c r="G39" s="2085" t="s">
        <v>3166</v>
      </c>
      <c r="H39" s="393">
        <f>SUMIF(119:119,G39,120:120)-SUMIF(119:119,C39,120:120)+100</f>
        <v>100</v>
      </c>
      <c r="I39" s="2085" t="s">
        <v>3166</v>
      </c>
      <c r="J39" s="393">
        <f>SUMIF(119:119,I39,120:120)-SUMIF(119:119,C39,120:120)+100</f>
        <v>100</v>
      </c>
      <c r="K39" s="568">
        <v>1</v>
      </c>
      <c r="L39" s="2941"/>
      <c r="M39" s="2935"/>
      <c r="N39" s="2935"/>
      <c r="O39" s="2993"/>
      <c r="P39" s="3368"/>
      <c r="Q39" s="1530" t="str">
        <f t="shared" ref="Q39:Q45" si="13">B39</f>
        <v>宗地形状</v>
      </c>
      <c r="R39" s="713" t="s">
        <v>17</v>
      </c>
      <c r="S39" s="714">
        <f t="shared" si="9"/>
        <v>100</v>
      </c>
      <c r="T39" s="713" t="s">
        <v>17</v>
      </c>
      <c r="U39" s="714">
        <f t="shared" si="10"/>
        <v>100</v>
      </c>
      <c r="V39" s="713" t="s">
        <v>17</v>
      </c>
      <c r="W39" s="714">
        <f t="shared" si="11"/>
        <v>100</v>
      </c>
      <c r="X39" s="1533"/>
      <c r="Y39" s="3368"/>
      <c r="Z39" s="1534" t="str">
        <f t="shared" si="12"/>
        <v>宗地形状</v>
      </c>
      <c r="AA39" s="1531">
        <f t="shared" si="3"/>
        <v>1</v>
      </c>
      <c r="AB39" s="1531">
        <f t="shared" si="4"/>
        <v>1</v>
      </c>
      <c r="AC39" s="1531">
        <f t="shared" si="5"/>
        <v>1</v>
      </c>
    </row>
    <row r="40" spans="1:29" ht="57">
      <c r="A40" s="430"/>
      <c r="B40" s="380" t="s">
        <v>2571</v>
      </c>
      <c r="C40" s="2085" t="s">
        <v>3409</v>
      </c>
      <c r="D40" s="393">
        <v>100</v>
      </c>
      <c r="E40" s="2085" t="s">
        <v>3409</v>
      </c>
      <c r="F40" s="393">
        <f>SUMIF(121:121,E40,122:122)-SUMIF(121:121,C40,122:122)+100</f>
        <v>100</v>
      </c>
      <c r="G40" s="2085" t="s">
        <v>3409</v>
      </c>
      <c r="H40" s="393">
        <f>SUMIF(121:121,G40,122:122)-SUMIF(121:121,C40,122:122)+100</f>
        <v>100</v>
      </c>
      <c r="I40" s="2085" t="s">
        <v>3409</v>
      </c>
      <c r="J40" s="393">
        <f>SUMIF(121:121,I40,122:122)-SUMIF(121:121,C40,122:122)+100</f>
        <v>100</v>
      </c>
      <c r="K40" s="568">
        <v>1</v>
      </c>
      <c r="L40" s="2941"/>
      <c r="M40" s="2935"/>
      <c r="N40" s="2935"/>
      <c r="O40" s="2993"/>
      <c r="P40" s="3368"/>
      <c r="Q40" s="1530" t="str">
        <f t="shared" si="13"/>
        <v>临街宽度及深度</v>
      </c>
      <c r="R40" s="713" t="s">
        <v>17</v>
      </c>
      <c r="S40" s="714">
        <f t="shared" si="9"/>
        <v>100</v>
      </c>
      <c r="T40" s="713" t="s">
        <v>17</v>
      </c>
      <c r="U40" s="714">
        <f t="shared" si="10"/>
        <v>100</v>
      </c>
      <c r="V40" s="713" t="s">
        <v>17</v>
      </c>
      <c r="W40" s="714">
        <f t="shared" si="11"/>
        <v>100</v>
      </c>
      <c r="X40" s="1533"/>
      <c r="Y40" s="3368"/>
      <c r="Z40" s="1534" t="str">
        <f t="shared" si="12"/>
        <v>临街宽度及深度</v>
      </c>
      <c r="AA40" s="1531">
        <f t="shared" si="3"/>
        <v>1</v>
      </c>
      <c r="AB40" s="1531">
        <f t="shared" si="4"/>
        <v>1</v>
      </c>
      <c r="AC40" s="1531">
        <f t="shared" si="5"/>
        <v>1</v>
      </c>
    </row>
    <row r="41" spans="1:29" s="112" customFormat="1" ht="15">
      <c r="A41" s="431"/>
      <c r="B41" s="380" t="s">
        <v>2572</v>
      </c>
      <c r="C41" s="2159" t="s">
        <v>3175</v>
      </c>
      <c r="D41" s="131">
        <v>100</v>
      </c>
      <c r="E41" s="2159" t="s">
        <v>3177</v>
      </c>
      <c r="F41" s="393">
        <f>SUMIF(123:123,E41,124:124)-SUMIF(123:123,C41,124:124)+100</f>
        <v>99</v>
      </c>
      <c r="G41" s="2159" t="s">
        <v>3177</v>
      </c>
      <c r="H41" s="393">
        <f>SUMIF(123:123,G41,124:124)-SUMIF(123:123,C41,124:124)+100</f>
        <v>99</v>
      </c>
      <c r="I41" s="2159" t="s">
        <v>3175</v>
      </c>
      <c r="J41" s="393">
        <f>SUMIF(123:123,I41,124:124)-SUMIF(123:123,C41,124:124)+100</f>
        <v>100</v>
      </c>
      <c r="K41" s="568">
        <v>0.5</v>
      </c>
      <c r="L41" s="2936"/>
      <c r="M41" s="2937"/>
      <c r="N41" s="2937"/>
      <c r="O41" s="2991"/>
      <c r="P41" s="3368"/>
      <c r="Q41" s="1530" t="str">
        <f t="shared" si="13"/>
        <v>宗地开发程度</v>
      </c>
      <c r="R41" s="709" t="s">
        <v>17</v>
      </c>
      <c r="S41" s="710">
        <f t="shared" si="9"/>
        <v>99</v>
      </c>
      <c r="T41" s="709" t="s">
        <v>17</v>
      </c>
      <c r="U41" s="710">
        <f t="shared" si="10"/>
        <v>99</v>
      </c>
      <c r="V41" s="709" t="s">
        <v>17</v>
      </c>
      <c r="W41" s="710">
        <f t="shared" si="11"/>
        <v>100</v>
      </c>
      <c r="X41" s="711"/>
      <c r="Y41" s="3368"/>
      <c r="Z41" s="55" t="str">
        <f t="shared" si="12"/>
        <v>宗地开发程度</v>
      </c>
      <c r="AA41" s="712">
        <f t="shared" si="3"/>
        <v>1.0101010101010102</v>
      </c>
      <c r="AB41" s="712">
        <f t="shared" si="4"/>
        <v>1.0101010101010102</v>
      </c>
      <c r="AC41" s="712">
        <f t="shared" si="5"/>
        <v>1</v>
      </c>
    </row>
    <row r="42" spans="1:29" ht="15.75" thickBot="1">
      <c r="A42" s="430"/>
      <c r="B42" s="380" t="s">
        <v>2573</v>
      </c>
      <c r="C42" s="2085" t="s">
        <v>3181</v>
      </c>
      <c r="D42" s="393">
        <v>100</v>
      </c>
      <c r="E42" s="2085" t="s">
        <v>3181</v>
      </c>
      <c r="F42" s="393">
        <f>SUMIF(125:125,E42,126:126)-SUMIF(125:125,C42,126:126)+100</f>
        <v>100</v>
      </c>
      <c r="G42" s="2085" t="s">
        <v>3181</v>
      </c>
      <c r="H42" s="393">
        <f>SUMIF(125:125,G42,126:126)-SUMIF(125:125,C42,126:126)+100</f>
        <v>100</v>
      </c>
      <c r="I42" s="2085" t="s">
        <v>3181</v>
      </c>
      <c r="J42" s="393">
        <f>SUMIF(125:125,I42,126:126)-SUMIF(125:125,C42,126:126)+100</f>
        <v>100</v>
      </c>
      <c r="K42" s="568">
        <v>1</v>
      </c>
      <c r="L42" s="2941"/>
      <c r="M42" s="2935"/>
      <c r="N42" s="2935"/>
      <c r="O42" s="2993"/>
      <c r="P42" s="3368" t="s">
        <v>2383</v>
      </c>
      <c r="Q42" s="1530" t="str">
        <f t="shared" si="13"/>
        <v>工程地质条件</v>
      </c>
      <c r="R42" s="713" t="s">
        <v>17</v>
      </c>
      <c r="S42" s="714">
        <f t="shared" si="9"/>
        <v>100</v>
      </c>
      <c r="T42" s="713" t="s">
        <v>17</v>
      </c>
      <c r="U42" s="714">
        <f t="shared" si="10"/>
        <v>100</v>
      </c>
      <c r="V42" s="713" t="s">
        <v>17</v>
      </c>
      <c r="W42" s="714">
        <f t="shared" si="11"/>
        <v>100</v>
      </c>
      <c r="X42" s="1533"/>
      <c r="Y42" s="3368" t="s">
        <v>2383</v>
      </c>
      <c r="Z42" s="1534" t="str">
        <f t="shared" si="12"/>
        <v>工程地质条件</v>
      </c>
      <c r="AA42" s="1531">
        <f t="shared" si="3"/>
        <v>1</v>
      </c>
      <c r="AB42" s="1531">
        <f t="shared" si="4"/>
        <v>1</v>
      </c>
      <c r="AC42" s="1531">
        <f t="shared" si="5"/>
        <v>1</v>
      </c>
    </row>
    <row r="43" spans="1:29" ht="15" hidden="1">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3"/>
      <c r="P43" s="3368"/>
      <c r="Q43" s="1530">
        <f t="shared" si="13"/>
        <v>111</v>
      </c>
      <c r="R43" s="713" t="s">
        <v>17</v>
      </c>
      <c r="S43" s="714">
        <f t="shared" si="9"/>
        <v>100</v>
      </c>
      <c r="T43" s="713" t="s">
        <v>17</v>
      </c>
      <c r="U43" s="714">
        <f t="shared" si="10"/>
        <v>100</v>
      </c>
      <c r="V43" s="713" t="s">
        <v>17</v>
      </c>
      <c r="W43" s="714">
        <f t="shared" si="11"/>
        <v>100</v>
      </c>
      <c r="X43" s="1533"/>
      <c r="Y43" s="3368"/>
      <c r="Z43" s="1534">
        <f t="shared" si="12"/>
        <v>111</v>
      </c>
      <c r="AA43" s="1531">
        <f t="shared" si="3"/>
        <v>1</v>
      </c>
      <c r="AB43" s="1531">
        <f t="shared" si="4"/>
        <v>1</v>
      </c>
      <c r="AC43" s="1531">
        <f t="shared" si="5"/>
        <v>1</v>
      </c>
    </row>
    <row r="44" spans="1:29" ht="15" hidden="1">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3"/>
      <c r="P44" s="3368"/>
      <c r="Q44" s="1530">
        <f t="shared" si="13"/>
        <v>111</v>
      </c>
      <c r="R44" s="713" t="s">
        <v>17</v>
      </c>
      <c r="S44" s="714">
        <f t="shared" si="9"/>
        <v>100</v>
      </c>
      <c r="T44" s="713" t="s">
        <v>17</v>
      </c>
      <c r="U44" s="714">
        <f t="shared" si="10"/>
        <v>100</v>
      </c>
      <c r="V44" s="713" t="s">
        <v>17</v>
      </c>
      <c r="W44" s="714">
        <f t="shared" si="11"/>
        <v>100</v>
      </c>
      <c r="X44" s="1533"/>
      <c r="Y44" s="3368"/>
      <c r="Z44" s="1534">
        <f t="shared" si="12"/>
        <v>111</v>
      </c>
      <c r="AA44" s="1531">
        <f t="shared" si="3"/>
        <v>1</v>
      </c>
      <c r="AB44" s="1531">
        <f t="shared" si="4"/>
        <v>1</v>
      </c>
      <c r="AC44" s="1531">
        <f t="shared" si="5"/>
        <v>1</v>
      </c>
    </row>
    <row r="45" spans="1:29" s="429" customFormat="1" ht="15.75" hidden="1" thickBot="1">
      <c r="A45" s="426"/>
      <c r="B45" s="1289">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4"/>
      <c r="P45" s="3368"/>
      <c r="Q45" s="1530">
        <f t="shared" si="13"/>
        <v>111</v>
      </c>
      <c r="R45" s="716" t="s">
        <v>17</v>
      </c>
      <c r="S45" s="717">
        <f t="shared" si="9"/>
        <v>100</v>
      </c>
      <c r="T45" s="716" t="s">
        <v>17</v>
      </c>
      <c r="U45" s="717">
        <f t="shared" si="10"/>
        <v>100</v>
      </c>
      <c r="V45" s="716" t="s">
        <v>17</v>
      </c>
      <c r="W45" s="717">
        <f t="shared" si="11"/>
        <v>100</v>
      </c>
      <c r="X45" s="718"/>
      <c r="Y45" s="3368"/>
      <c r="Z45" s="719">
        <f t="shared" si="12"/>
        <v>111</v>
      </c>
      <c r="AA45" s="1531">
        <f t="shared" si="3"/>
        <v>1</v>
      </c>
      <c r="AB45" s="1531">
        <f t="shared" si="4"/>
        <v>1</v>
      </c>
      <c r="AC45" s="1531">
        <f t="shared" si="5"/>
        <v>1</v>
      </c>
    </row>
    <row r="46" spans="1:29" ht="15">
      <c r="A46" s="437" t="s">
        <v>2538</v>
      </c>
      <c r="B46" s="2161" t="s">
        <v>2574</v>
      </c>
      <c r="C46" s="637" t="s">
        <v>1</v>
      </c>
      <c r="D46" s="439"/>
      <c r="E46" s="440">
        <f>ROUND(土地案例!AL2,0)</f>
        <v>46670</v>
      </c>
      <c r="F46" s="441"/>
      <c r="G46" s="442">
        <f>ROUND(土地案例!AL3,0)</f>
        <v>50587</v>
      </c>
      <c r="H46" s="443"/>
      <c r="I46" s="440">
        <f>ROUND(土地案例!AL12,0)</f>
        <v>40865</v>
      </c>
      <c r="J46" s="443"/>
      <c r="K46" s="722"/>
      <c r="L46" s="2943"/>
      <c r="M46" s="2944"/>
      <c r="N46" s="2935"/>
      <c r="O46" s="2944"/>
      <c r="P46" s="3361" t="str">
        <f>A46</f>
        <v>成交单价</v>
      </c>
      <c r="Q46" s="3361"/>
      <c r="R46" s="3356">
        <f>E46</f>
        <v>46670</v>
      </c>
      <c r="S46" s="3356"/>
      <c r="T46" s="3356">
        <f>G46</f>
        <v>50587</v>
      </c>
      <c r="U46" s="3356"/>
      <c r="V46" s="3356">
        <f>I46</f>
        <v>40865</v>
      </c>
      <c r="W46" s="3356"/>
      <c r="X46" s="698"/>
      <c r="Y46" s="720"/>
      <c r="Z46" s="698"/>
      <c r="AA46" s="698"/>
      <c r="AB46" s="698"/>
      <c r="AC46" s="698"/>
    </row>
    <row r="47" spans="1:29" ht="15.75" thickBot="1">
      <c r="A47" s="444" t="s">
        <v>2487</v>
      </c>
      <c r="B47" s="638"/>
      <c r="C47" s="447">
        <f>R48</f>
        <v>36508</v>
      </c>
      <c r="D47" s="2531" t="s">
        <v>2878</v>
      </c>
      <c r="E47" s="447">
        <f>R47</f>
        <v>35996</v>
      </c>
      <c r="F47" s="2532"/>
      <c r="G47" s="446">
        <f>T47</f>
        <v>40200</v>
      </c>
      <c r="H47" s="2532"/>
      <c r="I47" s="447">
        <f>V47</f>
        <v>33328</v>
      </c>
      <c r="J47" s="2532"/>
      <c r="K47" s="2534">
        <f>F47+H47+J47</f>
        <v>0</v>
      </c>
      <c r="L47" s="2943"/>
      <c r="M47" s="2944"/>
      <c r="N47" s="2944"/>
      <c r="O47" s="2944"/>
      <c r="P47" s="3361" t="str">
        <f>A47</f>
        <v>比较价值（元/平方米）</v>
      </c>
      <c r="Q47" s="3361"/>
      <c r="R47" s="3391">
        <f>ROUND(PRODUCT(R46,AA7:AA45),0)</f>
        <v>35996</v>
      </c>
      <c r="S47" s="3391"/>
      <c r="T47" s="3391">
        <f>ROUND(PRODUCT(T46,AB7:AB45),0)</f>
        <v>40200</v>
      </c>
      <c r="U47" s="3391"/>
      <c r="V47" s="3391">
        <f>ROUND(PRODUCT(V46,AC7:AC45),0)</f>
        <v>33328</v>
      </c>
      <c r="W47" s="3391"/>
      <c r="X47" s="698"/>
      <c r="Y47" s="698"/>
      <c r="Z47" s="698"/>
      <c r="AA47" s="698"/>
      <c r="AB47" s="698"/>
      <c r="AC47" s="698"/>
    </row>
    <row r="48" spans="1:29" ht="15.75" thickBot="1">
      <c r="A48" s="448" t="s">
        <v>2575</v>
      </c>
      <c r="B48" s="449"/>
      <c r="C48" s="450">
        <f>R48</f>
        <v>36508</v>
      </c>
      <c r="D48" s="450"/>
      <c r="E48" s="450"/>
      <c r="F48" s="450"/>
      <c r="G48" s="450"/>
      <c r="H48" s="450"/>
      <c r="I48" s="450"/>
      <c r="J48" s="450"/>
      <c r="K48" s="723"/>
      <c r="L48" s="2943"/>
      <c r="M48" s="2944"/>
      <c r="N48" s="2944"/>
      <c r="O48" s="2944"/>
      <c r="P48" s="3358" t="str">
        <f>A48</f>
        <v>估价对象XX用房的比较价值（楼面单价，元/平方米）</v>
      </c>
      <c r="Q48" s="3359"/>
      <c r="R48" s="3392">
        <f>ROUND(IF(D47="简单平均",AVERAGE(R47:W47),R47*F47+T47*H47+V47*J47),0)</f>
        <v>36508</v>
      </c>
      <c r="S48" s="3392"/>
      <c r="T48" s="3392"/>
      <c r="U48" s="3392"/>
      <c r="V48" s="3392"/>
      <c r="W48" s="3392"/>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2489</v>
      </c>
      <c r="D51" s="454"/>
      <c r="E51" s="455">
        <f>IF(E46&lt;E47,E47/E46-1,E46/E47-1)</f>
        <v>0.29653294810534514</v>
      </c>
      <c r="F51" s="456" t="str">
        <f>IF(OR(E51&gt;=0.3,E51&lt;=-0.3),"超过30%","")</f>
        <v/>
      </c>
      <c r="G51" s="455">
        <f>IF(G46&lt;G47,G47/G46-1,G46/G47-1)</f>
        <v>0.25838308457711445</v>
      </c>
      <c r="H51" s="456" t="str">
        <f>IF(OR(G51&gt;=0.3,G51&lt;=-0.3),"超过30%","")</f>
        <v/>
      </c>
      <c r="I51" s="455">
        <f>IF(I46&lt;I47,I47/I46-1,I46/I47-1)</f>
        <v>0.22614618338934234</v>
      </c>
      <c r="J51" s="456"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2490</v>
      </c>
      <c r="D52" s="457"/>
      <c r="E52" s="455">
        <f>IF(E47&lt;G47,G47/E47-1,E47/G47-1)</f>
        <v>0.11679075452828092</v>
      </c>
      <c r="F52" s="456" t="str">
        <f>IF(OR(E52&gt;=0.2,E52&lt;=-0.2),"超过20%","")</f>
        <v/>
      </c>
      <c r="G52" s="455">
        <f>IF(G47&lt;I47,I47/G47-1,G47/I47-1)</f>
        <v>0.20619299087854048</v>
      </c>
      <c r="H52" s="456" t="str">
        <f>IF(OR(G52&gt;=0.2,G52&lt;=-0.2),"超过20%","")</f>
        <v>超过20%</v>
      </c>
      <c r="I52" s="455">
        <f>IF(I47&lt;E47,E47/I47-1,I47/E47-1)</f>
        <v>8.005280844935192E-2</v>
      </c>
      <c r="J52" s="456"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2491</v>
      </c>
      <c r="D53" s="457"/>
      <c r="E53" s="455">
        <f>IF(E46&lt;G46,G46/E46-1,E46/G46-1)</f>
        <v>8.3929719305763983E-2</v>
      </c>
      <c r="F53" s="456" t="str">
        <f>IF(OR(E53&gt;=0.3,E53&lt;=-0.3),"超过30%","")</f>
        <v/>
      </c>
      <c r="G53" s="455">
        <f>IF(G46&lt;I46,I46/G46-1,G46/I46-1)</f>
        <v>0.23790529793221582</v>
      </c>
      <c r="H53" s="456" t="str">
        <f>IF(OR(G53&gt;=0.3,G53&lt;=-0.3),"超过30%","")</f>
        <v/>
      </c>
      <c r="I53" s="455">
        <f>IF(I46&lt;E46,E46/I46-1,I46/E46-1)</f>
        <v>0.14205310167625118</v>
      </c>
      <c r="J53" s="456"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2576</v>
      </c>
      <c r="B55" s="640" t="s">
        <v>2577</v>
      </c>
      <c r="C55" s="2162" t="s">
        <v>2578</v>
      </c>
      <c r="D55" s="2163" t="s">
        <v>2579</v>
      </c>
      <c r="E55" s="641" t="s">
        <v>2580</v>
      </c>
      <c r="F55" s="1014" t="s">
        <v>2581</v>
      </c>
      <c r="G55" s="3344" t="s">
        <v>2582</v>
      </c>
      <c r="H55" s="3393"/>
      <c r="I55" s="139" t="s">
        <v>2583</v>
      </c>
      <c r="J55" s="2164">
        <f>项目基本情况!F35</f>
        <v>0</v>
      </c>
      <c r="K55" s="2165" t="s">
        <v>2584</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2585</v>
      </c>
      <c r="B56" s="644">
        <f>C48</f>
        <v>36508</v>
      </c>
      <c r="C56" s="645">
        <v>1</v>
      </c>
      <c r="D56" s="1068">
        <v>1</v>
      </c>
      <c r="E56" s="645">
        <f>'数据-汇总表'!E8+'数据-汇总表'!E9</f>
        <v>57972.040000000008</v>
      </c>
      <c r="F56" s="1010">
        <f t="shared" ref="F56:F65" si="14">ROUND(B56*E56/10000,0)</f>
        <v>211644</v>
      </c>
      <c r="G56" s="3343"/>
      <c r="H56" s="3361"/>
      <c r="I56" s="1015">
        <v>1</v>
      </c>
      <c r="J56" s="1018">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7" customFormat="1">
      <c r="A57" s="648" t="s">
        <v>2586</v>
      </c>
      <c r="B57" s="223">
        <f>ROUND($C$48*C57*D57,0)</f>
        <v>6389</v>
      </c>
      <c r="C57" s="175">
        <f t="shared" ref="C57:C65" si="15">IF($C$55="北京市系数",I57,J57)</f>
        <v>0.7</v>
      </c>
      <c r="D57" s="1069">
        <v>0.25</v>
      </c>
      <c r="E57" s="649"/>
      <c r="F57" s="1010">
        <f t="shared" si="14"/>
        <v>0</v>
      </c>
      <c r="G57" s="3394" t="s">
        <v>2587</v>
      </c>
      <c r="H57" s="1011" t="str">
        <f>项目基本情况!B37</f>
        <v>七级</v>
      </c>
      <c r="I57" s="1015">
        <f>SUMIF(修正!A45:A56,H57,修正!B45:B56)</f>
        <v>0.7</v>
      </c>
      <c r="J57" s="1019"/>
      <c r="K57" s="2944"/>
      <c r="L57" s="3001"/>
      <c r="M57" s="3001"/>
      <c r="N57" s="3001"/>
      <c r="O57" s="3001"/>
      <c r="P57" s="3001"/>
      <c r="Q57" s="3001"/>
      <c r="R57" s="3001"/>
      <c r="S57" s="3001"/>
      <c r="T57" s="3001"/>
      <c r="U57" s="3001"/>
      <c r="V57" s="3001"/>
      <c r="W57" s="3001"/>
      <c r="X57" s="3001"/>
      <c r="Y57" s="3001"/>
      <c r="Z57" s="3001"/>
      <c r="AA57" s="3001"/>
      <c r="AB57" s="3001"/>
      <c r="AC57" s="3001"/>
    </row>
    <row r="58" spans="1:29" s="647" customFormat="1">
      <c r="A58" s="648" t="s">
        <v>2588</v>
      </c>
      <c r="B58" s="223">
        <f t="shared" ref="B58:B65" si="16">ROUND($C$48*C58*D58,0)</f>
        <v>3651</v>
      </c>
      <c r="C58" s="175">
        <f t="shared" si="15"/>
        <v>0.4</v>
      </c>
      <c r="D58" s="1069">
        <v>0.25</v>
      </c>
      <c r="E58" s="649"/>
      <c r="F58" s="1010">
        <f t="shared" si="14"/>
        <v>0</v>
      </c>
      <c r="G58" s="3394"/>
      <c r="H58" s="1011" t="str">
        <f>项目基本情况!B37</f>
        <v>七级</v>
      </c>
      <c r="I58" s="1015">
        <f>SUMIF(修正!A45:A56,H58,修正!C45:C56)</f>
        <v>0.4</v>
      </c>
      <c r="J58" s="1019"/>
      <c r="K58" s="2947"/>
      <c r="L58" s="3001"/>
      <c r="M58" s="3001"/>
      <c r="N58" s="3001"/>
      <c r="O58" s="3001"/>
      <c r="P58" s="3001"/>
      <c r="Q58" s="3001"/>
      <c r="R58" s="3001"/>
      <c r="S58" s="3001"/>
      <c r="T58" s="3001"/>
      <c r="U58" s="3001"/>
      <c r="V58" s="3001"/>
      <c r="W58" s="3001"/>
      <c r="X58" s="3001"/>
      <c r="Y58" s="3001"/>
      <c r="Z58" s="3001"/>
      <c r="AA58" s="3001"/>
      <c r="AB58" s="3001"/>
      <c r="AC58" s="3001"/>
    </row>
    <row r="59" spans="1:29" s="647" customFormat="1">
      <c r="A59" s="648" t="s">
        <v>2589</v>
      </c>
      <c r="B59" s="223">
        <f t="shared" si="16"/>
        <v>2556</v>
      </c>
      <c r="C59" s="175">
        <f t="shared" si="15"/>
        <v>0.28000000000000003</v>
      </c>
      <c r="D59" s="1069">
        <v>0.25</v>
      </c>
      <c r="E59" s="649"/>
      <c r="F59" s="1010">
        <f t="shared" si="14"/>
        <v>0</v>
      </c>
      <c r="G59" s="3394"/>
      <c r="H59" s="1011" t="str">
        <f>项目基本情况!B37</f>
        <v>七级</v>
      </c>
      <c r="I59" s="1015">
        <f>SUMIF(修正!A45:A56,H59,修正!D45:D56)</f>
        <v>0.28000000000000003</v>
      </c>
      <c r="J59" s="1019"/>
      <c r="K59" s="2944"/>
      <c r="L59" s="3001"/>
      <c r="M59" s="3001"/>
      <c r="N59" s="3001"/>
      <c r="O59" s="3001"/>
      <c r="P59" s="3001"/>
      <c r="Q59" s="3001"/>
      <c r="R59" s="3001"/>
      <c r="S59" s="3001"/>
      <c r="T59" s="3001"/>
      <c r="U59" s="3001"/>
      <c r="V59" s="3001"/>
      <c r="W59" s="3001"/>
      <c r="X59" s="3001"/>
      <c r="Y59" s="3001"/>
      <c r="Z59" s="3001"/>
      <c r="AA59" s="3001"/>
      <c r="AB59" s="3001"/>
      <c r="AC59" s="3001"/>
    </row>
    <row r="60" spans="1:29" s="647" customFormat="1">
      <c r="A60" s="648" t="s">
        <v>2590</v>
      </c>
      <c r="B60" s="223">
        <f t="shared" si="16"/>
        <v>2282</v>
      </c>
      <c r="C60" s="175">
        <f t="shared" si="15"/>
        <v>0.25</v>
      </c>
      <c r="D60" s="1069">
        <v>0.25</v>
      </c>
      <c r="E60" s="649"/>
      <c r="F60" s="1010">
        <f t="shared" si="14"/>
        <v>0</v>
      </c>
      <c r="G60" s="3394"/>
      <c r="H60" s="1011" t="str">
        <f>项目基本情况!B37</f>
        <v>七级</v>
      </c>
      <c r="I60" s="1015">
        <f>SUMIF(修正!A45:A56,H60,修正!E45:E56)</f>
        <v>0.25</v>
      </c>
      <c r="J60" s="1019"/>
      <c r="K60" s="2947"/>
      <c r="L60" s="3001"/>
      <c r="M60" s="3001"/>
      <c r="N60" s="3001"/>
      <c r="O60" s="3001"/>
      <c r="P60" s="3001"/>
      <c r="Q60" s="3001"/>
      <c r="R60" s="3001"/>
      <c r="S60" s="3001"/>
      <c r="T60" s="3001"/>
      <c r="U60" s="3001"/>
      <c r="V60" s="3001"/>
      <c r="W60" s="3001"/>
      <c r="X60" s="3001"/>
      <c r="Y60" s="3001"/>
      <c r="Z60" s="3001"/>
      <c r="AA60" s="3001"/>
      <c r="AB60" s="3001"/>
      <c r="AC60" s="3001"/>
    </row>
    <row r="61" spans="1:29" s="647" customFormat="1">
      <c r="A61" s="648" t="s">
        <v>2591</v>
      </c>
      <c r="B61" s="223">
        <f t="shared" si="16"/>
        <v>2282</v>
      </c>
      <c r="C61" s="175">
        <f t="shared" si="15"/>
        <v>0.25</v>
      </c>
      <c r="D61" s="1069">
        <v>0.25</v>
      </c>
      <c r="E61" s="222">
        <f>'数据-汇总表'!E11</f>
        <v>0</v>
      </c>
      <c r="F61" s="1010">
        <f t="shared" si="14"/>
        <v>0</v>
      </c>
      <c r="G61" s="2166" t="s">
        <v>2592</v>
      </c>
      <c r="H61" s="1011" t="str">
        <f>项目基本情况!C37</f>
        <v>七级</v>
      </c>
      <c r="I61" s="1015">
        <f>SUMIF(修正!A45:A56,H61,修正!F45:F56)</f>
        <v>0.25</v>
      </c>
      <c r="J61" s="1019"/>
      <c r="K61" s="2944"/>
      <c r="L61" s="3001"/>
      <c r="M61" s="3001"/>
      <c r="N61" s="3001"/>
      <c r="O61" s="3001"/>
      <c r="P61" s="3001"/>
      <c r="Q61" s="3001"/>
      <c r="R61" s="3001"/>
      <c r="S61" s="3001"/>
      <c r="T61" s="3001"/>
      <c r="U61" s="3001"/>
      <c r="V61" s="3001"/>
      <c r="W61" s="3001"/>
      <c r="X61" s="3001"/>
      <c r="Y61" s="3001"/>
      <c r="Z61" s="3001"/>
      <c r="AA61" s="3001"/>
      <c r="AB61" s="3001"/>
      <c r="AC61" s="3001"/>
    </row>
    <row r="62" spans="1:29" s="647" customFormat="1">
      <c r="A62" s="648" t="s">
        <v>2593</v>
      </c>
      <c r="B62" s="223">
        <f t="shared" si="16"/>
        <v>2282</v>
      </c>
      <c r="C62" s="175">
        <f t="shared" si="15"/>
        <v>0.25</v>
      </c>
      <c r="D62" s="1069">
        <v>0.25</v>
      </c>
      <c r="E62" s="222">
        <f>'数据-汇总表'!E12</f>
        <v>27530</v>
      </c>
      <c r="F62" s="1010">
        <f t="shared" si="14"/>
        <v>6282</v>
      </c>
      <c r="G62" s="1016" t="s">
        <v>2594</v>
      </c>
      <c r="H62" s="1011" t="str">
        <f>IF(G62="商业",项目基本情况!B37,IF(G62="办公",项目基本情况!C37,IF(G62="住宅",项目基本情况!D37,项目基本情况!E37)))</f>
        <v>七级</v>
      </c>
      <c r="I62" s="1015">
        <f>SUMIF(修正!A45:A56,H62,修正!G45:G56)</f>
        <v>0.25</v>
      </c>
      <c r="J62" s="1019"/>
      <c r="K62" s="2947"/>
      <c r="L62" s="3001"/>
      <c r="M62" s="3001"/>
      <c r="N62" s="3001"/>
      <c r="O62" s="3001"/>
      <c r="P62" s="3001"/>
      <c r="Q62" s="3001"/>
      <c r="R62" s="3001"/>
      <c r="S62" s="3001"/>
      <c r="T62" s="3001"/>
      <c r="U62" s="3001"/>
      <c r="V62" s="3001"/>
      <c r="W62" s="3001"/>
      <c r="X62" s="3001"/>
      <c r="Y62" s="3001"/>
      <c r="Z62" s="3001"/>
      <c r="AA62" s="3001"/>
      <c r="AB62" s="3001"/>
      <c r="AC62" s="3001"/>
    </row>
    <row r="63" spans="1:29" s="647" customFormat="1">
      <c r="A63" s="648" t="s">
        <v>2595</v>
      </c>
      <c r="B63" s="223">
        <f t="shared" si="16"/>
        <v>1825</v>
      </c>
      <c r="C63" s="175">
        <f t="shared" si="15"/>
        <v>0.2</v>
      </c>
      <c r="D63" s="1069">
        <v>0.25</v>
      </c>
      <c r="E63" s="222">
        <f>'数据-汇总表'!E13</f>
        <v>14500</v>
      </c>
      <c r="F63" s="1010">
        <f t="shared" si="14"/>
        <v>2646</v>
      </c>
      <c r="G63" s="1016" t="s">
        <v>2596</v>
      </c>
      <c r="H63" s="1011" t="str">
        <f>IF(G63="商业",项目基本情况!B37,IF(G63="办公",项目基本情况!C37,IF(G63="住宅",项目基本情况!D37,项目基本情况!E37)))</f>
        <v>七级</v>
      </c>
      <c r="I63" s="1015">
        <f>SUMIF(修正!A45:A56,H63,修正!H45:H56)</f>
        <v>0.2</v>
      </c>
      <c r="J63" s="1019"/>
      <c r="K63" s="2944"/>
      <c r="L63" s="3001"/>
      <c r="M63" s="3001"/>
      <c r="N63" s="3001"/>
      <c r="O63" s="3001"/>
      <c r="P63" s="3001"/>
      <c r="Q63" s="3001"/>
      <c r="R63" s="3001"/>
      <c r="S63" s="3001"/>
      <c r="T63" s="3001"/>
      <c r="U63" s="3001"/>
      <c r="V63" s="3001"/>
      <c r="W63" s="3001"/>
      <c r="X63" s="3001"/>
      <c r="Y63" s="3001"/>
      <c r="Z63" s="3001"/>
      <c r="AA63" s="3001"/>
      <c r="AB63" s="3001"/>
      <c r="AC63" s="3001"/>
    </row>
    <row r="64" spans="1:29" s="647" customFormat="1">
      <c r="A64" s="648" t="s">
        <v>2597</v>
      </c>
      <c r="B64" s="223">
        <f t="shared" si="16"/>
        <v>1825</v>
      </c>
      <c r="C64" s="175">
        <f t="shared" si="15"/>
        <v>0.2</v>
      </c>
      <c r="D64" s="1069">
        <v>0.25</v>
      </c>
      <c r="E64" s="222">
        <f>'数据-汇总表'!E14</f>
        <v>0</v>
      </c>
      <c r="F64" s="1010">
        <f t="shared" si="14"/>
        <v>0</v>
      </c>
      <c r="G64" s="2166" t="s">
        <v>2587</v>
      </c>
      <c r="H64" s="1011" t="str">
        <f>项目基本情况!B37</f>
        <v>七级</v>
      </c>
      <c r="I64" s="1015">
        <f>SUMIF(修正!A45:A56,H64,修正!H45:H56)</f>
        <v>0.2</v>
      </c>
      <c r="J64" s="1019"/>
      <c r="K64" s="2947"/>
      <c r="L64" s="3001"/>
      <c r="M64" s="3001"/>
      <c r="N64" s="3001"/>
      <c r="O64" s="3001"/>
      <c r="P64" s="3001"/>
      <c r="Q64" s="3001"/>
      <c r="R64" s="3001"/>
      <c r="S64" s="3001"/>
      <c r="T64" s="3001"/>
      <c r="U64" s="3001"/>
      <c r="V64" s="3001"/>
      <c r="W64" s="3001"/>
      <c r="X64" s="3001"/>
      <c r="Y64" s="3001"/>
      <c r="Z64" s="3001"/>
      <c r="AA64" s="3001"/>
      <c r="AB64" s="3001"/>
      <c r="AC64" s="3001"/>
    </row>
    <row r="65" spans="1:29" s="647" customFormat="1" ht="15" thickBot="1">
      <c r="A65" s="648" t="s">
        <v>2598</v>
      </c>
      <c r="B65" s="223">
        <f t="shared" si="16"/>
        <v>1825</v>
      </c>
      <c r="C65" s="175">
        <f t="shared" si="15"/>
        <v>0.2</v>
      </c>
      <c r="D65" s="1069">
        <v>0.25</v>
      </c>
      <c r="E65" s="222">
        <f>'数据-汇总表'!E15</f>
        <v>0</v>
      </c>
      <c r="F65" s="1010">
        <f t="shared" si="14"/>
        <v>0</v>
      </c>
      <c r="G65" s="2167" t="s">
        <v>2592</v>
      </c>
      <c r="H65" s="1021" t="str">
        <f>项目基本情况!C37</f>
        <v>七级</v>
      </c>
      <c r="I65" s="1017">
        <f>SUMIF(修正!A45:A56,H65,修正!H45:H56)</f>
        <v>0.2</v>
      </c>
      <c r="J65" s="1020"/>
      <c r="K65" s="2944"/>
      <c r="L65" s="3001"/>
      <c r="M65" s="3001"/>
      <c r="N65" s="3001"/>
      <c r="O65" s="3001"/>
      <c r="P65" s="3001"/>
      <c r="Q65" s="3001"/>
      <c r="R65" s="3001"/>
      <c r="S65" s="3001"/>
      <c r="T65" s="3001"/>
      <c r="U65" s="3001"/>
      <c r="V65" s="3001"/>
      <c r="W65" s="3001"/>
      <c r="X65" s="3001"/>
      <c r="Y65" s="3001"/>
      <c r="Z65" s="3001"/>
      <c r="AA65" s="3001"/>
      <c r="AB65" s="3001"/>
      <c r="AC65" s="3001"/>
    </row>
    <row r="66" spans="1:29" s="647" customFormat="1" ht="13.5" thickBot="1">
      <c r="A66" s="650" t="s">
        <v>2599</v>
      </c>
      <c r="B66" s="651" t="s">
        <v>28</v>
      </c>
      <c r="C66" s="651" t="s">
        <v>29</v>
      </c>
      <c r="D66" s="651" t="s">
        <v>997</v>
      </c>
      <c r="E66" s="651">
        <f>IF(B46="楼面地价",SUM(E56:E65),'数据-汇总表'!D3)</f>
        <v>100002.04000000001</v>
      </c>
      <c r="F66" s="652">
        <f>IF(B46="楼面地价",SUM(F56:F65),ROUND(C48*E66/10000,0))</f>
        <v>220572</v>
      </c>
      <c r="G66" s="725"/>
      <c r="H66" s="725"/>
      <c r="I66" s="725"/>
      <c r="J66" s="725"/>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8"/>
      <c r="B67" s="700"/>
      <c r="C67" s="701"/>
      <c r="D67" s="698"/>
      <c r="E67" s="698"/>
      <c r="F67" s="698"/>
      <c r="G67" s="698"/>
      <c r="H67" s="698"/>
      <c r="I67" s="698"/>
      <c r="J67" s="1051"/>
      <c r="K67" s="1012"/>
      <c r="L67" s="1013"/>
      <c r="M67" s="1051"/>
      <c r="N67" s="1051"/>
      <c r="O67" s="1051"/>
      <c r="P67" s="2944"/>
      <c r="Q67" s="2944"/>
      <c r="R67" s="2944"/>
      <c r="S67" s="2944"/>
      <c r="T67" s="2944"/>
      <c r="U67" s="2944"/>
      <c r="V67" s="2944"/>
      <c r="W67" s="2944"/>
      <c r="X67" s="2944"/>
      <c r="Y67" s="2944"/>
      <c r="Z67" s="2944"/>
      <c r="AA67" s="2944"/>
      <c r="AB67" s="2944"/>
      <c r="AC67" s="2944"/>
    </row>
    <row r="68" spans="1:29">
      <c r="A68" s="698"/>
      <c r="B68" s="700"/>
      <c r="C68" s="700" t="str">
        <f>YEAR(C7)&amp;"-"&amp;MONTH(C7)&amp;"-1"</f>
        <v>2020-12-1</v>
      </c>
      <c r="D68" s="700">
        <f>EDATE(C68,-3)</f>
        <v>44075</v>
      </c>
      <c r="E68" s="700">
        <f>EDATE(D68,-3)</f>
        <v>43983</v>
      </c>
      <c r="F68" s="700">
        <f t="shared" ref="F68:O68" si="17">EDATE(E68,-3)</f>
        <v>43891</v>
      </c>
      <c r="G68" s="700">
        <f t="shared" si="17"/>
        <v>43800</v>
      </c>
      <c r="H68" s="700">
        <f t="shared" si="17"/>
        <v>43709</v>
      </c>
      <c r="I68" s="700">
        <f t="shared" si="17"/>
        <v>43617</v>
      </c>
      <c r="J68" s="700">
        <f t="shared" si="17"/>
        <v>43525</v>
      </c>
      <c r="K68" s="700">
        <f t="shared" si="17"/>
        <v>43435</v>
      </c>
      <c r="L68" s="700">
        <f t="shared" si="17"/>
        <v>43344</v>
      </c>
      <c r="M68" s="700">
        <f t="shared" si="17"/>
        <v>43252</v>
      </c>
      <c r="N68" s="700">
        <f t="shared" si="17"/>
        <v>43160</v>
      </c>
      <c r="O68" s="700">
        <f t="shared" si="17"/>
        <v>43070</v>
      </c>
      <c r="P68" s="2944"/>
      <c r="Q68" s="2944"/>
      <c r="R68" s="2944"/>
      <c r="S68" s="2944"/>
      <c r="T68" s="2944"/>
      <c r="U68" s="2944"/>
      <c r="V68" s="2944"/>
      <c r="W68" s="2944"/>
      <c r="X68" s="2944"/>
      <c r="Y68" s="2944"/>
      <c r="Z68" s="2944"/>
      <c r="AA68" s="2944"/>
      <c r="AB68" s="2944"/>
      <c r="AC68" s="2944"/>
    </row>
    <row r="69" spans="1:29" ht="21.75" thickBot="1">
      <c r="A69" s="702" t="s">
        <v>2492</v>
      </c>
      <c r="B69" s="698"/>
      <c r="C69" s="703"/>
      <c r="D69" s="703"/>
      <c r="E69" s="703"/>
      <c r="F69" s="704"/>
      <c r="G69" s="704"/>
      <c r="H69" s="703"/>
      <c r="I69" s="703"/>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4" customFormat="1" ht="15">
      <c r="A70" s="2168" t="s">
        <v>2600</v>
      </c>
      <c r="B70" s="1262"/>
      <c r="C70" s="1336" t="str">
        <f>YEAR(C68)&amp;"-"&amp;ROUNDUP(MONTH(C68)/3,0)</f>
        <v>2020-4</v>
      </c>
      <c r="D70" s="1336" t="str">
        <f>YEAR(D68)&amp;"-"&amp;ROUNDUP(MONTH(D68)/3,0)</f>
        <v>2020-3</v>
      </c>
      <c r="E70" s="1336" t="str">
        <f t="shared" ref="E70:O70" si="18">YEAR(E68)&amp;"-"&amp;ROUNDUP(MONTH(E68)/3,0)</f>
        <v>2020-2</v>
      </c>
      <c r="F70" s="1336" t="str">
        <f t="shared" si="18"/>
        <v>2020-1</v>
      </c>
      <c r="G70" s="1336" t="str">
        <f t="shared" si="18"/>
        <v>2019-4</v>
      </c>
      <c r="H70" s="1336" t="str">
        <f t="shared" si="18"/>
        <v>2019-3</v>
      </c>
      <c r="I70" s="1336" t="str">
        <f t="shared" si="18"/>
        <v>2019-2</v>
      </c>
      <c r="J70" s="1336" t="str">
        <f t="shared" si="18"/>
        <v>2019-1</v>
      </c>
      <c r="K70" s="1336" t="str">
        <f t="shared" si="18"/>
        <v>2018-4</v>
      </c>
      <c r="L70" s="1336" t="str">
        <f t="shared" si="18"/>
        <v>2018-3</v>
      </c>
      <c r="M70" s="1336" t="str">
        <f t="shared" si="18"/>
        <v>2018-2</v>
      </c>
      <c r="N70" s="1336" t="str">
        <f t="shared" si="18"/>
        <v>2018-1</v>
      </c>
      <c r="O70" s="1336" t="str">
        <f t="shared" si="18"/>
        <v>2017-4</v>
      </c>
      <c r="P70" s="2995"/>
      <c r="Q70" s="2960"/>
      <c r="R70" s="2960"/>
      <c r="S70" s="2960"/>
      <c r="T70" s="2960"/>
      <c r="U70" s="2960"/>
      <c r="V70" s="2960"/>
      <c r="W70" s="2960"/>
      <c r="X70" s="2960"/>
      <c r="Y70" s="2960"/>
      <c r="Z70" s="2960"/>
      <c r="AA70" s="2960"/>
      <c r="AB70" s="2960"/>
      <c r="AC70" s="2960"/>
    </row>
    <row r="71" spans="1:29" s="112" customFormat="1" ht="30" customHeight="1">
      <c r="A71" s="2169" t="s">
        <v>2601</v>
      </c>
      <c r="B71" s="293" t="str">
        <f>"北京市平均增长率"&amp;TEXT(SUMIF(基准地价修正!N21:N25,A71,基准地价修正!P21:P25),"0.00%")</f>
        <v>北京市平均增长率1.92%</v>
      </c>
      <c r="C71" s="559">
        <v>100</v>
      </c>
      <c r="D71" s="551">
        <f>C71-$C$72</f>
        <v>99.5</v>
      </c>
      <c r="E71" s="551">
        <f t="shared" ref="E71:O71" si="19">D71-$C$72</f>
        <v>99</v>
      </c>
      <c r="F71" s="551">
        <f t="shared" si="19"/>
        <v>98.5</v>
      </c>
      <c r="G71" s="551">
        <f t="shared" si="19"/>
        <v>98</v>
      </c>
      <c r="H71" s="551">
        <f t="shared" si="19"/>
        <v>97.5</v>
      </c>
      <c r="I71" s="551">
        <f t="shared" si="19"/>
        <v>97</v>
      </c>
      <c r="J71" s="551">
        <f t="shared" si="19"/>
        <v>96.5</v>
      </c>
      <c r="K71" s="551">
        <f t="shared" si="19"/>
        <v>96</v>
      </c>
      <c r="L71" s="551">
        <f t="shared" si="19"/>
        <v>95.5</v>
      </c>
      <c r="M71" s="551">
        <f t="shared" si="19"/>
        <v>95</v>
      </c>
      <c r="N71" s="551">
        <f t="shared" si="19"/>
        <v>94.5</v>
      </c>
      <c r="O71" s="551">
        <f t="shared" si="19"/>
        <v>94</v>
      </c>
      <c r="P71" s="2958"/>
      <c r="Q71" s="2878"/>
      <c r="R71" s="2878"/>
      <c r="S71" s="2878"/>
      <c r="T71" s="2878"/>
      <c r="U71" s="2878"/>
      <c r="V71" s="2878"/>
      <c r="W71" s="2878"/>
      <c r="X71" s="2878"/>
      <c r="Y71" s="2878"/>
      <c r="Z71" s="2878"/>
      <c r="AA71" s="2878"/>
      <c r="AB71" s="2878"/>
      <c r="AC71" s="2878"/>
    </row>
    <row r="72" spans="1:29" s="112" customFormat="1" ht="15.75" thickBot="1">
      <c r="A72" s="471" t="s">
        <v>2403</v>
      </c>
      <c r="B72" s="472"/>
      <c r="C72" s="473">
        <v>0.5</v>
      </c>
      <c r="D72" s="474"/>
      <c r="E72" s="474"/>
      <c r="F72" s="474"/>
      <c r="G72" s="474"/>
      <c r="H72" s="474"/>
      <c r="I72" s="474"/>
      <c r="J72" s="474"/>
      <c r="K72" s="474"/>
      <c r="L72" s="474"/>
      <c r="M72" s="475"/>
      <c r="N72" s="474"/>
      <c r="O72" s="1067"/>
      <c r="P72" s="2958"/>
      <c r="Q72" s="2958"/>
      <c r="R72" s="2878"/>
      <c r="S72" s="2878"/>
      <c r="T72" s="2878"/>
      <c r="U72" s="2878"/>
      <c r="V72" s="2878"/>
      <c r="W72" s="2878"/>
      <c r="X72" s="2878"/>
      <c r="Y72" s="2878"/>
      <c r="Z72" s="2878"/>
      <c r="AA72" s="2878"/>
      <c r="AB72" s="2878"/>
      <c r="AC72" s="2878"/>
    </row>
    <row r="73" spans="1:29" s="112" customFormat="1" ht="15">
      <c r="A73" s="477" t="s">
        <v>2368</v>
      </c>
      <c r="B73" s="466"/>
      <c r="C73" s="478" t="s">
        <v>2470</v>
      </c>
      <c r="D73" s="479"/>
      <c r="E73" s="479"/>
      <c r="F73" s="479"/>
      <c r="G73" s="479"/>
      <c r="H73" s="479"/>
      <c r="I73" s="479"/>
      <c r="J73" s="479"/>
      <c r="K73" s="479"/>
      <c r="L73" s="480"/>
      <c r="M73" s="481"/>
      <c r="N73" s="2971"/>
      <c r="O73" s="2971"/>
      <c r="P73" s="2996"/>
      <c r="Q73" s="2958"/>
      <c r="R73" s="2878"/>
      <c r="S73" s="2878"/>
      <c r="T73" s="2878"/>
      <c r="U73" s="2878"/>
      <c r="V73" s="2878"/>
      <c r="W73" s="2878"/>
      <c r="X73" s="2878"/>
      <c r="Y73" s="2878"/>
      <c r="Z73" s="2878"/>
      <c r="AA73" s="2878"/>
      <c r="AB73" s="2878"/>
      <c r="AC73" s="2878"/>
    </row>
    <row r="74" spans="1:29" s="112" customFormat="1" ht="15.75" thickBot="1">
      <c r="A74" s="477"/>
      <c r="B74" s="466"/>
      <c r="C74" s="594">
        <v>100</v>
      </c>
      <c r="D74" s="468"/>
      <c r="E74" s="468"/>
      <c r="F74" s="468"/>
      <c r="G74" s="468"/>
      <c r="H74" s="468"/>
      <c r="I74" s="468"/>
      <c r="J74" s="468"/>
      <c r="K74" s="468"/>
      <c r="L74" s="468"/>
      <c r="M74" s="470"/>
      <c r="N74" s="2971"/>
      <c r="O74" s="2971"/>
      <c r="P74" s="2958"/>
      <c r="Q74" s="2958"/>
      <c r="R74" s="2878"/>
      <c r="S74" s="2878"/>
      <c r="T74" s="2878"/>
      <c r="U74" s="2878"/>
      <c r="V74" s="2878"/>
      <c r="W74" s="2878"/>
      <c r="X74" s="2878"/>
      <c r="Y74" s="2878"/>
      <c r="Z74" s="2878"/>
      <c r="AA74" s="2878"/>
      <c r="AB74" s="2878"/>
      <c r="AC74" s="2878"/>
    </row>
    <row r="75" spans="1:29" ht="56.25">
      <c r="A75" s="483" t="s">
        <v>2406</v>
      </c>
      <c r="B75" s="484" t="s">
        <v>2372</v>
      </c>
      <c r="C75" s="486" t="s">
        <v>3157</v>
      </c>
      <c r="D75" s="486" t="s">
        <v>3158</v>
      </c>
      <c r="E75" s="486" t="s">
        <v>3159</v>
      </c>
      <c r="F75" s="486"/>
      <c r="G75" s="486"/>
      <c r="H75" s="486"/>
      <c r="I75" s="486"/>
      <c r="J75" s="486"/>
      <c r="K75" s="487"/>
      <c r="L75" s="488"/>
      <c r="M75" s="489"/>
      <c r="N75" s="2972"/>
      <c r="O75" s="2972"/>
      <c r="P75" s="2997"/>
      <c r="Q75" s="2958"/>
      <c r="R75" s="2944"/>
      <c r="S75" s="2944"/>
      <c r="T75" s="2944"/>
      <c r="U75" s="2944"/>
      <c r="V75" s="2944"/>
      <c r="W75" s="2944"/>
      <c r="X75" s="2944"/>
      <c r="Y75" s="2944"/>
      <c r="Z75" s="2944"/>
      <c r="AA75" s="2944"/>
      <c r="AB75" s="2944"/>
      <c r="AC75" s="2944"/>
    </row>
    <row r="76" spans="1:29" ht="15.75" thickBot="1">
      <c r="A76" s="490"/>
      <c r="B76" s="491"/>
      <c r="C76" s="492">
        <v>100</v>
      </c>
      <c r="D76" s="492">
        <v>98</v>
      </c>
      <c r="E76" s="492">
        <v>95</v>
      </c>
      <c r="F76" s="492"/>
      <c r="G76" s="492"/>
      <c r="H76" s="492"/>
      <c r="I76" s="492"/>
      <c r="J76" s="492"/>
      <c r="K76" s="492"/>
      <c r="L76" s="492"/>
      <c r="M76" s="493"/>
      <c r="N76" s="2973"/>
      <c r="O76" s="2973"/>
      <c r="P76" s="2997"/>
      <c r="Q76" s="2958"/>
      <c r="R76" s="2944"/>
      <c r="S76" s="2944"/>
      <c r="T76" s="2944"/>
      <c r="U76" s="2944"/>
      <c r="V76" s="2944"/>
      <c r="W76" s="2944"/>
      <c r="X76" s="2944"/>
      <c r="Y76" s="2944"/>
      <c r="Z76" s="2944"/>
      <c r="AA76" s="2944"/>
      <c r="AB76" s="2944"/>
      <c r="AC76" s="2944"/>
    </row>
    <row r="77" spans="1:29" ht="27.75" thickTop="1">
      <c r="A77" s="490"/>
      <c r="B77" s="494" t="s">
        <v>2375</v>
      </c>
      <c r="C77" s="495"/>
      <c r="D77" s="495"/>
      <c r="E77" s="495"/>
      <c r="F77" s="495"/>
      <c r="G77" s="495"/>
      <c r="H77" s="495"/>
      <c r="I77" s="495"/>
      <c r="J77" s="495"/>
      <c r="K77" s="496"/>
      <c r="L77" s="497"/>
      <c r="M77" s="498"/>
      <c r="N77" s="2972"/>
      <c r="O77" s="2972"/>
      <c r="P77" s="2997"/>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3"/>
      <c r="O78" s="2973"/>
      <c r="P78" s="2997"/>
      <c r="Q78" s="2958"/>
      <c r="R78" s="2944"/>
      <c r="S78" s="2944"/>
      <c r="T78" s="2944"/>
      <c r="U78" s="2944"/>
      <c r="V78" s="2944"/>
      <c r="W78" s="2944"/>
      <c r="X78" s="2944"/>
      <c r="Y78" s="2944"/>
      <c r="Z78" s="2944"/>
      <c r="AA78" s="2944"/>
      <c r="AB78" s="2944"/>
      <c r="AC78" s="2944"/>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0"/>
      <c r="B80" s="504"/>
      <c r="C80" s="505">
        <v>0</v>
      </c>
      <c r="D80" s="505">
        <v>1</v>
      </c>
      <c r="E80" s="505">
        <v>2</v>
      </c>
      <c r="F80" s="505">
        <v>3</v>
      </c>
      <c r="G80" s="505">
        <v>4</v>
      </c>
      <c r="H80" s="505">
        <v>5</v>
      </c>
      <c r="I80" s="505"/>
      <c r="J80" s="505"/>
      <c r="K80" s="506"/>
      <c r="L80" s="507"/>
      <c r="M80" s="508"/>
      <c r="N80" s="2972"/>
      <c r="O80" s="2972"/>
      <c r="P80" s="2997"/>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98.5</v>
      </c>
      <c r="E81" s="500">
        <f t="shared" si="21"/>
        <v>97</v>
      </c>
      <c r="F81" s="500">
        <f t="shared" si="21"/>
        <v>95.5</v>
      </c>
      <c r="G81" s="500">
        <f t="shared" si="21"/>
        <v>94</v>
      </c>
      <c r="H81" s="500">
        <f t="shared" si="21"/>
        <v>92.5</v>
      </c>
      <c r="I81" s="500">
        <f t="shared" si="21"/>
        <v>91</v>
      </c>
      <c r="J81" s="500">
        <f t="shared" si="21"/>
        <v>89.5</v>
      </c>
      <c r="K81" s="500">
        <f t="shared" si="21"/>
        <v>88</v>
      </c>
      <c r="L81" s="500">
        <f t="shared" si="21"/>
        <v>86.5</v>
      </c>
      <c r="M81" s="500">
        <f t="shared" si="21"/>
        <v>85</v>
      </c>
      <c r="N81" s="2973"/>
      <c r="O81" s="2973"/>
      <c r="P81" s="2997"/>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3062" t="s">
        <v>3398</v>
      </c>
      <c r="D82" s="3062" t="s">
        <v>3397</v>
      </c>
      <c r="E82" s="510"/>
      <c r="F82" s="510"/>
      <c r="G82" s="510"/>
      <c r="H82" s="511"/>
      <c r="I82" s="511"/>
      <c r="J82" s="511"/>
      <c r="K82" s="511"/>
      <c r="L82" s="512"/>
      <c r="M82" s="513"/>
      <c r="N82" s="2974"/>
      <c r="O82" s="2974"/>
      <c r="P82" s="2998"/>
      <c r="Q82" s="2965"/>
      <c r="R82" s="2966"/>
      <c r="S82" s="2966"/>
      <c r="T82" s="2966"/>
      <c r="U82" s="2966"/>
      <c r="V82" s="2966"/>
      <c r="W82" s="2966"/>
      <c r="X82" s="2966"/>
      <c r="Y82" s="2966"/>
      <c r="Z82" s="2966"/>
      <c r="AA82" s="2966"/>
      <c r="AB82" s="2966"/>
      <c r="AC82" s="2966"/>
    </row>
    <row r="83" spans="1:29" s="429" customFormat="1" ht="15.75" thickBot="1">
      <c r="A83" s="509"/>
      <c r="B83" s="499"/>
      <c r="C83" s="516">
        <v>100</v>
      </c>
      <c r="D83" s="492">
        <v>110</v>
      </c>
      <c r="E83" s="492"/>
      <c r="F83" s="492"/>
      <c r="G83" s="492"/>
      <c r="H83" s="492"/>
      <c r="I83" s="492"/>
      <c r="J83" s="492"/>
      <c r="K83" s="492"/>
      <c r="L83" s="492"/>
      <c r="M83" s="493"/>
      <c r="N83" s="2973"/>
      <c r="O83" s="2973"/>
      <c r="P83" s="2998"/>
      <c r="Q83" s="2965"/>
      <c r="R83" s="2966"/>
      <c r="S83" s="2966"/>
      <c r="T83" s="2966"/>
      <c r="U83" s="2966"/>
      <c r="V83" s="2966"/>
      <c r="W83" s="2966"/>
      <c r="X83" s="2966"/>
      <c r="Y83" s="2966"/>
      <c r="Z83" s="2966"/>
      <c r="AA83" s="2966"/>
      <c r="AB83" s="2966"/>
      <c r="AC83" s="2966"/>
    </row>
    <row r="84" spans="1:29" s="429" customFormat="1" ht="15.75" thickTop="1">
      <c r="A84" s="509"/>
      <c r="B84" s="494">
        <f>B13</f>
        <v>0</v>
      </c>
      <c r="C84" s="3062" t="s">
        <v>3393</v>
      </c>
      <c r="D84" s="3062" t="s">
        <v>3394</v>
      </c>
      <c r="E84" s="510"/>
      <c r="F84" s="510"/>
      <c r="G84" s="510"/>
      <c r="H84" s="511"/>
      <c r="I84" s="511"/>
      <c r="J84" s="511"/>
      <c r="K84" s="511"/>
      <c r="L84" s="512"/>
      <c r="M84" s="513"/>
      <c r="N84" s="2974"/>
      <c r="O84" s="2974"/>
      <c r="P84" s="2942"/>
      <c r="Q84" s="2968"/>
      <c r="R84" s="2966"/>
      <c r="S84" s="2966"/>
      <c r="T84" s="2966"/>
      <c r="U84" s="2966"/>
      <c r="V84" s="2966"/>
      <c r="W84" s="2966"/>
      <c r="X84" s="2966"/>
      <c r="Y84" s="2966"/>
      <c r="Z84" s="2966"/>
      <c r="AA84" s="2966"/>
      <c r="AB84" s="2966"/>
      <c r="AC84" s="2966"/>
    </row>
    <row r="85" spans="1:29" s="429" customFormat="1" ht="15.75" thickBot="1">
      <c r="A85" s="509"/>
      <c r="B85" s="499"/>
      <c r="C85" s="516">
        <v>100</v>
      </c>
      <c r="D85" s="516">
        <v>112</v>
      </c>
      <c r="E85" s="516"/>
      <c r="F85" s="516"/>
      <c r="G85" s="516"/>
      <c r="H85" s="518"/>
      <c r="I85" s="518"/>
      <c r="J85" s="518"/>
      <c r="K85" s="518"/>
      <c r="L85" s="518"/>
      <c r="M85" s="519"/>
      <c r="N85" s="2974"/>
      <c r="O85" s="2974"/>
      <c r="P85" s="2998"/>
      <c r="Q85" s="2965"/>
      <c r="R85" s="2966"/>
      <c r="S85" s="2966"/>
      <c r="T85" s="2966"/>
      <c r="U85" s="2966"/>
      <c r="V85" s="2966"/>
      <c r="W85" s="2966"/>
      <c r="X85" s="2966"/>
      <c r="Y85" s="2966"/>
      <c r="Z85" s="2966"/>
      <c r="AA85" s="2966"/>
      <c r="AB85" s="2966"/>
      <c r="AC85" s="2966"/>
    </row>
    <row r="86" spans="1:29" s="429" customFormat="1" ht="15.75" thickTop="1">
      <c r="A86" s="509"/>
      <c r="B86" s="502" t="str">
        <f>B14</f>
        <v>自持比例</v>
      </c>
      <c r="C86" s="3074">
        <v>1</v>
      </c>
      <c r="D86" s="3074">
        <v>0</v>
      </c>
      <c r="E86" s="479"/>
      <c r="F86" s="479"/>
      <c r="G86" s="479"/>
      <c r="H86" s="520"/>
      <c r="I86" s="520"/>
      <c r="J86" s="520"/>
      <c r="K86" s="520"/>
      <c r="L86" s="521"/>
      <c r="M86" s="522"/>
      <c r="N86" s="2974"/>
      <c r="O86" s="2974"/>
      <c r="P86" s="3003"/>
      <c r="Q86" s="2965"/>
      <c r="R86" s="2966"/>
      <c r="S86" s="2966"/>
      <c r="T86" s="2966"/>
      <c r="U86" s="2966"/>
      <c r="V86" s="2966"/>
      <c r="W86" s="2966"/>
      <c r="X86" s="2966"/>
      <c r="Y86" s="2966"/>
      <c r="Z86" s="2966"/>
      <c r="AA86" s="2966"/>
      <c r="AB86" s="2966"/>
      <c r="AC86" s="2966"/>
    </row>
    <row r="87" spans="1:29" s="429" customFormat="1" ht="15.75" thickBot="1">
      <c r="A87" s="524"/>
      <c r="B87" s="525"/>
      <c r="C87" s="526">
        <v>100</v>
      </c>
      <c r="D87" s="526">
        <v>120</v>
      </c>
      <c r="E87" s="526"/>
      <c r="F87" s="526"/>
      <c r="G87" s="526"/>
      <c r="H87" s="527"/>
      <c r="I87" s="527"/>
      <c r="J87" s="527"/>
      <c r="K87" s="527"/>
      <c r="L87" s="527"/>
      <c r="M87" s="528"/>
      <c r="N87" s="2974"/>
      <c r="O87" s="2974"/>
      <c r="P87" s="2998"/>
      <c r="Q87" s="2965"/>
      <c r="R87" s="2966"/>
      <c r="S87" s="2966"/>
      <c r="T87" s="2966"/>
      <c r="U87" s="2966"/>
      <c r="V87" s="2966"/>
      <c r="W87" s="2966"/>
      <c r="X87" s="2966"/>
      <c r="Y87" s="2966"/>
      <c r="Z87" s="2966"/>
      <c r="AA87" s="2966"/>
      <c r="AB87" s="2966"/>
      <c r="AC87" s="2966"/>
    </row>
    <row r="88" spans="1:29">
      <c r="A88" s="483" t="s">
        <v>2377</v>
      </c>
      <c r="B88" s="484" t="s">
        <v>2414</v>
      </c>
      <c r="C88" s="529" t="s">
        <v>2415</v>
      </c>
      <c r="D88" s="529" t="s">
        <v>2416</v>
      </c>
      <c r="E88" s="529" t="s">
        <v>2417</v>
      </c>
      <c r="F88" s="529" t="s">
        <v>2418</v>
      </c>
      <c r="G88" s="529" t="s">
        <v>2419</v>
      </c>
      <c r="H88" s="485"/>
      <c r="I88" s="485"/>
      <c r="J88" s="485"/>
      <c r="K88" s="530"/>
      <c r="L88" s="531"/>
      <c r="M88" s="532"/>
      <c r="N88" s="2972"/>
      <c r="O88" s="2972"/>
      <c r="P88" s="2999"/>
      <c r="Q88" s="2958"/>
      <c r="R88" s="2944"/>
      <c r="S88" s="2944"/>
      <c r="T88" s="2944"/>
      <c r="U88" s="2944"/>
      <c r="V88" s="2944"/>
      <c r="W88" s="2944"/>
      <c r="X88" s="2944"/>
      <c r="Y88" s="2944"/>
      <c r="Z88" s="2944"/>
      <c r="AA88" s="2944"/>
      <c r="AB88" s="2944"/>
      <c r="AC88" s="2944"/>
    </row>
    <row r="89" spans="1:29" ht="15.75" thickBot="1">
      <c r="A89" s="490"/>
      <c r="B89" s="499"/>
      <c r="C89" s="500">
        <v>100</v>
      </c>
      <c r="D89" s="500">
        <f>C89-$K15</f>
        <v>90</v>
      </c>
      <c r="E89" s="500">
        <f>D89-$K15</f>
        <v>80</v>
      </c>
      <c r="F89" s="500">
        <f>E89-$K15</f>
        <v>70</v>
      </c>
      <c r="G89" s="500">
        <f>F89-$K15</f>
        <v>60</v>
      </c>
      <c r="H89" s="500"/>
      <c r="I89" s="500"/>
      <c r="J89" s="500"/>
      <c r="K89" s="500"/>
      <c r="L89" s="500"/>
      <c r="M89" s="501"/>
      <c r="N89" s="2973"/>
      <c r="O89" s="2973"/>
      <c r="P89" s="2997"/>
      <c r="Q89" s="2958"/>
      <c r="R89" s="2944"/>
      <c r="S89" s="2944"/>
      <c r="T89" s="2944"/>
      <c r="U89" s="2944"/>
      <c r="V89" s="2944"/>
      <c r="W89" s="2944"/>
      <c r="X89" s="2944"/>
      <c r="Y89" s="2944"/>
      <c r="Z89" s="2944"/>
      <c r="AA89" s="2944"/>
      <c r="AB89" s="2944"/>
      <c r="AC89" s="2944"/>
    </row>
    <row r="90" spans="1:29" ht="15.75" thickTop="1">
      <c r="A90" s="490"/>
      <c r="B90" s="494" t="s">
        <v>2602</v>
      </c>
      <c r="C90" s="534" t="s">
        <v>2415</v>
      </c>
      <c r="D90" s="534" t="s">
        <v>2416</v>
      </c>
      <c r="E90" s="534" t="s">
        <v>2417</v>
      </c>
      <c r="F90" s="534" t="s">
        <v>2418</v>
      </c>
      <c r="G90" s="534" t="s">
        <v>2419</v>
      </c>
      <c r="H90" s="495"/>
      <c r="I90" s="495"/>
      <c r="J90" s="495"/>
      <c r="K90" s="496"/>
      <c r="L90" s="497"/>
      <c r="M90" s="498"/>
      <c r="N90" s="2972"/>
      <c r="O90" s="2972"/>
      <c r="P90" s="2997"/>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3"/>
      <c r="O91" s="2973"/>
      <c r="P91" s="2997"/>
      <c r="Q91" s="2958"/>
      <c r="R91" s="2944"/>
      <c r="S91" s="2944"/>
      <c r="T91" s="2944"/>
      <c r="U91" s="2944"/>
      <c r="V91" s="2944"/>
      <c r="W91" s="2944"/>
      <c r="X91" s="2944"/>
      <c r="Y91" s="2944"/>
      <c r="Z91" s="2944"/>
      <c r="AA91" s="2944"/>
      <c r="AB91" s="2944"/>
      <c r="AC91" s="2944"/>
    </row>
    <row r="92" spans="1:29" ht="15.75" thickTop="1">
      <c r="A92" s="490"/>
      <c r="B92" s="494" t="s">
        <v>2515</v>
      </c>
      <c r="C92" s="534" t="s">
        <v>2415</v>
      </c>
      <c r="D92" s="534" t="s">
        <v>2416</v>
      </c>
      <c r="E92" s="534" t="s">
        <v>2417</v>
      </c>
      <c r="F92" s="534" t="s">
        <v>2418</v>
      </c>
      <c r="G92" s="534" t="s">
        <v>2419</v>
      </c>
      <c r="H92" s="495"/>
      <c r="I92" s="495"/>
      <c r="J92" s="495"/>
      <c r="K92" s="496"/>
      <c r="L92" s="497"/>
      <c r="M92" s="498"/>
      <c r="N92" s="2972"/>
      <c r="O92" s="2972"/>
      <c r="P92" s="2997"/>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3"/>
      <c r="O93" s="2973"/>
      <c r="P93" s="2997"/>
      <c r="Q93" s="2958"/>
      <c r="R93" s="2944"/>
      <c r="S93" s="2944"/>
      <c r="T93" s="2944"/>
      <c r="U93" s="2944"/>
      <c r="V93" s="2944"/>
      <c r="W93" s="2944"/>
      <c r="X93" s="2944"/>
      <c r="Y93" s="2944"/>
      <c r="Z93" s="2944"/>
      <c r="AA93" s="2944"/>
      <c r="AB93" s="2944"/>
      <c r="AC93" s="2944"/>
    </row>
    <row r="94" spans="1:29" ht="15.75" thickTop="1">
      <c r="A94" s="490"/>
      <c r="B94" s="494" t="s">
        <v>2420</v>
      </c>
      <c r="C94" s="534" t="s">
        <v>2415</v>
      </c>
      <c r="D94" s="534" t="s">
        <v>2416</v>
      </c>
      <c r="E94" s="534" t="s">
        <v>2417</v>
      </c>
      <c r="F94" s="534" t="s">
        <v>2418</v>
      </c>
      <c r="G94" s="534" t="s">
        <v>2419</v>
      </c>
      <c r="H94" s="495"/>
      <c r="I94" s="495"/>
      <c r="J94" s="495"/>
      <c r="K94" s="496"/>
      <c r="L94" s="497"/>
      <c r="M94" s="498"/>
      <c r="N94" s="2972"/>
      <c r="O94" s="2972"/>
      <c r="P94" s="2997"/>
      <c r="Q94" s="2958"/>
      <c r="R94" s="2944"/>
      <c r="S94" s="2944"/>
      <c r="T94" s="2944"/>
      <c r="U94" s="2944"/>
      <c r="V94" s="2944"/>
      <c r="W94" s="2944"/>
      <c r="X94" s="2944"/>
      <c r="Y94" s="2944"/>
      <c r="Z94" s="2944"/>
      <c r="AA94" s="2944"/>
      <c r="AB94" s="2944"/>
      <c r="AC94" s="2944"/>
    </row>
    <row r="95" spans="1:29" ht="15.75" thickBot="1">
      <c r="A95" s="490"/>
      <c r="B95" s="499"/>
      <c r="C95" s="500">
        <v>100</v>
      </c>
      <c r="D95" s="500">
        <f>C95-$K21</f>
        <v>98</v>
      </c>
      <c r="E95" s="500">
        <f>D95-$K21</f>
        <v>96</v>
      </c>
      <c r="F95" s="500">
        <f>E95-$K21</f>
        <v>94</v>
      </c>
      <c r="G95" s="500">
        <f>F95-$K21</f>
        <v>92</v>
      </c>
      <c r="H95" s="500"/>
      <c r="I95" s="500"/>
      <c r="J95" s="500"/>
      <c r="K95" s="500"/>
      <c r="L95" s="500"/>
      <c r="M95" s="501"/>
      <c r="N95" s="2973"/>
      <c r="O95" s="2973"/>
      <c r="P95" s="2997"/>
      <c r="Q95" s="2958"/>
      <c r="R95" s="2944"/>
      <c r="S95" s="2944"/>
      <c r="T95" s="2944"/>
      <c r="U95" s="2944"/>
      <c r="V95" s="2944"/>
      <c r="W95" s="2944"/>
      <c r="X95" s="2944"/>
      <c r="Y95" s="2944"/>
      <c r="Z95" s="2944"/>
      <c r="AA95" s="2944"/>
      <c r="AB95" s="2944"/>
      <c r="AC95" s="2944"/>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1"/>
      <c r="O96" s="2971"/>
      <c r="P96" s="2997"/>
      <c r="Q96" s="2958"/>
      <c r="R96" s="2878"/>
      <c r="S96" s="2878"/>
      <c r="T96" s="2878"/>
      <c r="U96" s="2878"/>
      <c r="V96" s="2878"/>
      <c r="W96" s="2878"/>
      <c r="X96" s="2878"/>
      <c r="Y96" s="2878"/>
      <c r="Z96" s="2878"/>
      <c r="AA96" s="2878"/>
      <c r="AB96" s="2878"/>
      <c r="AC96" s="2878"/>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73"/>
      <c r="O97" s="2973"/>
      <c r="P97" s="2997"/>
      <c r="Q97" s="2958"/>
      <c r="R97" s="2878"/>
      <c r="S97" s="2878"/>
      <c r="T97" s="2878"/>
      <c r="U97" s="2878"/>
      <c r="V97" s="2878"/>
      <c r="W97" s="2878"/>
      <c r="X97" s="2878"/>
      <c r="Y97" s="2878"/>
      <c r="Z97" s="2878"/>
      <c r="AA97" s="2878"/>
      <c r="AB97" s="2878"/>
      <c r="AC97" s="2878"/>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1"/>
      <c r="O98" s="2971"/>
      <c r="P98" s="2997"/>
      <c r="Q98" s="2958"/>
      <c r="R98" s="2878"/>
      <c r="S98" s="2878"/>
      <c r="T98" s="2878"/>
      <c r="U98" s="2878"/>
      <c r="V98" s="2878"/>
      <c r="W98" s="2878"/>
      <c r="X98" s="2878"/>
      <c r="Y98" s="2878"/>
      <c r="Z98" s="2878"/>
      <c r="AA98" s="2878"/>
      <c r="AB98" s="2878"/>
      <c r="AC98" s="2878"/>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3"/>
      <c r="O99" s="2973"/>
      <c r="P99" s="2997"/>
      <c r="Q99" s="2958"/>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4"/>
      <c r="O100" s="2974"/>
      <c r="P100" s="2998"/>
      <c r="Q100" s="2965"/>
      <c r="R100" s="2966"/>
      <c r="S100" s="2966"/>
      <c r="T100" s="2966"/>
      <c r="U100" s="2966"/>
      <c r="V100" s="2966"/>
      <c r="W100" s="2966"/>
      <c r="X100" s="2966"/>
      <c r="Y100" s="2966"/>
      <c r="Z100" s="2966"/>
      <c r="AA100" s="2966"/>
      <c r="AB100" s="2966"/>
      <c r="AC100" s="2966"/>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74"/>
      <c r="O101" s="2974"/>
      <c r="P101" s="2998"/>
      <c r="Q101" s="2965"/>
      <c r="R101" s="2966"/>
      <c r="S101" s="2966"/>
      <c r="T101" s="2966"/>
      <c r="U101" s="2966"/>
      <c r="V101" s="2966"/>
      <c r="W101" s="2966"/>
      <c r="X101" s="2966"/>
      <c r="Y101" s="2966"/>
      <c r="Z101" s="2966"/>
      <c r="AA101" s="2966"/>
      <c r="AB101" s="2966"/>
      <c r="AC101" s="2966"/>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87"/>
      <c r="N102" s="2974"/>
      <c r="O102" s="2974"/>
      <c r="P102" s="2998"/>
      <c r="Q102" s="2965"/>
      <c r="R102" s="2966"/>
      <c r="S102" s="2966"/>
      <c r="T102" s="2966"/>
      <c r="U102" s="2966"/>
      <c r="V102" s="2966"/>
      <c r="W102" s="2966"/>
      <c r="X102" s="2966"/>
      <c r="Y102" s="2966"/>
      <c r="Z102" s="2966"/>
      <c r="AA102" s="2966"/>
      <c r="AB102" s="2966"/>
      <c r="AC102" s="2966"/>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2"/>
      <c r="O104" s="2972"/>
      <c r="P104" s="2997"/>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99</v>
      </c>
      <c r="E105" s="500">
        <f t="shared" ref="E105:M105" si="22">D105-$K31</f>
        <v>98</v>
      </c>
      <c r="F105" s="500">
        <f t="shared" si="22"/>
        <v>97</v>
      </c>
      <c r="G105" s="500">
        <f t="shared" si="22"/>
        <v>96</v>
      </c>
      <c r="H105" s="500">
        <f t="shared" si="22"/>
        <v>95</v>
      </c>
      <c r="I105" s="500">
        <f t="shared" si="22"/>
        <v>94</v>
      </c>
      <c r="J105" s="500">
        <f t="shared" si="22"/>
        <v>93</v>
      </c>
      <c r="K105" s="500">
        <f t="shared" si="22"/>
        <v>92</v>
      </c>
      <c r="L105" s="500">
        <f t="shared" si="22"/>
        <v>91</v>
      </c>
      <c r="M105" s="500">
        <f t="shared" si="22"/>
        <v>90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0"/>
      <c r="B106" s="494" t="s">
        <v>2509</v>
      </c>
      <c r="C106" s="3062" t="s">
        <v>3160</v>
      </c>
      <c r="D106" s="3062" t="s">
        <v>3161</v>
      </c>
      <c r="E106" s="3062" t="s">
        <v>3162</v>
      </c>
      <c r="F106" s="3062" t="s">
        <v>3163</v>
      </c>
      <c r="G106" s="3062" t="s">
        <v>3164</v>
      </c>
      <c r="H106" s="539"/>
      <c r="I106" s="539"/>
      <c r="J106" s="539"/>
      <c r="K106" s="540"/>
      <c r="L106" s="541"/>
      <c r="M106" s="542"/>
      <c r="N106" s="2972"/>
      <c r="O106" s="2972"/>
      <c r="P106" s="2997"/>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99</v>
      </c>
      <c r="E107" s="500">
        <f t="shared" ref="E107:M107" si="23">D107-$K32</f>
        <v>98</v>
      </c>
      <c r="F107" s="500">
        <f t="shared" si="23"/>
        <v>97</v>
      </c>
      <c r="G107" s="500">
        <f t="shared" si="23"/>
        <v>96</v>
      </c>
      <c r="H107" s="500">
        <f t="shared" si="23"/>
        <v>95</v>
      </c>
      <c r="I107" s="500">
        <f t="shared" si="23"/>
        <v>94</v>
      </c>
      <c r="J107" s="500">
        <f t="shared" si="23"/>
        <v>93</v>
      </c>
      <c r="K107" s="500">
        <f t="shared" si="23"/>
        <v>92</v>
      </c>
      <c r="L107" s="500">
        <f t="shared" si="23"/>
        <v>91</v>
      </c>
      <c r="M107" s="500">
        <f t="shared" si="23"/>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0"/>
      <c r="B108" s="494" t="s">
        <v>2568</v>
      </c>
      <c r="C108" s="539"/>
      <c r="D108" s="539"/>
      <c r="E108" s="539"/>
      <c r="F108" s="539"/>
      <c r="G108" s="539"/>
      <c r="H108" s="539"/>
      <c r="I108" s="539"/>
      <c r="J108" s="539"/>
      <c r="K108" s="540"/>
      <c r="L108" s="541"/>
      <c r="M108" s="542"/>
      <c r="N108" s="2972"/>
      <c r="O108" s="2972"/>
      <c r="P108" s="2997"/>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2"/>
      <c r="O110" s="2972"/>
      <c r="P110" s="2997"/>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3"/>
      <c r="O111" s="2973"/>
      <c r="P111" s="2997"/>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2"/>
      <c r="O112" s="2972"/>
      <c r="P112" s="2997"/>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3"/>
      <c r="O113" s="2973"/>
      <c r="P113" s="2997"/>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4"/>
      <c r="O114" s="2974"/>
      <c r="P114" s="2998"/>
      <c r="Q114" s="2965"/>
      <c r="R114" s="2966"/>
      <c r="S114" s="2966"/>
      <c r="T114" s="2966"/>
      <c r="U114" s="2966"/>
      <c r="V114" s="2966"/>
      <c r="W114" s="2966"/>
      <c r="X114" s="2966"/>
      <c r="Y114" s="2966"/>
      <c r="Z114" s="2966"/>
      <c r="AA114" s="2966"/>
      <c r="AB114" s="2966"/>
      <c r="AC114" s="2966"/>
    </row>
    <row r="115" spans="1:29" s="429" customFormat="1" ht="15.75" thickBot="1">
      <c r="A115" s="509"/>
      <c r="B115" s="502"/>
      <c r="C115" s="468"/>
      <c r="D115" s="632"/>
      <c r="E115" s="632"/>
      <c r="F115" s="632"/>
      <c r="G115" s="632"/>
      <c r="H115" s="632"/>
      <c r="I115" s="632"/>
      <c r="J115" s="632"/>
      <c r="K115" s="632"/>
      <c r="L115" s="632"/>
      <c r="M115" s="654"/>
      <c r="N115" s="2973"/>
      <c r="O115" s="2973"/>
      <c r="P115" s="2998"/>
      <c r="Q115" s="2965"/>
      <c r="R115" s="2966"/>
      <c r="S115" s="2966"/>
      <c r="T115" s="2966"/>
      <c r="U115" s="2966"/>
      <c r="V115" s="2966"/>
      <c r="W115" s="2966"/>
      <c r="X115" s="2966"/>
      <c r="Y115" s="2966"/>
      <c r="Z115" s="2966"/>
      <c r="AA115" s="2966"/>
      <c r="AB115" s="2966"/>
      <c r="AC115" s="2966"/>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90"/>
      <c r="B117" s="502"/>
      <c r="C117" s="551">
        <v>0</v>
      </c>
      <c r="D117" s="551">
        <v>20000</v>
      </c>
      <c r="E117" s="551">
        <v>40000</v>
      </c>
      <c r="F117" s="551">
        <v>60000</v>
      </c>
      <c r="G117" s="551">
        <v>80000</v>
      </c>
      <c r="H117" s="551">
        <v>100000</v>
      </c>
      <c r="I117" s="551">
        <v>120000</v>
      </c>
      <c r="J117" s="552"/>
      <c r="K117" s="552"/>
      <c r="L117" s="553"/>
      <c r="M117" s="554"/>
      <c r="N117" s="2972"/>
      <c r="O117" s="2972"/>
      <c r="P117" s="2997"/>
      <c r="Q117" s="2958"/>
      <c r="R117" s="2944"/>
      <c r="S117" s="2944"/>
      <c r="T117" s="2944"/>
      <c r="U117" s="2944"/>
      <c r="V117" s="2944"/>
      <c r="W117" s="2944"/>
      <c r="X117" s="2944"/>
      <c r="Y117" s="2944"/>
      <c r="Z117" s="2944"/>
      <c r="AA117" s="2944"/>
      <c r="AB117" s="2944"/>
      <c r="AC117" s="2944"/>
    </row>
    <row r="118" spans="1:29" ht="15.75" thickBot="1">
      <c r="A118" s="490"/>
      <c r="B118" s="499"/>
      <c r="C118" s="526">
        <v>100</v>
      </c>
      <c r="D118" s="547">
        <v>101</v>
      </c>
      <c r="E118" s="547">
        <v>102</v>
      </c>
      <c r="F118" s="547">
        <v>103</v>
      </c>
      <c r="G118" s="547">
        <v>104</v>
      </c>
      <c r="H118" s="547">
        <v>105</v>
      </c>
      <c r="I118" s="547">
        <v>106</v>
      </c>
      <c r="J118" s="547"/>
      <c r="K118" s="547"/>
      <c r="L118" s="547"/>
      <c r="M118" s="548"/>
      <c r="N118" s="2973"/>
      <c r="O118" s="2973"/>
      <c r="P118" s="2997"/>
      <c r="Q118" s="2958"/>
      <c r="R118" s="2944"/>
      <c r="S118" s="2944"/>
      <c r="T118" s="2944"/>
      <c r="U118" s="2944"/>
      <c r="V118" s="2944"/>
      <c r="W118" s="2944"/>
      <c r="X118" s="2944"/>
      <c r="Y118" s="2944"/>
      <c r="Z118" s="2944"/>
      <c r="AA118" s="2944"/>
      <c r="AB118" s="2944"/>
      <c r="AC118" s="2944"/>
    </row>
    <row r="119" spans="1:29" ht="39.75" thickTop="1" thickBot="1">
      <c r="A119" s="555"/>
      <c r="B119" s="494" t="s">
        <v>2610</v>
      </c>
      <c r="C119" s="3063" t="s">
        <v>3165</v>
      </c>
      <c r="D119" s="3064" t="s">
        <v>3166</v>
      </c>
      <c r="E119" s="3064" t="s">
        <v>3167</v>
      </c>
      <c r="F119" s="3064" t="s">
        <v>3168</v>
      </c>
      <c r="G119" s="3064" t="s">
        <v>3169</v>
      </c>
      <c r="H119" s="539"/>
      <c r="I119" s="539"/>
      <c r="J119" s="539"/>
      <c r="K119" s="540"/>
      <c r="L119" s="541"/>
      <c r="M119" s="542"/>
      <c r="N119" s="2972"/>
      <c r="O119" s="2972"/>
      <c r="P119" s="2997"/>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73"/>
      <c r="O120" s="2973"/>
      <c r="P120" s="2997"/>
      <c r="Q120" s="2958"/>
      <c r="R120" s="2944"/>
      <c r="S120" s="2944"/>
      <c r="T120" s="2944"/>
      <c r="U120" s="2944"/>
      <c r="V120" s="2944"/>
      <c r="W120" s="2944"/>
      <c r="X120" s="2944"/>
      <c r="Y120" s="2944"/>
      <c r="Z120" s="2944"/>
      <c r="AA120" s="2944"/>
      <c r="AB120" s="2944"/>
      <c r="AC120" s="2944"/>
    </row>
    <row r="121" spans="1:29" ht="68.25" thickTop="1">
      <c r="A121" s="555"/>
      <c r="B121" s="494" t="s">
        <v>2611</v>
      </c>
      <c r="C121" s="3062" t="s">
        <v>3170</v>
      </c>
      <c r="D121" s="3062" t="s">
        <v>3171</v>
      </c>
      <c r="E121" s="3062" t="s">
        <v>3172</v>
      </c>
      <c r="F121" s="3065" t="s">
        <v>3173</v>
      </c>
      <c r="G121" s="3065" t="s">
        <v>3174</v>
      </c>
      <c r="H121" s="539"/>
      <c r="I121" s="539"/>
      <c r="J121" s="539"/>
      <c r="K121" s="540"/>
      <c r="L121" s="541"/>
      <c r="M121" s="542"/>
      <c r="N121" s="2972"/>
      <c r="O121" s="2972"/>
      <c r="P121" s="2997"/>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73"/>
      <c r="O122" s="2973"/>
      <c r="P122" s="2997"/>
      <c r="Q122" s="2958"/>
      <c r="R122" s="2944"/>
      <c r="S122" s="2944"/>
      <c r="T122" s="2944"/>
      <c r="U122" s="2944"/>
      <c r="V122" s="2944"/>
      <c r="W122" s="2944"/>
      <c r="X122" s="2944"/>
      <c r="Y122" s="2944"/>
      <c r="Z122" s="2944"/>
      <c r="AA122" s="2944"/>
      <c r="AB122" s="2944"/>
      <c r="AC122" s="2944"/>
    </row>
    <row r="123" spans="1:29" s="429" customFormat="1" ht="15" thickTop="1">
      <c r="A123" s="549"/>
      <c r="B123" s="494" t="s">
        <v>2612</v>
      </c>
      <c r="C123" s="510" t="s">
        <v>3175</v>
      </c>
      <c r="D123" s="510" t="s">
        <v>3176</v>
      </c>
      <c r="E123" s="510" t="s">
        <v>3177</v>
      </c>
      <c r="F123" s="510" t="s">
        <v>3178</v>
      </c>
      <c r="G123" s="510" t="s">
        <v>3179</v>
      </c>
      <c r="H123" s="539"/>
      <c r="I123" s="539"/>
      <c r="J123" s="539"/>
      <c r="K123" s="540"/>
      <c r="L123" s="541"/>
      <c r="M123" s="542"/>
      <c r="N123" s="2974"/>
      <c r="O123" s="2974"/>
      <c r="P123" s="2998"/>
      <c r="Q123" s="2965"/>
      <c r="R123" s="2966"/>
      <c r="S123" s="2966"/>
      <c r="T123" s="2966"/>
      <c r="U123" s="2966"/>
      <c r="V123" s="2966"/>
      <c r="W123" s="2966"/>
      <c r="X123" s="2966"/>
      <c r="Y123" s="2966"/>
      <c r="Z123" s="2966"/>
      <c r="AA123" s="2966"/>
      <c r="AB123" s="2966"/>
      <c r="AC123" s="2966"/>
    </row>
    <row r="124" spans="1:29" s="429" customFormat="1" ht="15.75" thickBot="1">
      <c r="A124" s="509"/>
      <c r="B124" s="499"/>
      <c r="C124" s="500">
        <v>100</v>
      </c>
      <c r="D124" s="500">
        <f>C124-$K41</f>
        <v>99.5</v>
      </c>
      <c r="E124" s="500">
        <f t="shared" ref="E124:M124" si="28">D124-$K41</f>
        <v>99</v>
      </c>
      <c r="F124" s="500">
        <f t="shared" si="28"/>
        <v>98.5</v>
      </c>
      <c r="G124" s="500">
        <f t="shared" si="28"/>
        <v>98</v>
      </c>
      <c r="H124" s="500">
        <f t="shared" si="28"/>
        <v>97.5</v>
      </c>
      <c r="I124" s="500">
        <f t="shared" si="28"/>
        <v>97</v>
      </c>
      <c r="J124" s="500">
        <f t="shared" si="28"/>
        <v>96.5</v>
      </c>
      <c r="K124" s="500">
        <f t="shared" si="28"/>
        <v>96</v>
      </c>
      <c r="L124" s="500">
        <f t="shared" si="28"/>
        <v>95.5</v>
      </c>
      <c r="M124" s="501">
        <f t="shared" si="28"/>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5"/>
      <c r="B125" s="494" t="s">
        <v>2613</v>
      </c>
      <c r="C125" s="510" t="s">
        <v>3180</v>
      </c>
      <c r="D125" s="510" t="s">
        <v>3181</v>
      </c>
      <c r="E125" s="539" t="s">
        <v>3182</v>
      </c>
      <c r="F125" s="539" t="s">
        <v>3183</v>
      </c>
      <c r="G125" s="539" t="s">
        <v>3184</v>
      </c>
      <c r="H125" s="539"/>
      <c r="I125" s="539"/>
      <c r="J125" s="539"/>
      <c r="K125" s="540"/>
      <c r="L125" s="541"/>
      <c r="M125" s="542"/>
      <c r="N125" s="2972"/>
      <c r="O125" s="2972"/>
      <c r="P125" s="2997"/>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2"/>
      <c r="O127" s="2972"/>
      <c r="P127" s="2997"/>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3"/>
      <c r="O128" s="2973"/>
      <c r="P128" s="2997"/>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2"/>
      <c r="O129" s="2972"/>
      <c r="P129" s="2997"/>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3"/>
      <c r="O130" s="2973"/>
      <c r="P130" s="2997"/>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4"/>
      <c r="O131" s="2974"/>
      <c r="P131" s="2998"/>
      <c r="Q131" s="2965"/>
      <c r="R131" s="2966"/>
      <c r="S131" s="2966"/>
      <c r="T131" s="2966"/>
      <c r="U131" s="2966"/>
      <c r="V131" s="2966"/>
      <c r="W131" s="2966"/>
      <c r="X131" s="2966"/>
      <c r="Y131" s="2966"/>
      <c r="Z131" s="2966"/>
      <c r="AA131" s="2966"/>
      <c r="AB131" s="2966"/>
      <c r="AC131" s="2966"/>
    </row>
    <row r="132" spans="1:29" s="429" customFormat="1" ht="15.75" thickBot="1">
      <c r="A132" s="524"/>
      <c r="B132" s="655"/>
      <c r="C132" s="526"/>
      <c r="D132" s="526"/>
      <c r="E132" s="526"/>
      <c r="F132" s="526"/>
      <c r="G132" s="547"/>
      <c r="H132" s="547"/>
      <c r="I132" s="547"/>
      <c r="J132" s="547"/>
      <c r="K132" s="547"/>
      <c r="L132" s="547"/>
      <c r="M132" s="548"/>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2"/>
      <c r="D2" s="1032"/>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4" t="s">
        <v>2464</v>
      </c>
      <c r="D4" s="3345"/>
      <c r="E4" s="3346" t="s">
        <v>2465</v>
      </c>
      <c r="F4" s="3347"/>
      <c r="G4" s="3344" t="s">
        <v>2466</v>
      </c>
      <c r="H4" s="3345"/>
      <c r="I4" s="3344" t="s">
        <v>2467</v>
      </c>
      <c r="J4" s="3345"/>
      <c r="K4" s="566" t="s">
        <v>2468</v>
      </c>
      <c r="L4" s="2934"/>
      <c r="M4" s="2935"/>
      <c r="N4" s="2935"/>
      <c r="O4" s="2935"/>
      <c r="P4" s="3348" t="s">
        <v>2469</v>
      </c>
      <c r="Q4" s="3349"/>
      <c r="R4" s="3331" t="s">
        <v>2465</v>
      </c>
      <c r="S4" s="3332"/>
      <c r="T4" s="3331" t="s">
        <v>2466</v>
      </c>
      <c r="U4" s="3332"/>
      <c r="V4" s="3356" t="s">
        <v>2467</v>
      </c>
      <c r="W4" s="3356"/>
      <c r="X4" s="1533"/>
      <c r="Y4" s="3331" t="s">
        <v>2469</v>
      </c>
      <c r="Z4" s="3332"/>
      <c r="AA4" s="3326" t="s">
        <v>2465</v>
      </c>
      <c r="AB4" s="3327" t="s">
        <v>2466</v>
      </c>
      <c r="AC4" s="3326" t="s">
        <v>2467</v>
      </c>
    </row>
    <row r="5" spans="1:29" ht="15">
      <c r="A5" s="363"/>
      <c r="B5" s="364"/>
      <c r="C5" s="3337" t="s">
        <v>2360</v>
      </c>
      <c r="D5" s="3338"/>
      <c r="E5" s="3335" t="s">
        <v>2361</v>
      </c>
      <c r="F5" s="3336"/>
      <c r="G5" s="3337" t="s">
        <v>2362</v>
      </c>
      <c r="H5" s="3338"/>
      <c r="I5" s="3337" t="s">
        <v>2363</v>
      </c>
      <c r="J5" s="3338"/>
      <c r="K5" s="566"/>
      <c r="L5" s="2934"/>
      <c r="M5" s="2935"/>
      <c r="N5" s="2935"/>
      <c r="O5" s="2935"/>
      <c r="P5" s="3350"/>
      <c r="Q5" s="3351"/>
      <c r="R5" s="3333"/>
      <c r="S5" s="3334"/>
      <c r="T5" s="3333"/>
      <c r="U5" s="3334"/>
      <c r="V5" s="3356"/>
      <c r="W5" s="3356"/>
      <c r="X5" s="1533"/>
      <c r="Y5" s="3333"/>
      <c r="Z5" s="3334"/>
      <c r="AA5" s="3327"/>
      <c r="AB5" s="3327"/>
      <c r="AC5" s="3327"/>
    </row>
    <row r="6" spans="1:29" ht="15.75" thickBot="1">
      <c r="A6" s="365"/>
      <c r="B6" s="366"/>
      <c r="C6" s="3395" t="s">
        <v>2615</v>
      </c>
      <c r="D6" s="3396"/>
      <c r="E6" s="3397" t="s">
        <v>2615</v>
      </c>
      <c r="F6" s="3398"/>
      <c r="G6" s="3395" t="s">
        <v>2615</v>
      </c>
      <c r="H6" s="3396"/>
      <c r="I6" s="3395" t="s">
        <v>2615</v>
      </c>
      <c r="J6" s="3396"/>
      <c r="K6" s="566" t="s">
        <v>2365</v>
      </c>
      <c r="L6" s="2934"/>
      <c r="M6" s="2935"/>
      <c r="N6" s="2935"/>
      <c r="O6" s="2935"/>
      <c r="P6" s="3352"/>
      <c r="Q6" s="3353"/>
      <c r="R6" s="3333"/>
      <c r="S6" s="3334"/>
      <c r="T6" s="3354"/>
      <c r="U6" s="3355"/>
      <c r="V6" s="3356"/>
      <c r="W6" s="3356"/>
      <c r="X6" s="1533"/>
      <c r="Y6" s="3354"/>
      <c r="Z6" s="3355"/>
      <c r="AA6" s="3328"/>
      <c r="AB6" s="3328"/>
      <c r="AC6" s="3328"/>
    </row>
    <row r="7" spans="1:29" s="112" customFormat="1" ht="15.75" thickBot="1">
      <c r="A7" s="367" t="s">
        <v>2366</v>
      </c>
      <c r="B7" s="368"/>
      <c r="C7" s="369">
        <f>'数据-取费表'!B2</f>
        <v>44187</v>
      </c>
      <c r="D7" s="370">
        <v>100</v>
      </c>
      <c r="E7" s="371"/>
      <c r="F7" s="372">
        <f>SUMIF(65:65,YEAR(E7)&amp;"-"&amp;INT((MONTH(E7)+2)/3),66:66)</f>
        <v>0</v>
      </c>
      <c r="G7" s="2153"/>
      <c r="H7" s="370">
        <f>SUMIF(65:65,YEAR(G7)&amp;"-"&amp;INT((MONTH(G7)+2)/3),66:66)</f>
        <v>0</v>
      </c>
      <c r="I7" s="2153"/>
      <c r="J7" s="370">
        <f>SUMIF(65:65,YEAR(I7)&amp;"-"&amp;INT((MONTH(I7)+2)/3),66:66)</f>
        <v>0</v>
      </c>
      <c r="K7" s="567"/>
      <c r="L7" s="2936"/>
      <c r="M7" s="2937"/>
      <c r="N7" s="2937"/>
      <c r="O7" s="2937"/>
      <c r="P7" s="3329" t="s">
        <v>2367</v>
      </c>
      <c r="Q7" s="3357"/>
      <c r="R7" s="709" t="s">
        <v>17</v>
      </c>
      <c r="S7" s="710">
        <f t="shared" ref="S7:S15" si="0">F7</f>
        <v>0</v>
      </c>
      <c r="T7" s="709" t="s">
        <v>17</v>
      </c>
      <c r="U7" s="710">
        <f t="shared" ref="U7:U15" si="1">H7</f>
        <v>0</v>
      </c>
      <c r="V7" s="709" t="s">
        <v>17</v>
      </c>
      <c r="W7" s="710">
        <f t="shared" ref="W7:W15" si="2">J7</f>
        <v>0</v>
      </c>
      <c r="X7" s="711"/>
      <c r="Y7" s="3329" t="s">
        <v>2367</v>
      </c>
      <c r="Z7" s="3330"/>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29" t="s">
        <v>2370</v>
      </c>
      <c r="Q8" s="3330"/>
      <c r="R8" s="709" t="s">
        <v>17</v>
      </c>
      <c r="S8" s="710">
        <f t="shared" si="0"/>
        <v>0</v>
      </c>
      <c r="T8" s="709" t="s">
        <v>17</v>
      </c>
      <c r="U8" s="710">
        <f t="shared" si="1"/>
        <v>0</v>
      </c>
      <c r="V8" s="709" t="s">
        <v>17</v>
      </c>
      <c r="W8" s="710">
        <f t="shared" si="2"/>
        <v>0</v>
      </c>
      <c r="X8" s="711"/>
      <c r="Y8" s="3329" t="s">
        <v>2370</v>
      </c>
      <c r="Z8" s="3330"/>
      <c r="AA8" s="712" t="e">
        <f t="shared" ref="AA8:AA40" si="3">D8/F8</f>
        <v>#DIV/0!</v>
      </c>
      <c r="AB8" s="712" t="e">
        <f t="shared" ref="AB8:AB40" si="4">D8/H8</f>
        <v>#DIV/0!</v>
      </c>
      <c r="AC8" s="712" t="e">
        <f t="shared" ref="AC8:AC40" si="5">D8/J8</f>
        <v>#DIV/0!</v>
      </c>
    </row>
    <row r="9" spans="1:29" s="112" customFormat="1">
      <c r="A9" s="374" t="s">
        <v>2371</v>
      </c>
      <c r="B9" s="67" t="s">
        <v>2372</v>
      </c>
      <c r="C9" s="2156"/>
      <c r="D9" s="130">
        <v>100</v>
      </c>
      <c r="E9" s="2156"/>
      <c r="F9" s="130">
        <f>SUMIF(70:70,E9,71:71)-SUMIF(70:70,C9,71:71)+100</f>
        <v>100</v>
      </c>
      <c r="G9" s="2156"/>
      <c r="H9" s="130">
        <f>SUMIF(70:70,G9,71:71)-SUMIF(70:70,C9,71:71)+100</f>
        <v>100</v>
      </c>
      <c r="I9" s="2156"/>
      <c r="J9" s="130">
        <f>SUMIF(70:70,I9,71:71)-SUMIF(70:70,C9,71:71)+100</f>
        <v>100</v>
      </c>
      <c r="K9" s="567"/>
      <c r="L9" s="2936"/>
      <c r="M9" s="2937"/>
      <c r="N9" s="2937"/>
      <c r="O9" s="2991"/>
      <c r="P9" s="3361" t="s">
        <v>2373</v>
      </c>
      <c r="Q9" s="1521" t="str">
        <f t="shared" ref="Q9:Q15" si="6">B9</f>
        <v>用途</v>
      </c>
      <c r="R9" s="709" t="s">
        <v>17</v>
      </c>
      <c r="S9" s="710">
        <f t="shared" si="0"/>
        <v>100</v>
      </c>
      <c r="T9" s="709" t="s">
        <v>17</v>
      </c>
      <c r="U9" s="710">
        <f t="shared" si="1"/>
        <v>100</v>
      </c>
      <c r="V9" s="709" t="s">
        <v>17</v>
      </c>
      <c r="W9" s="710">
        <f t="shared" si="2"/>
        <v>100</v>
      </c>
      <c r="X9" s="711"/>
      <c r="Y9" s="3271"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102</v>
      </c>
      <c r="G10" s="390"/>
      <c r="H10" s="131">
        <f>ROUND(100/'数据-取费表'!G16,0)</f>
        <v>102</v>
      </c>
      <c r="I10" s="390"/>
      <c r="J10" s="131">
        <f>ROUND(100/'数据-取费表'!G16,0)</f>
        <v>102</v>
      </c>
      <c r="K10" s="627"/>
      <c r="L10" s="2938"/>
      <c r="M10" s="2939"/>
      <c r="N10" s="2939"/>
      <c r="O10" s="2992"/>
      <c r="P10" s="3361"/>
      <c r="Q10" s="1521" t="str">
        <f t="shared" si="6"/>
        <v>土地使用年限（年）</v>
      </c>
      <c r="R10" s="709" t="s">
        <v>17</v>
      </c>
      <c r="S10" s="710">
        <f t="shared" si="0"/>
        <v>102</v>
      </c>
      <c r="T10" s="709" t="s">
        <v>17</v>
      </c>
      <c r="U10" s="710">
        <f t="shared" si="1"/>
        <v>102</v>
      </c>
      <c r="V10" s="709" t="s">
        <v>17</v>
      </c>
      <c r="W10" s="710">
        <f t="shared" si="2"/>
        <v>102</v>
      </c>
      <c r="X10" s="711"/>
      <c r="Y10" s="3271"/>
      <c r="Z10" s="55" t="str">
        <f t="shared" si="7"/>
        <v>土地使用年限（年）</v>
      </c>
      <c r="AA10" s="712">
        <f t="shared" si="3"/>
        <v>0.98039215686274506</v>
      </c>
      <c r="AB10" s="712">
        <f t="shared" si="4"/>
        <v>0.98039215686274506</v>
      </c>
      <c r="AC10" s="712">
        <f t="shared" si="5"/>
        <v>0.98039215686274506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3"/>
      <c r="P11" s="3361"/>
      <c r="Q11" s="1521" t="str">
        <f t="shared" si="6"/>
        <v>容积率</v>
      </c>
      <c r="R11" s="709" t="s">
        <v>17</v>
      </c>
      <c r="S11" s="710" t="e">
        <f t="shared" si="0"/>
        <v>#N/A</v>
      </c>
      <c r="T11" s="709" t="s">
        <v>17</v>
      </c>
      <c r="U11" s="710" t="e">
        <f t="shared" si="1"/>
        <v>#N/A</v>
      </c>
      <c r="V11" s="709" t="s">
        <v>17</v>
      </c>
      <c r="W11" s="710" t="e">
        <f t="shared" si="2"/>
        <v>#N/A</v>
      </c>
      <c r="X11" s="711"/>
      <c r="Y11" s="3271"/>
      <c r="Z11" s="55"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1"/>
      <c r="P12" s="3361"/>
      <c r="Q12" s="1521">
        <f t="shared" si="6"/>
        <v>111</v>
      </c>
      <c r="R12" s="709" t="s">
        <v>17</v>
      </c>
      <c r="S12" s="710">
        <f t="shared" si="0"/>
        <v>100</v>
      </c>
      <c r="T12" s="709" t="s">
        <v>17</v>
      </c>
      <c r="U12" s="710">
        <f t="shared" si="1"/>
        <v>100</v>
      </c>
      <c r="V12" s="709" t="s">
        <v>17</v>
      </c>
      <c r="W12" s="710">
        <f t="shared" si="2"/>
        <v>100</v>
      </c>
      <c r="X12" s="711"/>
      <c r="Y12" s="3271"/>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3"/>
      <c r="P13" s="3361"/>
      <c r="Q13" s="1521">
        <f t="shared" si="6"/>
        <v>111</v>
      </c>
      <c r="R13" s="709" t="s">
        <v>17</v>
      </c>
      <c r="S13" s="710">
        <f t="shared" si="0"/>
        <v>100</v>
      </c>
      <c r="T13" s="709" t="s">
        <v>17</v>
      </c>
      <c r="U13" s="710">
        <f t="shared" si="1"/>
        <v>100</v>
      </c>
      <c r="V13" s="709" t="s">
        <v>17</v>
      </c>
      <c r="W13" s="710">
        <f t="shared" si="2"/>
        <v>100</v>
      </c>
      <c r="X13" s="711"/>
      <c r="Y13" s="3271"/>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3"/>
      <c r="P14" s="3361"/>
      <c r="Q14" s="1521">
        <f t="shared" si="6"/>
        <v>111</v>
      </c>
      <c r="R14" s="709" t="s">
        <v>17</v>
      </c>
      <c r="S14" s="710">
        <f t="shared" si="0"/>
        <v>100</v>
      </c>
      <c r="T14" s="709" t="s">
        <v>17</v>
      </c>
      <c r="U14" s="710">
        <f t="shared" si="1"/>
        <v>100</v>
      </c>
      <c r="V14" s="709" t="s">
        <v>17</v>
      </c>
      <c r="W14" s="710">
        <f t="shared" si="2"/>
        <v>100</v>
      </c>
      <c r="X14" s="711"/>
      <c r="Y14" s="3271"/>
      <c r="Z14" s="55">
        <f t="shared" si="7"/>
        <v>111</v>
      </c>
      <c r="AA14" s="712">
        <f t="shared" si="3"/>
        <v>1</v>
      </c>
      <c r="AB14" s="712">
        <f t="shared" si="4"/>
        <v>1</v>
      </c>
      <c r="AC14" s="712">
        <f t="shared" si="5"/>
        <v>1</v>
      </c>
    </row>
    <row r="15" spans="1:29" ht="57">
      <c r="A15" s="398" t="s">
        <v>2377</v>
      </c>
      <c r="B15" s="584" t="s">
        <v>2616</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3"/>
      <c r="P15" s="3363" t="s">
        <v>2378</v>
      </c>
      <c r="Q15" s="1530" t="str">
        <f t="shared" si="6"/>
        <v>产业集聚程度</v>
      </c>
      <c r="R15" s="713" t="s">
        <v>17</v>
      </c>
      <c r="S15" s="714">
        <f t="shared" si="0"/>
        <v>100</v>
      </c>
      <c r="T15" s="713" t="s">
        <v>17</v>
      </c>
      <c r="U15" s="714">
        <f t="shared" si="1"/>
        <v>100</v>
      </c>
      <c r="V15" s="713" t="s">
        <v>17</v>
      </c>
      <c r="W15" s="714">
        <f t="shared" si="2"/>
        <v>100</v>
      </c>
      <c r="X15" s="1533"/>
      <c r="Y15" s="3363" t="s">
        <v>2378</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1"/>
      <c r="M16" s="2935"/>
      <c r="N16" s="2935"/>
      <c r="O16" s="2993"/>
      <c r="P16" s="3364"/>
      <c r="Q16" s="1530"/>
      <c r="R16" s="713"/>
      <c r="S16" s="714"/>
      <c r="T16" s="713"/>
      <c r="U16" s="714"/>
      <c r="V16" s="713"/>
      <c r="W16" s="714"/>
      <c r="X16" s="1533"/>
      <c r="Y16" s="3364"/>
      <c r="Z16" s="1534"/>
      <c r="AA16" s="1531">
        <v>1</v>
      </c>
      <c r="AB16" s="1531">
        <v>1</v>
      </c>
      <c r="AC16" s="1531">
        <v>1</v>
      </c>
    </row>
    <row r="17" spans="1:29" ht="85.5">
      <c r="A17" s="386"/>
      <c r="B17" s="586" t="s">
        <v>2527</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3"/>
      <c r="P17" s="3364"/>
      <c r="Q17" s="1530" t="str">
        <f>B17</f>
        <v>交通便捷度</v>
      </c>
      <c r="R17" s="713" t="s">
        <v>17</v>
      </c>
      <c r="S17" s="714">
        <f>F17</f>
        <v>100</v>
      </c>
      <c r="T17" s="713" t="s">
        <v>17</v>
      </c>
      <c r="U17" s="714">
        <f>H17</f>
        <v>100</v>
      </c>
      <c r="V17" s="713" t="s">
        <v>17</v>
      </c>
      <c r="W17" s="714">
        <f>J17</f>
        <v>100</v>
      </c>
      <c r="X17" s="1533"/>
      <c r="Y17" s="3364"/>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1"/>
      <c r="M18" s="2935"/>
      <c r="N18" s="2935"/>
      <c r="O18" s="2993"/>
      <c r="P18" s="3364"/>
      <c r="Q18" s="1530"/>
      <c r="R18" s="713"/>
      <c r="S18" s="714"/>
      <c r="T18" s="713"/>
      <c r="U18" s="714"/>
      <c r="V18" s="713"/>
      <c r="W18" s="714"/>
      <c r="X18" s="1533"/>
      <c r="Y18" s="3364"/>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3"/>
      <c r="P19" s="3364"/>
      <c r="Q19" s="1530" t="str">
        <f t="shared" ref="Q19:Q33" si="8">B19</f>
        <v>区域土地利用方向</v>
      </c>
      <c r="R19" s="713" t="s">
        <v>17</v>
      </c>
      <c r="S19" s="714">
        <f>F19</f>
        <v>100</v>
      </c>
      <c r="T19" s="713" t="s">
        <v>17</v>
      </c>
      <c r="U19" s="714">
        <f>H19</f>
        <v>100</v>
      </c>
      <c r="V19" s="713" t="s">
        <v>17</v>
      </c>
      <c r="W19" s="714">
        <f>J19</f>
        <v>100</v>
      </c>
      <c r="X19" s="1533"/>
      <c r="Y19" s="3364"/>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4"/>
      <c r="L20" s="2941"/>
      <c r="M20" s="2935"/>
      <c r="N20" s="2935"/>
      <c r="O20" s="2993"/>
      <c r="P20" s="3364"/>
      <c r="Q20" s="1530"/>
      <c r="R20" s="713"/>
      <c r="S20" s="714"/>
      <c r="T20" s="713"/>
      <c r="U20" s="714"/>
      <c r="V20" s="713"/>
      <c r="W20" s="714"/>
      <c r="X20" s="1533"/>
      <c r="Y20" s="3364"/>
      <c r="Z20" s="1534"/>
      <c r="AA20" s="1531"/>
      <c r="AB20" s="1531"/>
      <c r="AC20" s="1531"/>
    </row>
    <row r="21" spans="1:29" ht="71.25">
      <c r="A21" s="363"/>
      <c r="B21" s="586" t="s">
        <v>2617</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3"/>
      <c r="P21" s="3364"/>
      <c r="Q21" s="1530" t="str">
        <f t="shared" si="8"/>
        <v>环境状况</v>
      </c>
      <c r="R21" s="713" t="s">
        <v>17</v>
      </c>
      <c r="S21" s="714">
        <f>F21</f>
        <v>100</v>
      </c>
      <c r="T21" s="713" t="s">
        <v>17</v>
      </c>
      <c r="U21" s="714">
        <f>H21</f>
        <v>100</v>
      </c>
      <c r="V21" s="713" t="s">
        <v>17</v>
      </c>
      <c r="W21" s="714">
        <f>J21</f>
        <v>100</v>
      </c>
      <c r="X21" s="1533"/>
      <c r="Y21" s="3364"/>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1"/>
      <c r="M22" s="2935"/>
      <c r="N22" s="2935"/>
      <c r="O22" s="2993"/>
      <c r="P22" s="3364"/>
      <c r="Q22" s="1530"/>
      <c r="R22" s="713"/>
      <c r="S22" s="714"/>
      <c r="T22" s="713"/>
      <c r="U22" s="714"/>
      <c r="V22" s="713"/>
      <c r="W22" s="714"/>
      <c r="X22" s="1533"/>
      <c r="Y22" s="3364"/>
      <c r="Z22" s="1534"/>
      <c r="AA22" s="1531">
        <v>1</v>
      </c>
      <c r="AB22" s="1531">
        <v>1</v>
      </c>
      <c r="AC22" s="1531">
        <v>1</v>
      </c>
    </row>
    <row r="23" spans="1:29" s="112" customFormat="1" ht="42.75">
      <c r="A23" s="604"/>
      <c r="B23" s="588" t="s">
        <v>2472</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1"/>
      <c r="P23" s="3364"/>
      <c r="Q23" s="1521" t="str">
        <f t="shared" si="8"/>
        <v>公共配套设施</v>
      </c>
      <c r="R23" s="709" t="s">
        <v>17</v>
      </c>
      <c r="S23" s="710">
        <f>F23</f>
        <v>100</v>
      </c>
      <c r="T23" s="709" t="s">
        <v>17</v>
      </c>
      <c r="U23" s="710">
        <f>H23</f>
        <v>100</v>
      </c>
      <c r="V23" s="709" t="s">
        <v>17</v>
      </c>
      <c r="W23" s="710">
        <f>J23</f>
        <v>100</v>
      </c>
      <c r="X23" s="711"/>
      <c r="Y23" s="3364"/>
      <c r="Z23" s="55"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6"/>
      <c r="M24" s="2937"/>
      <c r="N24" s="2937"/>
      <c r="O24" s="2991"/>
      <c r="P24" s="3364"/>
      <c r="Q24" s="1521"/>
      <c r="R24" s="709"/>
      <c r="S24" s="710"/>
      <c r="T24" s="709"/>
      <c r="U24" s="710"/>
      <c r="V24" s="709"/>
      <c r="W24" s="710"/>
      <c r="X24" s="711"/>
      <c r="Y24" s="3364"/>
      <c r="Z24" s="55"/>
      <c r="AA24" s="712">
        <v>1</v>
      </c>
      <c r="AB24" s="712">
        <v>1</v>
      </c>
      <c r="AC24" s="712">
        <v>1</v>
      </c>
    </row>
    <row r="25" spans="1:29" s="112" customFormat="1" ht="28.5">
      <c r="A25" s="604"/>
      <c r="B25" s="588" t="s">
        <v>2473</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1"/>
      <c r="P25" s="3364"/>
      <c r="Q25" s="1521" t="str">
        <f>B25</f>
        <v>基础设施水平</v>
      </c>
      <c r="R25" s="709" t="s">
        <v>17</v>
      </c>
      <c r="S25" s="710">
        <f>F25</f>
        <v>100</v>
      </c>
      <c r="T25" s="709" t="s">
        <v>17</v>
      </c>
      <c r="U25" s="710">
        <f>H25</f>
        <v>100</v>
      </c>
      <c r="V25" s="709" t="s">
        <v>17</v>
      </c>
      <c r="W25" s="710">
        <f>J25</f>
        <v>100</v>
      </c>
      <c r="X25" s="711"/>
      <c r="Y25" s="3364"/>
      <c r="Z25" s="55"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6"/>
      <c r="M26" s="2937"/>
      <c r="N26" s="2937"/>
      <c r="O26" s="2991"/>
      <c r="P26" s="3364"/>
      <c r="Q26" s="1521"/>
      <c r="R26" s="709"/>
      <c r="S26" s="710"/>
      <c r="T26" s="709"/>
      <c r="U26" s="710"/>
      <c r="V26" s="709"/>
      <c r="W26" s="710"/>
      <c r="X26" s="711"/>
      <c r="Y26" s="3364"/>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3"/>
      <c r="P27" s="3364"/>
      <c r="Q27" s="1530" t="str">
        <f t="shared" si="8"/>
        <v>临街状况</v>
      </c>
      <c r="R27" s="713" t="s">
        <v>17</v>
      </c>
      <c r="S27" s="714">
        <f t="shared" ref="S27:S40" si="9">F27</f>
        <v>100</v>
      </c>
      <c r="T27" s="713" t="s">
        <v>17</v>
      </c>
      <c r="U27" s="714">
        <f t="shared" ref="U27:U40" si="10">H27</f>
        <v>100</v>
      </c>
      <c r="V27" s="713" t="s">
        <v>17</v>
      </c>
      <c r="W27" s="714">
        <f t="shared" ref="W27:W40" si="11">J27</f>
        <v>100</v>
      </c>
      <c r="X27" s="1533"/>
      <c r="Y27" s="3364"/>
      <c r="Z27" s="1534" t="str">
        <f t="shared" ref="Z27:Z40" si="12">Q27</f>
        <v>临街状况</v>
      </c>
      <c r="AA27" s="1531">
        <f t="shared" si="3"/>
        <v>1</v>
      </c>
      <c r="AB27" s="1531">
        <f t="shared" si="4"/>
        <v>1</v>
      </c>
      <c r="AC27" s="1531">
        <f t="shared" si="5"/>
        <v>1</v>
      </c>
    </row>
    <row r="28" spans="1:29" ht="27">
      <c r="A28" s="386"/>
      <c r="B28" s="588" t="s">
        <v>2509</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3"/>
      <c r="P28" s="3364"/>
      <c r="Q28" s="1530" t="str">
        <f t="shared" si="8"/>
        <v>毗邻道路的类型与等级</v>
      </c>
      <c r="R28" s="713" t="s">
        <v>17</v>
      </c>
      <c r="S28" s="714">
        <f t="shared" si="9"/>
        <v>100</v>
      </c>
      <c r="T28" s="713" t="s">
        <v>17</v>
      </c>
      <c r="U28" s="714">
        <f t="shared" si="10"/>
        <v>100</v>
      </c>
      <c r="V28" s="713" t="s">
        <v>17</v>
      </c>
      <c r="W28" s="714">
        <f t="shared" si="11"/>
        <v>100</v>
      </c>
      <c r="X28" s="1533"/>
      <c r="Y28" s="3364"/>
      <c r="Z28" s="1534" t="str">
        <f t="shared" si="12"/>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1"/>
      <c r="M29" s="2935"/>
      <c r="N29" s="2935"/>
      <c r="O29" s="2993"/>
      <c r="P29" s="3364"/>
      <c r="Q29" s="1530"/>
      <c r="R29" s="713"/>
      <c r="S29" s="714"/>
      <c r="T29" s="713"/>
      <c r="U29" s="714"/>
      <c r="V29" s="713"/>
      <c r="W29" s="714"/>
      <c r="X29" s="1533"/>
      <c r="Y29" s="3364"/>
      <c r="Z29" s="1534"/>
      <c r="AA29" s="1531">
        <v>1</v>
      </c>
      <c r="AB29" s="1531">
        <v>1</v>
      </c>
      <c r="AC29" s="1531">
        <v>1</v>
      </c>
    </row>
    <row r="30" spans="1:29" ht="15">
      <c r="A30" s="386"/>
      <c r="B30" s="609" t="s">
        <v>2568</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3"/>
      <c r="P30" s="3364"/>
      <c r="Q30" s="1530" t="str">
        <f t="shared" si="8"/>
        <v>土地级别</v>
      </c>
      <c r="R30" s="713" t="s">
        <v>17</v>
      </c>
      <c r="S30" s="714">
        <f t="shared" si="9"/>
        <v>100</v>
      </c>
      <c r="T30" s="713" t="s">
        <v>17</v>
      </c>
      <c r="U30" s="714">
        <f t="shared" si="10"/>
        <v>100</v>
      </c>
      <c r="V30" s="713" t="s">
        <v>17</v>
      </c>
      <c r="W30" s="714">
        <f t="shared" si="11"/>
        <v>100</v>
      </c>
      <c r="X30" s="1533"/>
      <c r="Y30" s="3364"/>
      <c r="Z30" s="1534" t="str">
        <f t="shared" si="12"/>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3"/>
      <c r="P31" s="3364"/>
      <c r="Q31" s="1530">
        <f t="shared" si="8"/>
        <v>111</v>
      </c>
      <c r="R31" s="713" t="s">
        <v>17</v>
      </c>
      <c r="S31" s="714">
        <f t="shared" si="9"/>
        <v>100</v>
      </c>
      <c r="T31" s="713" t="s">
        <v>17</v>
      </c>
      <c r="U31" s="714">
        <f t="shared" si="10"/>
        <v>100</v>
      </c>
      <c r="V31" s="713" t="s">
        <v>17</v>
      </c>
      <c r="W31" s="714">
        <f t="shared" si="11"/>
        <v>100</v>
      </c>
      <c r="X31" s="1533"/>
      <c r="Y31" s="3364"/>
      <c r="Z31" s="1534">
        <f t="shared" si="12"/>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3"/>
      <c r="P32" s="3387" t="s">
        <v>2383</v>
      </c>
      <c r="Q32" s="1530">
        <f t="shared" si="8"/>
        <v>111</v>
      </c>
      <c r="R32" s="713" t="s">
        <v>17</v>
      </c>
      <c r="S32" s="714">
        <f t="shared" si="9"/>
        <v>100</v>
      </c>
      <c r="T32" s="713" t="s">
        <v>17</v>
      </c>
      <c r="U32" s="714">
        <f t="shared" si="10"/>
        <v>100</v>
      </c>
      <c r="V32" s="713" t="s">
        <v>17</v>
      </c>
      <c r="W32" s="714">
        <f t="shared" si="11"/>
        <v>100</v>
      </c>
      <c r="X32" s="1533"/>
      <c r="Y32" s="3368" t="s">
        <v>2383</v>
      </c>
      <c r="Z32" s="1534">
        <f t="shared" si="12"/>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4"/>
      <c r="P33" s="3368"/>
      <c r="Q33" s="1530">
        <f t="shared" si="8"/>
        <v>111</v>
      </c>
      <c r="R33" s="716" t="s">
        <v>17</v>
      </c>
      <c r="S33" s="717">
        <f t="shared" si="9"/>
        <v>100</v>
      </c>
      <c r="T33" s="716" t="s">
        <v>17</v>
      </c>
      <c r="U33" s="717">
        <f t="shared" si="10"/>
        <v>100</v>
      </c>
      <c r="V33" s="716" t="s">
        <v>17</v>
      </c>
      <c r="W33" s="717">
        <f t="shared" si="11"/>
        <v>100</v>
      </c>
      <c r="X33" s="718"/>
      <c r="Y33" s="3368"/>
      <c r="Z33" s="719">
        <f t="shared" si="12"/>
        <v>111</v>
      </c>
      <c r="AA33" s="1531">
        <f t="shared" si="3"/>
        <v>1</v>
      </c>
      <c r="AB33" s="1531">
        <f t="shared" si="4"/>
        <v>1</v>
      </c>
      <c r="AC33" s="1531">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3"/>
      <c r="P34" s="3368"/>
      <c r="Q34" s="1530" t="str">
        <f>B34</f>
        <v>宗地面积</v>
      </c>
      <c r="R34" s="713" t="s">
        <v>17</v>
      </c>
      <c r="S34" s="714" t="e">
        <f t="shared" si="9"/>
        <v>#N/A</v>
      </c>
      <c r="T34" s="713" t="s">
        <v>17</v>
      </c>
      <c r="U34" s="714" t="e">
        <f t="shared" si="10"/>
        <v>#N/A</v>
      </c>
      <c r="V34" s="713" t="s">
        <v>17</v>
      </c>
      <c r="W34" s="714" t="e">
        <f t="shared" si="11"/>
        <v>#N/A</v>
      </c>
      <c r="X34" s="1533"/>
      <c r="Y34" s="3368"/>
      <c r="Z34" s="1534" t="str">
        <f t="shared" si="12"/>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1"/>
      <c r="M35" s="2935"/>
      <c r="N35" s="2935"/>
      <c r="O35" s="2993"/>
      <c r="P35" s="3368"/>
      <c r="Q35" s="1530" t="str">
        <f t="shared" ref="Q35:Q40" si="13">B35</f>
        <v>宗地形状</v>
      </c>
      <c r="R35" s="713" t="s">
        <v>17</v>
      </c>
      <c r="S35" s="714">
        <f t="shared" si="9"/>
        <v>100</v>
      </c>
      <c r="T35" s="713" t="s">
        <v>17</v>
      </c>
      <c r="U35" s="714">
        <f t="shared" si="10"/>
        <v>100</v>
      </c>
      <c r="V35" s="713" t="s">
        <v>17</v>
      </c>
      <c r="W35" s="714">
        <f t="shared" si="11"/>
        <v>100</v>
      </c>
      <c r="X35" s="1533"/>
      <c r="Y35" s="3368"/>
      <c r="Z35" s="1534" t="str">
        <f t="shared" si="12"/>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6"/>
      <c r="M36" s="2937"/>
      <c r="N36" s="2937"/>
      <c r="O36" s="2991"/>
      <c r="P36" s="3368"/>
      <c r="Q36" s="1530" t="str">
        <f t="shared" si="13"/>
        <v>宗地开发程度</v>
      </c>
      <c r="R36" s="709" t="s">
        <v>17</v>
      </c>
      <c r="S36" s="710">
        <f t="shared" si="9"/>
        <v>100</v>
      </c>
      <c r="T36" s="709" t="s">
        <v>17</v>
      </c>
      <c r="U36" s="710">
        <f t="shared" si="10"/>
        <v>100</v>
      </c>
      <c r="V36" s="709" t="s">
        <v>17</v>
      </c>
      <c r="W36" s="710">
        <f t="shared" si="11"/>
        <v>100</v>
      </c>
      <c r="X36" s="711"/>
      <c r="Y36" s="3368"/>
      <c r="Z36" s="55" t="str">
        <f t="shared" si="12"/>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1"/>
      <c r="M37" s="2935"/>
      <c r="N37" s="2935"/>
      <c r="O37" s="2993"/>
      <c r="P37" s="3368" t="s">
        <v>2383</v>
      </c>
      <c r="Q37" s="1530" t="str">
        <f t="shared" si="13"/>
        <v>工程地质条件</v>
      </c>
      <c r="R37" s="713" t="s">
        <v>17</v>
      </c>
      <c r="S37" s="714">
        <f t="shared" si="9"/>
        <v>100</v>
      </c>
      <c r="T37" s="713" t="s">
        <v>17</v>
      </c>
      <c r="U37" s="714">
        <f t="shared" si="10"/>
        <v>100</v>
      </c>
      <c r="V37" s="713" t="s">
        <v>17</v>
      </c>
      <c r="W37" s="714">
        <f t="shared" si="11"/>
        <v>100</v>
      </c>
      <c r="X37" s="1533"/>
      <c r="Y37" s="3368" t="s">
        <v>2383</v>
      </c>
      <c r="Z37" s="1534" t="str">
        <f t="shared" si="12"/>
        <v>工程地质条件</v>
      </c>
      <c r="AA37" s="1531">
        <f t="shared" si="3"/>
        <v>1</v>
      </c>
      <c r="AB37" s="1531">
        <f t="shared" si="4"/>
        <v>1</v>
      </c>
      <c r="AC37" s="1531">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3"/>
      <c r="P38" s="3368"/>
      <c r="Q38" s="1530">
        <f t="shared" si="13"/>
        <v>111</v>
      </c>
      <c r="R38" s="713" t="s">
        <v>17</v>
      </c>
      <c r="S38" s="714">
        <f t="shared" si="9"/>
        <v>100</v>
      </c>
      <c r="T38" s="713" t="s">
        <v>17</v>
      </c>
      <c r="U38" s="714">
        <f t="shared" si="10"/>
        <v>100</v>
      </c>
      <c r="V38" s="713" t="s">
        <v>17</v>
      </c>
      <c r="W38" s="714">
        <f t="shared" si="11"/>
        <v>100</v>
      </c>
      <c r="X38" s="1533"/>
      <c r="Y38" s="3368"/>
      <c r="Z38" s="1534">
        <f t="shared" si="12"/>
        <v>111</v>
      </c>
      <c r="AA38" s="1531">
        <f t="shared" si="3"/>
        <v>1</v>
      </c>
      <c r="AB38" s="1531">
        <f t="shared" si="4"/>
        <v>1</v>
      </c>
      <c r="AC38" s="1531">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3"/>
      <c r="P39" s="3368"/>
      <c r="Q39" s="1530">
        <f t="shared" si="13"/>
        <v>111</v>
      </c>
      <c r="R39" s="713" t="s">
        <v>17</v>
      </c>
      <c r="S39" s="714">
        <f t="shared" si="9"/>
        <v>100</v>
      </c>
      <c r="T39" s="713" t="s">
        <v>17</v>
      </c>
      <c r="U39" s="714">
        <f t="shared" si="10"/>
        <v>100</v>
      </c>
      <c r="V39" s="713" t="s">
        <v>17</v>
      </c>
      <c r="W39" s="714">
        <f t="shared" si="11"/>
        <v>100</v>
      </c>
      <c r="X39" s="1533"/>
      <c r="Y39" s="3368"/>
      <c r="Z39" s="1534">
        <f t="shared" si="12"/>
        <v>111</v>
      </c>
      <c r="AA39" s="1531">
        <f t="shared" si="3"/>
        <v>1</v>
      </c>
      <c r="AB39" s="1531">
        <f t="shared" si="4"/>
        <v>1</v>
      </c>
      <c r="AC39" s="1531">
        <f t="shared" si="5"/>
        <v>1</v>
      </c>
    </row>
    <row r="40" spans="1:31" s="429" customFormat="1" ht="15.75" thickBot="1">
      <c r="A40" s="426"/>
      <c r="B40" s="1289">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4"/>
      <c r="P40" s="3368"/>
      <c r="Q40" s="1530">
        <f t="shared" si="13"/>
        <v>111</v>
      </c>
      <c r="R40" s="716" t="s">
        <v>17</v>
      </c>
      <c r="S40" s="717">
        <f t="shared" si="9"/>
        <v>100</v>
      </c>
      <c r="T40" s="716" t="s">
        <v>17</v>
      </c>
      <c r="U40" s="717">
        <f t="shared" si="10"/>
        <v>100</v>
      </c>
      <c r="V40" s="716" t="s">
        <v>17</v>
      </c>
      <c r="W40" s="717">
        <f t="shared" si="11"/>
        <v>100</v>
      </c>
      <c r="X40" s="718"/>
      <c r="Y40" s="3368"/>
      <c r="Z40" s="719">
        <f t="shared" si="12"/>
        <v>111</v>
      </c>
      <c r="AA40" s="1531">
        <f t="shared" si="3"/>
        <v>1</v>
      </c>
      <c r="AB40" s="1531">
        <f t="shared" si="4"/>
        <v>1</v>
      </c>
      <c r="AC40" s="1531">
        <f t="shared" si="5"/>
        <v>1</v>
      </c>
    </row>
    <row r="41" spans="1:31" ht="15">
      <c r="A41" s="437" t="s">
        <v>2538</v>
      </c>
      <c r="B41" s="2161" t="s">
        <v>2618</v>
      </c>
      <c r="C41" s="637" t="s">
        <v>1</v>
      </c>
      <c r="D41" s="439"/>
      <c r="E41" s="440"/>
      <c r="F41" s="441"/>
      <c r="G41" s="442"/>
      <c r="H41" s="443"/>
      <c r="I41" s="440"/>
      <c r="J41" s="443"/>
      <c r="K41" s="722"/>
      <c r="L41" s="2943"/>
      <c r="M41" s="2935"/>
      <c r="N41" s="2935"/>
      <c r="O41" s="2944"/>
      <c r="P41" s="3361" t="str">
        <f>A41</f>
        <v>成交单价</v>
      </c>
      <c r="Q41" s="3361"/>
      <c r="R41" s="3356">
        <f>E41</f>
        <v>0</v>
      </c>
      <c r="S41" s="3356"/>
      <c r="T41" s="3356">
        <f>G41</f>
        <v>0</v>
      </c>
      <c r="U41" s="3356"/>
      <c r="V41" s="3356">
        <f>I41</f>
        <v>0</v>
      </c>
      <c r="W41" s="3356"/>
      <c r="X41" s="698"/>
      <c r="Y41" s="720"/>
      <c r="Z41" s="698"/>
      <c r="AA41" s="698"/>
      <c r="AB41" s="698"/>
      <c r="AC41" s="698"/>
    </row>
    <row r="42" spans="1:31" ht="15.75" thickBot="1">
      <c r="A42" s="444" t="s">
        <v>2487</v>
      </c>
      <c r="B42" s="638"/>
      <c r="C42" s="447" t="e">
        <f>R43</f>
        <v>#DIV/0!</v>
      </c>
      <c r="D42" s="2531" t="s">
        <v>2878</v>
      </c>
      <c r="E42" s="447" t="e">
        <f>R42</f>
        <v>#DIV/0!</v>
      </c>
      <c r="F42" s="2532"/>
      <c r="G42" s="446" t="e">
        <f>T42</f>
        <v>#DIV/0!</v>
      </c>
      <c r="H42" s="2532"/>
      <c r="I42" s="447" t="e">
        <f>V42</f>
        <v>#DIV/0!</v>
      </c>
      <c r="J42" s="2532"/>
      <c r="K42" s="2534">
        <f>F42+H42+J42</f>
        <v>0</v>
      </c>
      <c r="L42" s="2943"/>
      <c r="M42" s="2935"/>
      <c r="N42" s="2935"/>
      <c r="O42" s="2944"/>
      <c r="P42" s="3361" t="str">
        <f>A42</f>
        <v>比较价值（元/平方米）</v>
      </c>
      <c r="Q42" s="3361"/>
      <c r="R42" s="3391" t="e">
        <f>ROUND(PRODUCT(R41,AA7:AA40),0)</f>
        <v>#DIV/0!</v>
      </c>
      <c r="S42" s="3391"/>
      <c r="T42" s="3391" t="e">
        <f>ROUND(PRODUCT(T41,AB7:AB40),0)</f>
        <v>#DIV/0!</v>
      </c>
      <c r="U42" s="3391"/>
      <c r="V42" s="3391" t="e">
        <f>ROUND(PRODUCT(V41,AC7:AC40),0)</f>
        <v>#DIV/0!</v>
      </c>
      <c r="W42" s="3391"/>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3"/>
      <c r="M43" s="2935"/>
      <c r="N43" s="2935"/>
      <c r="O43" s="2944"/>
      <c r="P43" s="3358" t="str">
        <f>A43</f>
        <v>估价对象XX用房的比较价值（楼面单价，元/平方米）</v>
      </c>
      <c r="Q43" s="3359"/>
      <c r="R43" s="3392" t="e">
        <f>ROUND(IF(D42="简单平均",AVERAGE(R42:W42),R42*F42+T42*H42+V42*J42),0)</f>
        <v>#DIV/0!</v>
      </c>
      <c r="S43" s="3392"/>
      <c r="T43" s="3392"/>
      <c r="U43" s="3392"/>
      <c r="V43" s="3392"/>
      <c r="W43" s="3392"/>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2576</v>
      </c>
      <c r="B50" s="640" t="s">
        <v>2577</v>
      </c>
      <c r="C50" s="2162" t="s">
        <v>2578</v>
      </c>
      <c r="D50" s="2163" t="s">
        <v>2579</v>
      </c>
      <c r="E50" s="641" t="s">
        <v>2580</v>
      </c>
      <c r="F50" s="642" t="s">
        <v>2581</v>
      </c>
      <c r="G50" s="3344" t="s">
        <v>2582</v>
      </c>
      <c r="H50" s="3393"/>
      <c r="I50" s="1534" t="s">
        <v>2619</v>
      </c>
      <c r="J50" s="1534">
        <f>项目基本情况!F35</f>
        <v>0</v>
      </c>
      <c r="K50" s="2165"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2585</v>
      </c>
      <c r="B51" s="644" t="e">
        <f>C43</f>
        <v>#DIV/0!</v>
      </c>
      <c r="C51" s="645">
        <v>1</v>
      </c>
      <c r="D51" s="1068">
        <v>1</v>
      </c>
      <c r="E51" s="645">
        <f>'数据-汇总表'!E8+'数据-汇总表'!E9</f>
        <v>57972.040000000008</v>
      </c>
      <c r="F51" s="646" t="e">
        <f t="shared" ref="F51:F60" si="14">ROUND(B51*E51/10000,0)</f>
        <v>#DIV/0!</v>
      </c>
      <c r="G51" s="3343"/>
      <c r="H51" s="3361"/>
      <c r="I51" s="872">
        <v>1</v>
      </c>
      <c r="J51" s="872">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7" customFormat="1">
      <c r="A52" s="648" t="s">
        <v>2586</v>
      </c>
      <c r="B52" s="223" t="e">
        <f>ROUND($C$43*C52*D52,0)</f>
        <v>#DIV/0!</v>
      </c>
      <c r="C52" s="175">
        <f t="shared" ref="C52:C60" si="15">IF($C$50="北京市系数",I52,J52)</f>
        <v>0.7</v>
      </c>
      <c r="D52" s="1069">
        <v>0.25</v>
      </c>
      <c r="E52" s="649"/>
      <c r="F52" s="646" t="e">
        <f t="shared" si="14"/>
        <v>#DIV/0!</v>
      </c>
      <c r="G52" s="3394" t="s">
        <v>2587</v>
      </c>
      <c r="H52" s="1011" t="str">
        <f>项目基本情况!B37</f>
        <v>七级</v>
      </c>
      <c r="I52" s="872">
        <f>SUMIF(修正!A45:A56,H52,修正!B45:B56)</f>
        <v>0.7</v>
      </c>
      <c r="J52" s="873"/>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7" customFormat="1">
      <c r="A53" s="648" t="s">
        <v>2588</v>
      </c>
      <c r="B53" s="223" t="e">
        <f t="shared" ref="B53:B60" si="16">ROUND($C$43*C53*D53,0)</f>
        <v>#DIV/0!</v>
      </c>
      <c r="C53" s="175">
        <f t="shared" si="15"/>
        <v>0.4</v>
      </c>
      <c r="D53" s="1069">
        <v>0.25</v>
      </c>
      <c r="E53" s="649"/>
      <c r="F53" s="646" t="e">
        <f t="shared" si="14"/>
        <v>#DIV/0!</v>
      </c>
      <c r="G53" s="3394"/>
      <c r="H53" s="1011" t="str">
        <f>项目基本情况!B37</f>
        <v>七级</v>
      </c>
      <c r="I53" s="872">
        <f>SUMIF(修正!A45:A56,H53,修正!C45:C56)</f>
        <v>0.4</v>
      </c>
      <c r="J53" s="873"/>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7" customFormat="1">
      <c r="A54" s="648" t="s">
        <v>2589</v>
      </c>
      <c r="B54" s="223" t="e">
        <f t="shared" si="16"/>
        <v>#DIV/0!</v>
      </c>
      <c r="C54" s="175">
        <f t="shared" si="15"/>
        <v>0.28000000000000003</v>
      </c>
      <c r="D54" s="1069">
        <v>0.25</v>
      </c>
      <c r="E54" s="649"/>
      <c r="F54" s="646" t="e">
        <f t="shared" si="14"/>
        <v>#DIV/0!</v>
      </c>
      <c r="G54" s="3394"/>
      <c r="H54" s="1011" t="str">
        <f>项目基本情况!B37</f>
        <v>七级</v>
      </c>
      <c r="I54" s="872">
        <f>SUMIF(修正!A45:A56,H54,修正!D45:D56)</f>
        <v>0.28000000000000003</v>
      </c>
      <c r="J54" s="873"/>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7" customFormat="1">
      <c r="A55" s="648" t="s">
        <v>2590</v>
      </c>
      <c r="B55" s="223" t="e">
        <f t="shared" si="16"/>
        <v>#DIV/0!</v>
      </c>
      <c r="C55" s="175">
        <f t="shared" si="15"/>
        <v>0.25</v>
      </c>
      <c r="D55" s="1069">
        <v>0.25</v>
      </c>
      <c r="E55" s="649"/>
      <c r="F55" s="646" t="e">
        <f t="shared" si="14"/>
        <v>#DIV/0!</v>
      </c>
      <c r="G55" s="3394"/>
      <c r="H55" s="1011" t="str">
        <f>项目基本情况!B37</f>
        <v>七级</v>
      </c>
      <c r="I55" s="872">
        <f>SUMIF(修正!A45:A56,H55,修正!E45:E56)</f>
        <v>0.25</v>
      </c>
      <c r="J55" s="873"/>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7" customFormat="1">
      <c r="A56" s="648" t="s">
        <v>2591</v>
      </c>
      <c r="B56" s="223" t="e">
        <f t="shared" si="16"/>
        <v>#DIV/0!</v>
      </c>
      <c r="C56" s="175">
        <f t="shared" si="15"/>
        <v>0.25</v>
      </c>
      <c r="D56" s="1069">
        <v>0.25</v>
      </c>
      <c r="E56" s="222">
        <f>'数据-汇总表'!E11</f>
        <v>0</v>
      </c>
      <c r="F56" s="646" t="e">
        <f t="shared" si="14"/>
        <v>#DIV/0!</v>
      </c>
      <c r="G56" s="2166" t="s">
        <v>2592</v>
      </c>
      <c r="H56" s="1011" t="str">
        <f>项目基本情况!C37</f>
        <v>七级</v>
      </c>
      <c r="I56" s="872">
        <f>SUMIF(修正!A45:A56,H56,修正!F45:F56)</f>
        <v>0.25</v>
      </c>
      <c r="J56" s="873"/>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7" customFormat="1">
      <c r="A57" s="648" t="s">
        <v>2593</v>
      </c>
      <c r="B57" s="223" t="e">
        <f t="shared" si="16"/>
        <v>#DIV/0!</v>
      </c>
      <c r="C57" s="175">
        <f t="shared" si="15"/>
        <v>0.25</v>
      </c>
      <c r="D57" s="1069">
        <v>0.25</v>
      </c>
      <c r="E57" s="222">
        <f>'数据-汇总表'!E12</f>
        <v>27530</v>
      </c>
      <c r="F57" s="646" t="e">
        <f t="shared" si="14"/>
        <v>#DIV/0!</v>
      </c>
      <c r="G57" s="1016" t="s">
        <v>2594</v>
      </c>
      <c r="H57" s="1011" t="str">
        <f>IF(G57="商业",项目基本情况!B37,IF(G57="办公",项目基本情况!C37,IF(G57="住宅",项目基本情况!D37,项目基本情况!E37)))</f>
        <v>七级</v>
      </c>
      <c r="I57" s="872">
        <f>SUMIF(修正!A45:A56,H57,修正!G45:G56)</f>
        <v>0.25</v>
      </c>
      <c r="J57" s="873"/>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7" customFormat="1">
      <c r="A58" s="648" t="s">
        <v>2595</v>
      </c>
      <c r="B58" s="223" t="e">
        <f t="shared" si="16"/>
        <v>#DIV/0!</v>
      </c>
      <c r="C58" s="175">
        <f t="shared" si="15"/>
        <v>0.2</v>
      </c>
      <c r="D58" s="1069">
        <v>0.25</v>
      </c>
      <c r="E58" s="222">
        <f>'数据-汇总表'!E13</f>
        <v>14500</v>
      </c>
      <c r="F58" s="646" t="e">
        <f t="shared" si="14"/>
        <v>#DIV/0!</v>
      </c>
      <c r="G58" s="1016" t="s">
        <v>2596</v>
      </c>
      <c r="H58" s="1011" t="str">
        <f>IF(G58="商业",项目基本情况!B37,IF(G58="办公",项目基本情况!C37,IF(G58="住宅",项目基本情况!D37,项目基本情况!E37)))</f>
        <v>七级</v>
      </c>
      <c r="I58" s="872">
        <f>SUMIF(修正!A45:A56,H58,修正!H45:H56)</f>
        <v>0.2</v>
      </c>
      <c r="J58" s="873"/>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7" customFormat="1">
      <c r="A59" s="648" t="s">
        <v>2597</v>
      </c>
      <c r="B59" s="223" t="e">
        <f t="shared" si="16"/>
        <v>#DIV/0!</v>
      </c>
      <c r="C59" s="175">
        <f t="shared" si="15"/>
        <v>0.2</v>
      </c>
      <c r="D59" s="1069">
        <v>0.25</v>
      </c>
      <c r="E59" s="222">
        <f>'数据-汇总表'!E14</f>
        <v>0</v>
      </c>
      <c r="F59" s="646" t="e">
        <f t="shared" si="14"/>
        <v>#DIV/0!</v>
      </c>
      <c r="G59" s="2166" t="s">
        <v>2587</v>
      </c>
      <c r="H59" s="1011" t="str">
        <f>项目基本情况!B37</f>
        <v>七级</v>
      </c>
      <c r="I59" s="872">
        <f>SUMIF(修正!A45:A56,H59,修正!H45:H56)</f>
        <v>0.2</v>
      </c>
      <c r="J59" s="873"/>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7" customFormat="1" ht="15" thickBot="1">
      <c r="A60" s="648" t="s">
        <v>2598</v>
      </c>
      <c r="B60" s="223" t="e">
        <f t="shared" si="16"/>
        <v>#DIV/0!</v>
      </c>
      <c r="C60" s="175">
        <f t="shared" si="15"/>
        <v>0.2</v>
      </c>
      <c r="D60" s="1069">
        <v>0.25</v>
      </c>
      <c r="E60" s="222">
        <f>'数据-汇总表'!E15</f>
        <v>0</v>
      </c>
      <c r="F60" s="646" t="e">
        <f t="shared" si="14"/>
        <v>#DIV/0!</v>
      </c>
      <c r="G60" s="2167" t="s">
        <v>2592</v>
      </c>
      <c r="H60" s="1021" t="str">
        <f>项目基本情况!C37</f>
        <v>七级</v>
      </c>
      <c r="I60" s="872">
        <f>SUMIF(修正!A45:A56,H60,修正!H45:H56)</f>
        <v>0.2</v>
      </c>
      <c r="J60" s="873"/>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7" customFormat="1" ht="15" thickBot="1">
      <c r="A61" s="650" t="s">
        <v>2599</v>
      </c>
      <c r="B61" s="651" t="s">
        <v>28</v>
      </c>
      <c r="C61" s="651" t="s">
        <v>29</v>
      </c>
      <c r="D61" s="651" t="s">
        <v>997</v>
      </c>
      <c r="E61" s="651">
        <f>IF(B41="楼面地价",SUM(E51:E60),'数据-汇总表'!D3)</f>
        <v>31970</v>
      </c>
      <c r="F61" s="652" t="e">
        <f>IF(B41="楼面地价",SUM(F51:F60),ROUND(C43*E61/10000,0))</f>
        <v>#DIV/0!</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2"/>
      <c r="L62" s="1013"/>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700" t="str">
        <f>YEAR(C7)&amp;"-"&amp;MONTH(C7)&amp;"-1"</f>
        <v>2020-12-1</v>
      </c>
      <c r="D63" s="700">
        <f>EDATE(C63,-3)</f>
        <v>44075</v>
      </c>
      <c r="E63" s="700">
        <f>EDATE(D63,-3)</f>
        <v>43983</v>
      </c>
      <c r="F63" s="700">
        <f t="shared" ref="F63:O63" si="17">EDATE(E63,-3)</f>
        <v>43891</v>
      </c>
      <c r="G63" s="700">
        <f t="shared" si="17"/>
        <v>43800</v>
      </c>
      <c r="H63" s="700">
        <f t="shared" si="17"/>
        <v>43709</v>
      </c>
      <c r="I63" s="700">
        <f t="shared" si="17"/>
        <v>43617</v>
      </c>
      <c r="J63" s="700">
        <f t="shared" si="17"/>
        <v>43525</v>
      </c>
      <c r="K63" s="700">
        <f t="shared" si="17"/>
        <v>43435</v>
      </c>
      <c r="L63" s="700">
        <f t="shared" si="17"/>
        <v>43344</v>
      </c>
      <c r="M63" s="700">
        <f t="shared" si="17"/>
        <v>43252</v>
      </c>
      <c r="N63" s="700">
        <f t="shared" si="17"/>
        <v>43160</v>
      </c>
      <c r="O63" s="700">
        <f t="shared" si="17"/>
        <v>43070</v>
      </c>
      <c r="P63" s="2944"/>
      <c r="Q63" s="2944"/>
      <c r="R63" s="2944"/>
      <c r="S63" s="2944"/>
      <c r="T63" s="2944"/>
      <c r="U63" s="2944"/>
      <c r="V63" s="2944"/>
      <c r="W63" s="2944"/>
      <c r="X63" s="2944"/>
      <c r="Y63" s="2944"/>
      <c r="Z63" s="2944"/>
      <c r="AA63" s="2944"/>
      <c r="AB63" s="2944"/>
      <c r="AC63" s="2944"/>
      <c r="AD63" s="2944"/>
      <c r="AE63" s="2944"/>
    </row>
    <row r="64" spans="1:31" ht="21.75" thickBot="1">
      <c r="A64" s="702" t="s">
        <v>2492</v>
      </c>
      <c r="B64" s="698"/>
      <c r="C64" s="703"/>
      <c r="D64" s="703"/>
      <c r="E64" s="703"/>
      <c r="F64" s="704"/>
      <c r="G64" s="704"/>
      <c r="H64" s="703"/>
      <c r="I64" s="703"/>
      <c r="J64" s="703"/>
      <c r="K64" s="705"/>
      <c r="L64" s="706"/>
      <c r="M64" s="703"/>
      <c r="N64" s="703"/>
      <c r="O64" s="1064"/>
      <c r="P64" s="2988"/>
      <c r="Q64" s="2958"/>
      <c r="R64" s="2944"/>
      <c r="S64" s="2944"/>
      <c r="T64" s="2944"/>
      <c r="U64" s="2944"/>
      <c r="V64" s="2944"/>
      <c r="W64" s="2944"/>
      <c r="X64" s="2944"/>
      <c r="Y64" s="2944"/>
      <c r="Z64" s="2944"/>
      <c r="AA64" s="2944"/>
      <c r="AB64" s="2944"/>
      <c r="AC64" s="2944"/>
      <c r="AD64" s="2944"/>
      <c r="AE64" s="2944"/>
    </row>
    <row r="65" spans="1:31" s="464" customFormat="1" ht="15">
      <c r="A65" s="2168" t="s">
        <v>2600</v>
      </c>
      <c r="B65" s="1262"/>
      <c r="C65" s="1336" t="str">
        <f>YEAR(C63)&amp;"-"&amp;ROUNDUP(MONTH(C63)/3,0)</f>
        <v>2020-4</v>
      </c>
      <c r="D65" s="1336" t="str">
        <f t="shared" ref="D65:O65" si="18">YEAR(D63)&amp;"-"&amp;ROUNDUP(MONTH(D63)/3,0)</f>
        <v>2020-3</v>
      </c>
      <c r="E65" s="1336" t="str">
        <f t="shared" si="18"/>
        <v>2020-2</v>
      </c>
      <c r="F65" s="1336" t="str">
        <f t="shared" si="18"/>
        <v>2020-1</v>
      </c>
      <c r="G65" s="1336" t="str">
        <f t="shared" si="18"/>
        <v>2019-4</v>
      </c>
      <c r="H65" s="1336" t="str">
        <f t="shared" si="18"/>
        <v>2019-3</v>
      </c>
      <c r="I65" s="1336" t="str">
        <f t="shared" si="18"/>
        <v>2019-2</v>
      </c>
      <c r="J65" s="1336" t="str">
        <f t="shared" si="18"/>
        <v>2019-1</v>
      </c>
      <c r="K65" s="1336" t="str">
        <f t="shared" si="18"/>
        <v>2018-4</v>
      </c>
      <c r="L65" s="1336" t="str">
        <f t="shared" si="18"/>
        <v>2018-3</v>
      </c>
      <c r="M65" s="1336" t="str">
        <f t="shared" si="18"/>
        <v>2018-2</v>
      </c>
      <c r="N65" s="1336" t="str">
        <f t="shared" si="18"/>
        <v>2018-1</v>
      </c>
      <c r="O65" s="1336" t="str">
        <f t="shared" si="18"/>
        <v>2017-4</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3" t="s">
        <v>2620</v>
      </c>
      <c r="B66" s="293" t="str">
        <f>"北京市平均增长率"&amp;TEXT(基准地价修正!P24,"0.00%")</f>
        <v>北京市平均增长率1.23%</v>
      </c>
      <c r="C66" s="559">
        <v>100</v>
      </c>
      <c r="D66" s="551"/>
      <c r="E66" s="551"/>
      <c r="F66" s="551"/>
      <c r="G66" s="551"/>
      <c r="H66" s="551"/>
      <c r="I66" s="551"/>
      <c r="J66" s="551"/>
      <c r="K66" s="551"/>
      <c r="L66" s="551"/>
      <c r="M66" s="1333"/>
      <c r="N66" s="1333"/>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1" t="s">
        <v>2403</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2" customFormat="1" ht="15">
      <c r="A68" s="477" t="s">
        <v>2368</v>
      </c>
      <c r="B68" s="466"/>
      <c r="C68" s="478" t="s">
        <v>2470</v>
      </c>
      <c r="D68" s="479"/>
      <c r="E68" s="479"/>
      <c r="F68" s="479"/>
      <c r="G68" s="479"/>
      <c r="H68" s="479"/>
      <c r="I68" s="479"/>
      <c r="J68" s="479"/>
      <c r="K68" s="479"/>
      <c r="L68" s="480"/>
      <c r="M68" s="481"/>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7"/>
      <c r="B69" s="466"/>
      <c r="C69" s="594">
        <v>100</v>
      </c>
      <c r="D69" s="468"/>
      <c r="E69" s="468"/>
      <c r="F69" s="468"/>
      <c r="G69" s="468"/>
      <c r="H69" s="468"/>
      <c r="I69" s="468"/>
      <c r="J69" s="468"/>
      <c r="K69" s="468"/>
      <c r="L69" s="468"/>
      <c r="M69" s="470"/>
      <c r="N69" s="2971"/>
      <c r="O69" s="2971"/>
      <c r="P69" s="2958"/>
      <c r="Q69" s="2958"/>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0"/>
      <c r="B72" s="494" t="s">
        <v>2375</v>
      </c>
      <c r="C72" s="495"/>
      <c r="D72" s="495"/>
      <c r="E72" s="495"/>
      <c r="F72" s="495"/>
      <c r="G72" s="495"/>
      <c r="H72" s="495"/>
      <c r="I72" s="495"/>
      <c r="J72" s="495"/>
      <c r="K72" s="496"/>
      <c r="L72" s="497"/>
      <c r="M72" s="498"/>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3"/>
      <c r="O76" s="2973"/>
      <c r="P76" s="2997"/>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4"/>
      <c r="O77" s="2974"/>
      <c r="P77" s="2998"/>
      <c r="Q77" s="2965"/>
      <c r="R77" s="2966"/>
      <c r="S77" s="2966"/>
      <c r="T77" s="2966"/>
      <c r="U77" s="2966"/>
      <c r="V77" s="2966"/>
      <c r="W77" s="2966"/>
      <c r="X77" s="2966"/>
      <c r="Y77" s="2966"/>
      <c r="Z77" s="2966"/>
      <c r="AA77" s="2966"/>
      <c r="AB77" s="2966"/>
      <c r="AC77" s="2966"/>
      <c r="AD77" s="2966"/>
      <c r="AE77" s="2966"/>
    </row>
    <row r="78" spans="1:31" s="429" customFormat="1" ht="15.75" thickBot="1">
      <c r="A78" s="509"/>
      <c r="B78" s="499"/>
      <c r="C78" s="516"/>
      <c r="D78" s="492"/>
      <c r="E78" s="492"/>
      <c r="F78" s="492"/>
      <c r="G78" s="492"/>
      <c r="H78" s="492"/>
      <c r="I78" s="492"/>
      <c r="J78" s="492"/>
      <c r="K78" s="492"/>
      <c r="L78" s="492"/>
      <c r="M78" s="493"/>
      <c r="N78" s="2973"/>
      <c r="O78" s="2973"/>
      <c r="P78" s="2998"/>
      <c r="Q78" s="2965"/>
      <c r="R78" s="2966"/>
      <c r="S78" s="2966"/>
      <c r="T78" s="2966"/>
      <c r="U78" s="2966"/>
      <c r="V78" s="2966"/>
      <c r="W78" s="2966"/>
      <c r="X78" s="2966"/>
      <c r="Y78" s="2966"/>
      <c r="Z78" s="2966"/>
      <c r="AA78" s="2966"/>
      <c r="AB78" s="2966"/>
      <c r="AC78" s="2966"/>
      <c r="AD78" s="2966"/>
      <c r="AE78" s="2966"/>
    </row>
    <row r="79" spans="1:31" s="429" customFormat="1" ht="15.75" thickTop="1">
      <c r="A79" s="509"/>
      <c r="B79" s="494">
        <f>B13</f>
        <v>111</v>
      </c>
      <c r="C79" s="510"/>
      <c r="D79" s="510"/>
      <c r="E79" s="510"/>
      <c r="F79" s="510"/>
      <c r="G79" s="510"/>
      <c r="H79" s="511"/>
      <c r="I79" s="511"/>
      <c r="J79" s="511"/>
      <c r="K79" s="511"/>
      <c r="L79" s="512"/>
      <c r="M79" s="513"/>
      <c r="N79" s="2974"/>
      <c r="O79" s="2974"/>
      <c r="P79" s="2942"/>
      <c r="Q79" s="2968"/>
      <c r="R79" s="2966"/>
      <c r="S79" s="2966"/>
      <c r="T79" s="2966"/>
      <c r="U79" s="2966"/>
      <c r="V79" s="2966"/>
      <c r="W79" s="2966"/>
      <c r="X79" s="2966"/>
      <c r="Y79" s="2966"/>
      <c r="Z79" s="2966"/>
      <c r="AA79" s="2966"/>
      <c r="AB79" s="2966"/>
      <c r="AC79" s="2966"/>
      <c r="AD79" s="2966"/>
      <c r="AE79" s="2966"/>
    </row>
    <row r="80" spans="1:31" s="429" customFormat="1" ht="15.75" thickBot="1">
      <c r="A80" s="509"/>
      <c r="B80" s="499"/>
      <c r="C80" s="516"/>
      <c r="D80" s="516"/>
      <c r="E80" s="516"/>
      <c r="F80" s="516"/>
      <c r="G80" s="516"/>
      <c r="H80" s="518"/>
      <c r="I80" s="518"/>
      <c r="J80" s="518"/>
      <c r="K80" s="518"/>
      <c r="L80" s="518"/>
      <c r="M80" s="519"/>
      <c r="N80" s="2974"/>
      <c r="O80" s="2974"/>
      <c r="P80" s="2998"/>
      <c r="Q80" s="2965"/>
      <c r="R80" s="2966"/>
      <c r="S80" s="2966"/>
      <c r="T80" s="2966"/>
      <c r="U80" s="2966"/>
      <c r="V80" s="2966"/>
      <c r="W80" s="2966"/>
      <c r="X80" s="2966"/>
      <c r="Y80" s="2966"/>
      <c r="Z80" s="2966"/>
      <c r="AA80" s="2966"/>
      <c r="AB80" s="2966"/>
      <c r="AC80" s="2966"/>
      <c r="AD80" s="2966"/>
      <c r="AE80" s="2966"/>
    </row>
    <row r="81" spans="1:31" s="429" customFormat="1" ht="15.75" thickTop="1">
      <c r="A81" s="509"/>
      <c r="B81" s="502">
        <f>B14</f>
        <v>111</v>
      </c>
      <c r="C81" s="479"/>
      <c r="D81" s="479"/>
      <c r="E81" s="479"/>
      <c r="F81" s="479"/>
      <c r="G81" s="479"/>
      <c r="H81" s="520"/>
      <c r="I81" s="520"/>
      <c r="J81" s="520"/>
      <c r="K81" s="520"/>
      <c r="L81" s="521"/>
      <c r="M81" s="522"/>
      <c r="N81" s="2974"/>
      <c r="O81" s="2974"/>
      <c r="P81" s="3003"/>
      <c r="Q81" s="2965"/>
      <c r="R81" s="2966"/>
      <c r="S81" s="2966"/>
      <c r="T81" s="2966"/>
      <c r="U81" s="2966"/>
      <c r="V81" s="2966"/>
      <c r="W81" s="2966"/>
      <c r="X81" s="2966"/>
      <c r="Y81" s="2966"/>
      <c r="Z81" s="2966"/>
      <c r="AA81" s="2966"/>
      <c r="AB81" s="2966"/>
      <c r="AC81" s="2966"/>
      <c r="AD81" s="2966"/>
      <c r="AE81" s="2966"/>
    </row>
    <row r="82" spans="1:31" s="429" customFormat="1" ht="15.75" thickBot="1">
      <c r="A82" s="524"/>
      <c r="B82" s="525"/>
      <c r="C82" s="526"/>
      <c r="D82" s="526"/>
      <c r="E82" s="526"/>
      <c r="F82" s="526"/>
      <c r="G82" s="526"/>
      <c r="H82" s="527"/>
      <c r="I82" s="527"/>
      <c r="J82" s="527"/>
      <c r="K82" s="527"/>
      <c r="L82" s="527"/>
      <c r="M82" s="528"/>
      <c r="N82" s="2974"/>
      <c r="O82" s="2974"/>
      <c r="P82" s="2998"/>
      <c r="Q82" s="2965"/>
      <c r="R82" s="2966"/>
      <c r="S82" s="2966"/>
      <c r="T82" s="2966"/>
      <c r="U82" s="2966"/>
      <c r="V82" s="2966"/>
      <c r="W82" s="2966"/>
      <c r="X82" s="2966"/>
      <c r="Y82" s="2966"/>
      <c r="Z82" s="2966"/>
      <c r="AA82" s="2966"/>
      <c r="AB82" s="2966"/>
      <c r="AC82" s="2966"/>
      <c r="AD82" s="2966"/>
      <c r="AE82" s="2966"/>
    </row>
    <row r="83" spans="1:31">
      <c r="A83" s="483" t="s">
        <v>2377</v>
      </c>
      <c r="B83" s="484" t="s">
        <v>2523</v>
      </c>
      <c r="C83" s="529" t="s">
        <v>2415</v>
      </c>
      <c r="D83" s="529" t="s">
        <v>2416</v>
      </c>
      <c r="E83" s="529" t="s">
        <v>2417</v>
      </c>
      <c r="F83" s="529" t="s">
        <v>2418</v>
      </c>
      <c r="G83" s="529" t="s">
        <v>2419</v>
      </c>
      <c r="H83" s="485"/>
      <c r="I83" s="485"/>
      <c r="J83" s="485"/>
      <c r="K83" s="530"/>
      <c r="L83" s="531"/>
      <c r="M83" s="532"/>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0"/>
      <c r="B85" s="494" t="s">
        <v>2420</v>
      </c>
      <c r="C85" s="534" t="s">
        <v>2415</v>
      </c>
      <c r="D85" s="534" t="s">
        <v>2416</v>
      </c>
      <c r="E85" s="534" t="s">
        <v>2417</v>
      </c>
      <c r="F85" s="534" t="s">
        <v>2418</v>
      </c>
      <c r="G85" s="534" t="s">
        <v>2419</v>
      </c>
      <c r="H85" s="495"/>
      <c r="I85" s="495"/>
      <c r="J85" s="495"/>
      <c r="K85" s="496"/>
      <c r="L85" s="497"/>
      <c r="M85" s="498"/>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3"/>
      <c r="O90" s="2973"/>
      <c r="P90" s="2997"/>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4"/>
      <c r="O91" s="2974"/>
      <c r="P91" s="2998"/>
      <c r="Q91" s="2965"/>
      <c r="R91" s="2966"/>
      <c r="S91" s="2966"/>
      <c r="T91" s="2966"/>
      <c r="U91" s="2966"/>
      <c r="V91" s="2966"/>
      <c r="W91" s="2966"/>
      <c r="X91" s="2966"/>
      <c r="Y91" s="2966"/>
      <c r="Z91" s="2966"/>
      <c r="AA91" s="2966"/>
      <c r="AB91" s="2966"/>
      <c r="AC91" s="2966"/>
      <c r="AD91" s="2966"/>
      <c r="AE91" s="2966"/>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4"/>
      <c r="O92" s="2974"/>
      <c r="P92" s="2998"/>
      <c r="Q92" s="2965"/>
      <c r="R92" s="2966"/>
      <c r="S92" s="2966"/>
      <c r="T92" s="2966"/>
      <c r="U92" s="2966"/>
      <c r="V92" s="2966"/>
      <c r="W92" s="2966"/>
      <c r="X92" s="2966"/>
      <c r="Y92" s="2966"/>
      <c r="Z92" s="2966"/>
      <c r="AA92" s="2966"/>
      <c r="AB92" s="2966"/>
      <c r="AC92" s="2966"/>
      <c r="AD92" s="2966"/>
      <c r="AE92" s="2966"/>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4"/>
      <c r="O93" s="2974"/>
      <c r="P93" s="2998"/>
      <c r="Q93" s="2965"/>
      <c r="R93" s="2966"/>
      <c r="S93" s="2966"/>
      <c r="T93" s="2966"/>
      <c r="U93" s="2966"/>
      <c r="V93" s="2966"/>
      <c r="W93" s="2966"/>
      <c r="X93" s="2966"/>
      <c r="Y93" s="2966"/>
      <c r="Z93" s="2966"/>
      <c r="AA93" s="2966"/>
      <c r="AB93" s="2966"/>
      <c r="AC93" s="2966"/>
      <c r="AD93" s="2966"/>
      <c r="AE93" s="296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0"/>
      <c r="B97" s="494" t="s">
        <v>2509</v>
      </c>
      <c r="C97" s="510"/>
      <c r="D97" s="510"/>
      <c r="E97" s="510"/>
      <c r="F97" s="510"/>
      <c r="G97" s="510"/>
      <c r="H97" s="539"/>
      <c r="I97" s="539"/>
      <c r="J97" s="539"/>
      <c r="K97" s="540"/>
      <c r="L97" s="541"/>
      <c r="M97" s="542"/>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0"/>
      <c r="B99" s="494" t="s">
        <v>2568</v>
      </c>
      <c r="C99" s="539"/>
      <c r="D99" s="539"/>
      <c r="E99" s="539"/>
      <c r="F99" s="539"/>
      <c r="G99" s="539"/>
      <c r="H99" s="539"/>
      <c r="I99" s="539"/>
      <c r="J99" s="539"/>
      <c r="K99" s="540"/>
      <c r="L99" s="541"/>
      <c r="M99" s="542"/>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9" customFormat="1" ht="15.75" thickBot="1">
      <c r="A106" s="509"/>
      <c r="B106" s="502"/>
      <c r="C106" s="526"/>
      <c r="D106" s="526"/>
      <c r="E106" s="526"/>
      <c r="F106" s="526"/>
      <c r="G106" s="632"/>
      <c r="H106" s="632"/>
      <c r="I106" s="632"/>
      <c r="J106" s="632"/>
      <c r="K106" s="632"/>
      <c r="L106" s="632"/>
      <c r="M106" s="654"/>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497" t="str">
        <f t="shared" si="24"/>
        <v>(含)-</v>
      </c>
      <c r="L107" s="1497" t="str">
        <f t="shared" si="24"/>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2610</v>
      </c>
      <c r="C110" s="539"/>
      <c r="D110" s="539"/>
      <c r="E110" s="539"/>
      <c r="F110" s="539"/>
      <c r="G110" s="539"/>
      <c r="H110" s="539"/>
      <c r="I110" s="539"/>
      <c r="J110" s="539"/>
      <c r="K110" s="540"/>
      <c r="L110" s="541"/>
      <c r="M110" s="542"/>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2612</v>
      </c>
      <c r="C112" s="510"/>
      <c r="D112" s="510"/>
      <c r="E112" s="510"/>
      <c r="F112" s="510"/>
      <c r="G112" s="510"/>
      <c r="H112" s="539"/>
      <c r="I112" s="539"/>
      <c r="J112" s="539"/>
      <c r="K112" s="540"/>
      <c r="L112" s="541"/>
      <c r="M112" s="542"/>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5"/>
      <c r="B114" s="494" t="s">
        <v>2613</v>
      </c>
      <c r="C114" s="510"/>
      <c r="D114" s="510"/>
      <c r="E114" s="539"/>
      <c r="F114" s="539"/>
      <c r="G114" s="539"/>
      <c r="H114" s="539"/>
      <c r="I114" s="539"/>
      <c r="J114" s="539"/>
      <c r="K114" s="540"/>
      <c r="L114" s="541"/>
      <c r="M114" s="542"/>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9" customFormat="1" ht="15.75" thickBot="1">
      <c r="A121" s="524"/>
      <c r="B121" s="655"/>
      <c r="C121" s="526"/>
      <c r="D121" s="526"/>
      <c r="E121" s="526"/>
      <c r="F121" s="526"/>
      <c r="G121" s="547"/>
      <c r="H121" s="547"/>
      <c r="I121" s="547"/>
      <c r="J121" s="547"/>
      <c r="K121" s="547"/>
      <c r="L121" s="547"/>
      <c r="M121" s="548"/>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201" t="s">
        <v>2622</v>
      </c>
      <c r="B1" s="202"/>
      <c r="C1" s="206" t="s">
        <v>2623</v>
      </c>
      <c r="D1" s="347">
        <f>SUM(D29:D30,D33:D39)</f>
        <v>0</v>
      </c>
      <c r="E1" s="2174"/>
      <c r="F1" s="2174"/>
      <c r="G1" s="2174"/>
      <c r="H1" s="2174"/>
      <c r="I1" s="2174"/>
      <c r="J1" s="2174"/>
      <c r="K1" s="1273"/>
      <c r="L1" s="2175" t="s">
        <v>2624</v>
      </c>
      <c r="M1" s="987">
        <f>SUMPRODUCT((区片价!B5:B9=I2)*(区片价!C3:F3=E2)*(区片价!C5:F9))</f>
        <v>0</v>
      </c>
      <c r="N1" s="990">
        <f>SUMPRODUCT((因素修正幅度!B5:B9=I2)*(因素修正幅度!C3:F3=E2)*(因素修正幅度!C5:F9))</f>
        <v>0</v>
      </c>
      <c r="O1" s="2176"/>
      <c r="P1" s="2176"/>
      <c r="Q1" s="1273"/>
      <c r="R1" s="1366" t="s">
        <v>2625</v>
      </c>
      <c r="S1" s="1366" t="s">
        <v>2626</v>
      </c>
      <c r="T1" s="1366" t="s">
        <v>2627</v>
      </c>
      <c r="U1" s="1366" t="s">
        <v>2628</v>
      </c>
      <c r="V1" s="1366" t="s">
        <v>2629</v>
      </c>
      <c r="W1" s="1370"/>
      <c r="X1" s="1370"/>
      <c r="Y1" s="1370"/>
      <c r="Z1" s="1370"/>
      <c r="AA1" s="1370"/>
      <c r="AB1" s="1370"/>
      <c r="AC1" s="1371"/>
      <c r="AD1" s="1372"/>
      <c r="AE1" s="1372"/>
      <c r="AF1" s="1372"/>
      <c r="AG1" s="1372"/>
      <c r="AH1" s="1372"/>
      <c r="AI1" s="1372"/>
      <c r="AJ1" s="1373"/>
    </row>
    <row r="2" spans="1:36" ht="15.75">
      <c r="A2" s="206" t="s">
        <v>2630</v>
      </c>
      <c r="B2" s="209" t="e">
        <f>C26</f>
        <v>#DIV/0!</v>
      </c>
      <c r="C2" s="2178" t="s">
        <v>2631</v>
      </c>
      <c r="D2" s="2179" t="s">
        <v>2632</v>
      </c>
      <c r="E2" s="2180"/>
      <c r="F2" s="2179" t="s">
        <v>2633</v>
      </c>
      <c r="G2" s="2181">
        <f>IF(E2="商业",项目基本情况!B37,IF(E2="办公",项目基本情况!C37,IF(E2="住宅",项目基本情况!D37,项目基本情况!E37)))</f>
        <v>0</v>
      </c>
      <c r="H2" s="2179" t="s">
        <v>2634</v>
      </c>
      <c r="I2" s="2181">
        <f>IF(E2="商业",项目基本情况!B38,IF(E2="办公",项目基本情况!C38,IF(E2="住宅",项目基本情况!D38,项目基本情况!E38)))</f>
        <v>0</v>
      </c>
      <c r="J2" s="2182"/>
      <c r="K2" s="1273"/>
      <c r="L2" s="2183" t="s">
        <v>2635</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8" t="s">
        <v>2636</v>
      </c>
      <c r="B3" s="209" t="e">
        <f>ROUND(B2*10000/D1,0)</f>
        <v>#DIV/0!</v>
      </c>
      <c r="C3" s="2178" t="s">
        <v>2637</v>
      </c>
      <c r="D3" s="2179" t="s">
        <v>2638</v>
      </c>
      <c r="E3" s="2184"/>
      <c r="F3" s="2185" t="s">
        <v>2639</v>
      </c>
      <c r="G3" s="848">
        <f>IF(F3="宗地容积率",'数据-汇总表'!I4,IF(F3="估价对象容积率",'数据-汇总表'!I6,'数据-汇总表'!I7))</f>
        <v>1.7</v>
      </c>
      <c r="H3" s="174" t="s">
        <v>2640</v>
      </c>
      <c r="I3" s="874"/>
      <c r="J3" s="2182" t="s">
        <v>2641</v>
      </c>
      <c r="K3" s="1273"/>
      <c r="L3" s="2183" t="s">
        <v>2642</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418"/>
      <c r="B4" s="3419"/>
      <c r="C4" s="3419"/>
      <c r="D4" s="3420"/>
      <c r="E4" s="3420"/>
      <c r="F4" s="3420"/>
      <c r="G4" s="3420"/>
      <c r="H4" s="3420"/>
      <c r="I4" s="3420"/>
      <c r="J4" s="3421"/>
      <c r="K4" s="1273"/>
      <c r="L4" s="2183" t="s">
        <v>2643</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5" customFormat="1" ht="15.75" thickBot="1">
      <c r="A5" s="2186" t="s">
        <v>807</v>
      </c>
      <c r="B5" s="2187" t="s">
        <v>2644</v>
      </c>
      <c r="C5" s="849" t="e">
        <f>ROUND(IF(E2="商业",C6*C7+C16,(IF(E2="住宅",C6*C12+C16,C6+C16))),0)</f>
        <v>#DIV/0!</v>
      </c>
      <c r="D5" s="1517" t="e">
        <f>ROUND(C6+C16,0)</f>
        <v>#DIV/0!</v>
      </c>
      <c r="E5" s="1517"/>
      <c r="F5" s="2188"/>
      <c r="G5" s="2189"/>
      <c r="H5" s="2189"/>
      <c r="I5" s="2189"/>
      <c r="J5" s="2190"/>
      <c r="K5" s="2191"/>
      <c r="L5" s="2183" t="s">
        <v>2645</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si="0"/>
        <v>#DIV/0!</v>
      </c>
      <c r="U5" s="1367"/>
      <c r="V5" s="1366" t="e">
        <f t="shared" si="1"/>
        <v>#DIV/0!</v>
      </c>
      <c r="W5" s="1370"/>
      <c r="X5" s="1370"/>
      <c r="Y5" s="1370"/>
      <c r="Z5" s="1370"/>
      <c r="AA5" s="1370"/>
      <c r="AB5" s="1370"/>
      <c r="AC5" s="2192"/>
      <c r="AD5" s="2193"/>
      <c r="AE5" s="2193"/>
      <c r="AF5" s="2193"/>
      <c r="AG5" s="2193"/>
      <c r="AH5" s="2193"/>
      <c r="AI5" s="2193"/>
      <c r="AJ5" s="2194"/>
    </row>
    <row r="6" spans="1:36" ht="15.75" thickBot="1">
      <c r="A6" s="2196" t="s">
        <v>2646</v>
      </c>
      <c r="B6" s="2197" t="s">
        <v>2647</v>
      </c>
      <c r="C6" s="850">
        <f>SUMIF(L1:L12,G2,M1:M12)</f>
        <v>0</v>
      </c>
      <c r="D6" s="2198" t="s">
        <v>2648</v>
      </c>
      <c r="E6" s="2199"/>
      <c r="F6" s="2199"/>
      <c r="G6" s="2200"/>
      <c r="H6" s="2200"/>
      <c r="I6" s="2200"/>
      <c r="J6" s="2201"/>
      <c r="K6" s="1562"/>
      <c r="L6" s="2183" t="s">
        <v>2649</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si="0"/>
        <v>#DIV/0!</v>
      </c>
      <c r="U6" s="1367"/>
      <c r="V6" s="1366" t="e">
        <f t="shared" si="1"/>
        <v>#DIV/0!</v>
      </c>
      <c r="W6" s="1370"/>
      <c r="X6" s="1370"/>
      <c r="Y6" s="1370"/>
      <c r="Z6" s="1370"/>
      <c r="AA6" s="1370"/>
      <c r="AB6" s="1370"/>
      <c r="AC6" s="2192"/>
      <c r="AD6" s="2193"/>
      <c r="AE6" s="2193"/>
      <c r="AF6" s="2193"/>
      <c r="AG6" s="2193"/>
      <c r="AH6" s="2193"/>
      <c r="AI6" s="2193"/>
      <c r="AJ6" s="2194"/>
    </row>
    <row r="7" spans="1:36" ht="24">
      <c r="A7" s="3399" t="str">
        <f>IF(E2="商业",IF(C8="不临58条商业街","",2),"")</f>
        <v/>
      </c>
      <c r="B7" s="2202" t="s">
        <v>2650</v>
      </c>
      <c r="C7" s="851" t="e">
        <f>IF(C8="不临58条商业街",1,ROUND(1+(1.6*E8+1.2*E9+0.8*E10+0.4*E11)*C9,4))</f>
        <v>#DIV/0!</v>
      </c>
      <c r="D7" s="2203" t="s">
        <v>2651</v>
      </c>
      <c r="E7" s="875"/>
      <c r="F7" s="2204"/>
      <c r="G7" s="2205"/>
      <c r="H7" s="2205"/>
      <c r="I7" s="2205"/>
      <c r="J7" s="2206"/>
      <c r="K7" s="1562"/>
      <c r="L7" s="2183" t="s">
        <v>2652</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si="0"/>
        <v>#DIV/0!</v>
      </c>
      <c r="U7" s="1367"/>
      <c r="V7" s="1366" t="e">
        <f t="shared" si="1"/>
        <v>#DIV/0!</v>
      </c>
      <c r="W7" s="1536" t="s">
        <v>2653</v>
      </c>
      <c r="X7" s="1368">
        <f>G2</f>
        <v>0</v>
      </c>
      <c r="Y7" s="1368" t="s">
        <v>2654</v>
      </c>
      <c r="Z7" s="1369">
        <f>G3</f>
        <v>1.7</v>
      </c>
      <c r="AA7" s="1370"/>
      <c r="AB7" s="1370"/>
      <c r="AC7" s="1371"/>
      <c r="AD7" s="1372"/>
      <c r="AE7" s="1372"/>
      <c r="AF7" s="1372"/>
      <c r="AG7" s="1372"/>
      <c r="AH7" s="1372"/>
      <c r="AI7" s="1372"/>
      <c r="AJ7" s="1373"/>
    </row>
    <row r="8" spans="1:36" ht="15">
      <c r="A8" s="3422"/>
      <c r="B8" s="174" t="s">
        <v>2655</v>
      </c>
      <c r="C8" s="2207"/>
      <c r="D8" s="852" t="s">
        <v>139</v>
      </c>
      <c r="E8" s="853" t="e">
        <f>ROUND(C11/E7,4)</f>
        <v>#DIV/0!</v>
      </c>
      <c r="F8" s="2208" t="s">
        <v>2656</v>
      </c>
      <c r="G8" s="2209"/>
      <c r="H8" s="2209"/>
      <c r="I8" s="2209"/>
      <c r="J8" s="2210"/>
      <c r="K8" s="1273"/>
      <c r="L8" s="2183" t="s">
        <v>2657</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si="0"/>
        <v>#DIV/0!</v>
      </c>
      <c r="U8" s="1367"/>
      <c r="V8" s="1366" t="e">
        <f t="shared" si="1"/>
        <v>#DIV/0!</v>
      </c>
      <c r="W8" s="3415" t="s">
        <v>2658</v>
      </c>
      <c r="X8" s="3416"/>
      <c r="Y8" s="1374" t="s">
        <v>2659</v>
      </c>
      <c r="Z8" s="1374" t="s">
        <v>2660</v>
      </c>
      <c r="AA8" s="1374" t="s">
        <v>2661</v>
      </c>
      <c r="AB8" s="1374" t="s">
        <v>2662</v>
      </c>
      <c r="AC8" s="1374" t="s">
        <v>2663</v>
      </c>
      <c r="AD8" s="1374" t="s">
        <v>2664</v>
      </c>
      <c r="AE8" s="1374" t="s">
        <v>2665</v>
      </c>
      <c r="AF8" s="1374" t="s">
        <v>2666</v>
      </c>
      <c r="AG8" s="1374" t="s">
        <v>2667</v>
      </c>
      <c r="AH8" s="1374" t="s">
        <v>2668</v>
      </c>
      <c r="AI8" s="1374" t="s">
        <v>2669</v>
      </c>
      <c r="AJ8" s="1374" t="s">
        <v>2670</v>
      </c>
    </row>
    <row r="9" spans="1:36" ht="15">
      <c r="A9" s="3422"/>
      <c r="B9" s="174" t="s">
        <v>2671</v>
      </c>
      <c r="C9" s="854">
        <f>SUMIF(修正!C59:C119,C8,修正!E59:E119)</f>
        <v>0</v>
      </c>
      <c r="D9" s="175" t="s">
        <v>140</v>
      </c>
      <c r="E9" s="175" t="e">
        <f>ROUND(C11/E7,4)</f>
        <v>#DIV/0!</v>
      </c>
      <c r="F9" s="2208" t="s">
        <v>2672</v>
      </c>
      <c r="G9" s="2209"/>
      <c r="H9" s="2209"/>
      <c r="I9" s="2209"/>
      <c r="J9" s="2210"/>
      <c r="K9" s="1273"/>
      <c r="L9" s="2183" t="s">
        <v>2673</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si="0"/>
        <v>#DIV/0!</v>
      </c>
      <c r="U9" s="1367"/>
      <c r="V9" s="1366" t="e">
        <f t="shared" si="1"/>
        <v>#DIV/0!</v>
      </c>
      <c r="W9" s="3417" t="s">
        <v>2674</v>
      </c>
      <c r="X9" s="1375" t="s">
        <v>2675</v>
      </c>
      <c r="Y9" s="1502"/>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22"/>
      <c r="B10" s="174" t="s">
        <v>2676</v>
      </c>
      <c r="C10" s="175">
        <f>SUMIF(修正!C59:C119,C8,修正!F59:F119)</f>
        <v>0</v>
      </c>
      <c r="D10" s="175" t="s">
        <v>141</v>
      </c>
      <c r="E10" s="175" t="e">
        <f>ROUND(C11/E7,4)</f>
        <v>#DIV/0!</v>
      </c>
      <c r="F10" s="2208" t="s">
        <v>2677</v>
      </c>
      <c r="G10" s="2209"/>
      <c r="H10" s="2209"/>
      <c r="I10" s="2209"/>
      <c r="J10" s="2210"/>
      <c r="K10" s="1273"/>
      <c r="L10" s="2183" t="s">
        <v>2678</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si="0"/>
        <v>#DIV/0!</v>
      </c>
      <c r="U10" s="1367"/>
      <c r="V10" s="1366" t="e">
        <f t="shared" si="1"/>
        <v>#DIV/0!</v>
      </c>
      <c r="W10" s="3417"/>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22"/>
      <c r="B11" s="2211" t="s">
        <v>2679</v>
      </c>
      <c r="C11" s="855">
        <f>C10/4</f>
        <v>0</v>
      </c>
      <c r="D11" s="855" t="s">
        <v>142</v>
      </c>
      <c r="E11" s="855" t="e">
        <f>ROUND(C11/E7,4)</f>
        <v>#DIV/0!</v>
      </c>
      <c r="F11" s="2212" t="s">
        <v>2680</v>
      </c>
      <c r="G11" s="2213"/>
      <c r="H11" s="2213"/>
      <c r="I11" s="2213"/>
      <c r="J11" s="2214"/>
      <c r="K11" s="1273"/>
      <c r="L11" s="2183" t="s">
        <v>2681</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si="0"/>
        <v>#DIV/0!</v>
      </c>
      <c r="U11" s="1367"/>
      <c r="V11" s="1366" t="e">
        <f t="shared" si="1"/>
        <v>#DIV/0!</v>
      </c>
      <c r="W11" s="3417" t="s">
        <v>2682</v>
      </c>
      <c r="X11" s="1378" t="s">
        <v>2683</v>
      </c>
      <c r="Y11" s="1379">
        <f>$G$3</f>
        <v>1.7</v>
      </c>
      <c r="Z11" s="1379">
        <f t="shared" ref="Z11:AJ11" si="3">$G$3</f>
        <v>1.7</v>
      </c>
      <c r="AA11" s="1379">
        <f t="shared" si="3"/>
        <v>1.7</v>
      </c>
      <c r="AB11" s="1379">
        <f t="shared" si="3"/>
        <v>1.7</v>
      </c>
      <c r="AC11" s="1379">
        <f t="shared" si="3"/>
        <v>1.7</v>
      </c>
      <c r="AD11" s="1379">
        <f t="shared" si="3"/>
        <v>1.7</v>
      </c>
      <c r="AE11" s="1379">
        <f t="shared" si="3"/>
        <v>1.7</v>
      </c>
      <c r="AF11" s="1379">
        <f t="shared" si="3"/>
        <v>1.7</v>
      </c>
      <c r="AG11" s="1379">
        <f t="shared" si="3"/>
        <v>1.7</v>
      </c>
      <c r="AH11" s="1379">
        <f t="shared" si="3"/>
        <v>1.7</v>
      </c>
      <c r="AI11" s="1379">
        <f t="shared" si="3"/>
        <v>1.7</v>
      </c>
      <c r="AJ11" s="1379">
        <f t="shared" si="3"/>
        <v>1.7</v>
      </c>
    </row>
    <row r="12" spans="1:36" ht="25.5" thickBot="1">
      <c r="A12" s="3399" t="s">
        <v>2684</v>
      </c>
      <c r="B12" s="2215" t="s">
        <v>2685</v>
      </c>
      <c r="C12" s="851">
        <f>ROUND(C15*D15*E15*F15*G15*H15*I15*J15,4)</f>
        <v>1</v>
      </c>
      <c r="D12" s="2216" t="s">
        <v>2686</v>
      </c>
      <c r="E12" s="2217"/>
      <c r="F12" s="2217"/>
      <c r="G12" s="2218"/>
      <c r="H12" s="2218"/>
      <c r="I12" s="2218"/>
      <c r="J12" s="2219"/>
      <c r="K12" s="1273"/>
      <c r="L12" s="2220" t="s">
        <v>2687</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si="0"/>
        <v>#DIV/0!</v>
      </c>
      <c r="U12" s="1367"/>
      <c r="V12" s="1366" t="e">
        <f t="shared" si="1"/>
        <v>#DIV/0!</v>
      </c>
      <c r="W12" s="3417"/>
      <c r="X12" s="1380" t="s">
        <v>2688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23"/>
      <c r="B13" s="2221" t="s">
        <v>2689</v>
      </c>
      <c r="C13" s="2222" t="s">
        <v>2690</v>
      </c>
      <c r="D13" s="1528" t="s">
        <v>2691</v>
      </c>
      <c r="E13" s="1528" t="s">
        <v>2692</v>
      </c>
      <c r="F13" s="30" t="s">
        <v>2693</v>
      </c>
      <c r="G13" s="2223" t="s">
        <v>2694</v>
      </c>
      <c r="H13" s="2223" t="s">
        <v>2694</v>
      </c>
      <c r="I13" s="2223" t="s">
        <v>2694</v>
      </c>
      <c r="J13" s="2224" t="s">
        <v>2694</v>
      </c>
      <c r="K13" s="1273"/>
      <c r="L13" s="1273"/>
      <c r="M13" s="1273"/>
      <c r="N13" s="1273"/>
      <c r="O13" s="1273"/>
      <c r="P13" s="1273"/>
      <c r="Q13" s="1273"/>
      <c r="R13" s="1366">
        <v>12</v>
      </c>
      <c r="S13" s="1367"/>
      <c r="T13" s="1366" t="e">
        <f t="shared" si="0"/>
        <v>#DIV/0!</v>
      </c>
      <c r="U13" s="1367"/>
      <c r="V13" s="1366" t="e">
        <f t="shared" si="1"/>
        <v>#DIV/0!</v>
      </c>
      <c r="W13" s="3417"/>
      <c r="X13" s="1380"/>
      <c r="Y13" s="1377">
        <f>(-0.163*(Y12^2)-0.59*Y12+7617)*(10^(-4))/Y11</f>
        <v>0.44805882352941179</v>
      </c>
      <c r="Z13" s="1377">
        <f t="shared" ref="Z13:AJ13" si="5">(-0.163*(Z12^2)-0.59*Z12+7617)*(10^(-4))/Z11</f>
        <v>0.44805882352941179</v>
      </c>
      <c r="AA13" s="1377">
        <f t="shared" si="5"/>
        <v>0.44805882352941179</v>
      </c>
      <c r="AB13" s="1377">
        <f t="shared" si="5"/>
        <v>0.44805882352941179</v>
      </c>
      <c r="AC13" s="1377">
        <f t="shared" si="5"/>
        <v>0.44805882352941179</v>
      </c>
      <c r="AD13" s="1377">
        <f t="shared" si="5"/>
        <v>0.44805882352941179</v>
      </c>
      <c r="AE13" s="1377">
        <f t="shared" si="5"/>
        <v>0.44805882352941179</v>
      </c>
      <c r="AF13" s="1377">
        <f t="shared" si="5"/>
        <v>0.44805882352941179</v>
      </c>
      <c r="AG13" s="1377">
        <f t="shared" si="5"/>
        <v>0.44805882352941179</v>
      </c>
      <c r="AH13" s="1377">
        <f t="shared" si="5"/>
        <v>0.44805882352941179</v>
      </c>
      <c r="AI13" s="1377">
        <f t="shared" si="5"/>
        <v>0.44805882352941179</v>
      </c>
      <c r="AJ13" s="1377">
        <f t="shared" si="5"/>
        <v>0.44805882352941179</v>
      </c>
    </row>
    <row r="14" spans="1:36" ht="15">
      <c r="A14" s="3423"/>
      <c r="B14" s="2225"/>
      <c r="C14" s="2226"/>
      <c r="D14" s="2227"/>
      <c r="E14" s="2227"/>
      <c r="F14" s="2228"/>
      <c r="G14" s="2229" t="s">
        <v>2695</v>
      </c>
      <c r="H14" s="2230"/>
      <c r="I14" s="2231"/>
      <c r="J14" s="2232"/>
      <c r="K14" s="1273"/>
      <c r="L14" s="1273"/>
      <c r="M14" s="1273"/>
      <c r="N14" s="1273"/>
      <c r="O14" s="1273"/>
      <c r="P14" s="1273"/>
      <c r="Q14" s="1273"/>
      <c r="R14" s="1366">
        <v>13</v>
      </c>
      <c r="S14" s="1367"/>
      <c r="T14" s="1366" t="e">
        <f t="shared" si="0"/>
        <v>#DIV/0!</v>
      </c>
      <c r="U14" s="1367"/>
      <c r="V14" s="1366" t="e">
        <f t="shared" si="1"/>
        <v>#DIV/0!</v>
      </c>
      <c r="W14" s="1370"/>
      <c r="X14" s="1370"/>
      <c r="Y14" s="1370"/>
      <c r="Z14" s="1370"/>
      <c r="AA14" s="1370"/>
      <c r="AB14" s="1370"/>
      <c r="AC14" s="1371"/>
      <c r="AD14" s="3010"/>
      <c r="AE14" s="3010"/>
      <c r="AF14" s="3010"/>
      <c r="AG14" s="3010"/>
      <c r="AH14" s="3010"/>
      <c r="AI14" s="3010"/>
      <c r="AJ14" s="3011"/>
    </row>
    <row r="15" spans="1:36" ht="15.75" thickBot="1">
      <c r="A15" s="3424"/>
      <c r="B15" s="2233" t="s">
        <v>2696</v>
      </c>
      <c r="C15" s="192">
        <f>IF(C14="有",1.1,1)</f>
        <v>1</v>
      </c>
      <c r="D15" s="192">
        <f>IF(D14="有",1.1,1)</f>
        <v>1</v>
      </c>
      <c r="E15" s="192">
        <f>IF(E14="有",1.1,1)</f>
        <v>1</v>
      </c>
      <c r="F15" s="192">
        <f>IF(F14="500米范围内",1.2,IF(F14="500-1000米",1.1,1))</f>
        <v>1</v>
      </c>
      <c r="G15" s="876">
        <v>1</v>
      </c>
      <c r="H15" s="876">
        <v>1</v>
      </c>
      <c r="I15" s="876">
        <v>1</v>
      </c>
      <c r="J15" s="877">
        <v>1</v>
      </c>
      <c r="K15" s="1273"/>
      <c r="L15" s="2176"/>
      <c r="M15" s="2176"/>
      <c r="N15" s="2176"/>
      <c r="O15" s="2176"/>
      <c r="P15" s="2176"/>
      <c r="Q15" s="1273"/>
      <c r="R15" s="1366">
        <v>14</v>
      </c>
      <c r="S15" s="1367"/>
      <c r="T15" s="1366" t="e">
        <f t="shared" si="0"/>
        <v>#DIV/0!</v>
      </c>
      <c r="U15" s="1367"/>
      <c r="V15" s="1366" t="e">
        <f t="shared" si="1"/>
        <v>#DIV/0!</v>
      </c>
      <c r="W15" s="1370"/>
      <c r="X15" s="1370"/>
      <c r="Y15" s="1370"/>
      <c r="Z15" s="1370"/>
      <c r="AA15" s="1370"/>
      <c r="AB15" s="1370"/>
      <c r="AC15" s="1371"/>
      <c r="AD15" s="3010"/>
      <c r="AE15" s="3010"/>
      <c r="AF15" s="3010"/>
      <c r="AG15" s="3010"/>
      <c r="AH15" s="3010"/>
      <c r="AI15" s="3010"/>
      <c r="AJ15" s="3011"/>
    </row>
    <row r="16" spans="1:36" ht="24.6" customHeight="1">
      <c r="A16" s="3399" t="s">
        <v>2701</v>
      </c>
      <c r="B16" s="2202" t="s">
        <v>2702</v>
      </c>
      <c r="C16" s="2364" t="e">
        <f>ROUND(IF(F17="与级别开发程度一致",0,(G17-E17)/C17),0)</f>
        <v>#DIV/0!</v>
      </c>
      <c r="D16" s="3412" t="s">
        <v>2706</v>
      </c>
      <c r="E16" s="3413"/>
      <c r="F16" s="3412" t="s">
        <v>2703</v>
      </c>
      <c r="G16" s="3413"/>
      <c r="H16" s="2234"/>
      <c r="I16" s="2234"/>
      <c r="J16" s="2368"/>
      <c r="K16" s="2234"/>
      <c r="L16" s="2234"/>
      <c r="M16" s="2234"/>
      <c r="N16" s="2234"/>
      <c r="O16" s="2235"/>
      <c r="P16" s="2176"/>
      <c r="Q16" s="1273"/>
      <c r="R16" s="1366">
        <v>15</v>
      </c>
      <c r="S16" s="1367"/>
      <c r="T16" s="1366" t="e">
        <f t="shared" si="0"/>
        <v>#DIV/0!</v>
      </c>
      <c r="U16" s="1367"/>
      <c r="V16" s="1366" t="e">
        <f t="shared" si="1"/>
        <v>#DIV/0!</v>
      </c>
      <c r="W16" s="1370"/>
      <c r="X16" s="1370"/>
      <c r="Y16" s="1370"/>
      <c r="Z16" s="1370"/>
      <c r="AA16" s="1370"/>
      <c r="AB16" s="1370"/>
      <c r="AC16" s="1371"/>
      <c r="AD16" s="3010"/>
      <c r="AE16" s="3010"/>
      <c r="AF16" s="3010"/>
      <c r="AG16" s="3010"/>
      <c r="AH16" s="3010"/>
      <c r="AI16" s="3010"/>
      <c r="AJ16" s="3011"/>
    </row>
    <row r="17" spans="1:37" ht="13.5" thickBot="1">
      <c r="A17" s="3400"/>
      <c r="B17" s="2375" t="s">
        <v>2705</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2708</v>
      </c>
      <c r="C18" s="2371">
        <f>SUMIF(修正!C18:C39,E3,修正!E18:E39)</f>
        <v>0</v>
      </c>
      <c r="D18" s="2372"/>
      <c r="E18" s="2373"/>
      <c r="F18" s="2373"/>
      <c r="G18" s="2373"/>
      <c r="H18" s="2373"/>
      <c r="I18" s="2373"/>
      <c r="J18" s="2374"/>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9"/>
    </row>
    <row r="19" spans="1:37" s="2195" customFormat="1" ht="27.75" thickBot="1">
      <c r="A19" s="2239" t="s">
        <v>809</v>
      </c>
      <c r="B19" s="2240" t="s">
        <v>2709</v>
      </c>
      <c r="C19" s="856" t="e">
        <f>ROUND(IF(H19="按公示增长率计算",SUMPRODUCT((地价!A3:A32=YEAR(G19)&amp;"-"&amp;ROUNDUP(MONTH(G19)/3,0))*(地价!X2:AB2=E2)*(地价!X3:AB32)),IF(H19="地价指数",M20/M19,(1+I19)^O19)),4)</f>
        <v>#VALUE!</v>
      </c>
      <c r="D19" s="2244" t="s">
        <v>2710</v>
      </c>
      <c r="E19" s="857">
        <v>41640</v>
      </c>
      <c r="F19" s="2244" t="s">
        <v>2711</v>
      </c>
      <c r="G19" s="858">
        <f>'数据-取费表'!B2</f>
        <v>44187</v>
      </c>
      <c r="H19" s="2245"/>
      <c r="I19" s="859" t="str">
        <f>IF(H19="季度增幅（自定义）",SUMIF(N21:N24,E2,O21:O24),"")</f>
        <v/>
      </c>
      <c r="J19" s="2242"/>
      <c r="K19" s="1280"/>
      <c r="L19" s="2246" t="s">
        <v>2712</v>
      </c>
      <c r="M19" s="1490">
        <f>ROUND(SUMIF(地价!B2:F2,E2,地价!B32:F32),0)</f>
        <v>0</v>
      </c>
      <c r="N19" s="2247" t="s">
        <v>2713</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2"/>
      <c r="AH19" s="2333"/>
      <c r="AI19" s="3013"/>
      <c r="AJ19" s="3013"/>
      <c r="AK19" s="2248"/>
    </row>
    <row r="20" spans="1:37" s="2195" customFormat="1" ht="27.75" thickBot="1">
      <c r="A20" s="2249" t="s">
        <v>810</v>
      </c>
      <c r="B20" s="2250" t="s">
        <v>2714</v>
      </c>
      <c r="C20" s="861" t="e">
        <f>ROUND(POWER(1+G20,J20-I20)*(POWER(1+G20,I20)-1)/(POWER(1+G20,J20)-1),4)</f>
        <v>#DIV/0!</v>
      </c>
      <c r="D20" s="2251" t="s">
        <v>2715</v>
      </c>
      <c r="E20" s="1499">
        <f ca="1">存贷款利率!D4/100</f>
        <v>4.3499999999999997E-2</v>
      </c>
      <c r="F20" s="2251" t="s">
        <v>2707</v>
      </c>
      <c r="G20" s="866">
        <f>SUMIF(M26:P26,E2,M28:P28)</f>
        <v>0</v>
      </c>
      <c r="H20" s="2251" t="s">
        <v>2716</v>
      </c>
      <c r="I20" s="867" t="e">
        <f>SUMIF('数据-取费表'!C6:C15,E2,'数据-取费表'!F6:F15)/COUNTIF('数据-取费表'!C6:C15,E2)</f>
        <v>#DIV/0!</v>
      </c>
      <c r="J20" s="868">
        <f>IF(E2="住宅",70,IF(E2="商业",40,50))</f>
        <v>50</v>
      </c>
      <c r="K20" s="1280"/>
      <c r="L20" s="2252" t="s">
        <v>2717</v>
      </c>
      <c r="M20" s="1491">
        <f>ROUND(SUMPRODUCT((地价!A4:A32=YEAR(G19)&amp;"-"&amp;ROUNDUP(MONTH(G19)/3,0))*(地价!B2:F2=E2)*(地价!B4:F32)),0)</f>
        <v>0</v>
      </c>
      <c r="N20" s="2253" t="s">
        <v>2718</v>
      </c>
      <c r="O20" s="2254" t="s">
        <v>2719</v>
      </c>
      <c r="P20" s="2255" t="s">
        <v>2720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5" customFormat="1" ht="15">
      <c r="A21" s="2256" t="s">
        <v>811</v>
      </c>
      <c r="B21" s="2257" t="s">
        <v>2721</v>
      </c>
      <c r="C21" s="869">
        <f>IF(B21="容积率修正",IF(G3&lt;=10,D22,J22),C23)</f>
        <v>0</v>
      </c>
      <c r="D21" s="2258"/>
      <c r="E21" s="2258"/>
      <c r="F21" s="2258"/>
      <c r="G21" s="2258"/>
      <c r="H21" s="2258"/>
      <c r="I21" s="2258"/>
      <c r="J21" s="2259"/>
      <c r="K21" s="1280"/>
      <c r="L21" s="3009"/>
      <c r="M21" s="3009"/>
      <c r="N21" s="2260" t="s">
        <v>2722</v>
      </c>
      <c r="O21" s="1328"/>
      <c r="P21" s="1329">
        <f>SUMPRODUCT((地价!A3:A32=YEAR(G19)&amp;"-"&amp;ROUNDUP(MONTH(G19)/3,0))*(地价!AD2:AH2=N21)*(地价!AD3:AH32))</f>
        <v>1.14E-2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5" customFormat="1" ht="14.25">
      <c r="A22" s="2134" t="s">
        <v>2723</v>
      </c>
      <c r="B22" s="2261" t="s">
        <v>2724</v>
      </c>
      <c r="C22" s="1530" t="s">
        <v>2725</v>
      </c>
      <c r="D22" s="1530" t="b">
        <f>IF(E22=G22,F22,IF(G3&lt;=10,ROUND(F22+(H22-F22)*(G3-E22)/(G22-E22),4),"——"))</f>
        <v>0</v>
      </c>
      <c r="E22" s="848">
        <f>ROUNDDOWN(G3,1)</f>
        <v>1.7</v>
      </c>
      <c r="F22" s="1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1.7</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0" t="s">
        <v>155</v>
      </c>
      <c r="J22" s="870" t="str">
        <f>IF(G3&gt;10,D113,"——")</f>
        <v>——</v>
      </c>
      <c r="K22" s="1280"/>
      <c r="L22" s="3009"/>
      <c r="M22" s="3009"/>
      <c r="N22" s="2260" t="s">
        <v>2726</v>
      </c>
      <c r="O22" s="1328"/>
      <c r="P22" s="1329">
        <f>SUMPRODUCT((地价!A3:A32=YEAR(G19)&amp;"-"&amp;ROUNDUP(MONTH(G19)/3,0))*(地价!AD2:AH2=N22)*(地价!AD3:AH32))</f>
        <v>1.14E-2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4" t="s">
        <v>2727</v>
      </c>
      <c r="B23" s="2262" t="s">
        <v>2728</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2729</v>
      </c>
      <c r="O23" s="1328"/>
      <c r="P23" s="1329">
        <f>SUMPRODUCT((地价!A3:A32=YEAR(G19)&amp;"-"&amp;ROUNDUP(MONTH(G19)/3,0))*(地价!AD2:AH2=N23)*(地价!AD3:AH32))</f>
        <v>1.9199999999999998E-2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2730</v>
      </c>
      <c r="C24" s="856">
        <f>SUMIF(A45:A88,E2,B45:B88)</f>
        <v>0</v>
      </c>
      <c r="D24" s="2241"/>
      <c r="E24" s="2268"/>
      <c r="F24" s="2268"/>
      <c r="G24" s="2268"/>
      <c r="H24" s="2268"/>
      <c r="I24" s="2268"/>
      <c r="J24" s="2269"/>
      <c r="K24" s="1280"/>
      <c r="L24" s="3009"/>
      <c r="M24" s="3009"/>
      <c r="N24" s="2270" t="s">
        <v>2731</v>
      </c>
      <c r="O24" s="1330"/>
      <c r="P24" s="1331">
        <f>SUMPRODUCT((地价!A3:A32=YEAR(G19)&amp;"-"&amp;ROUNDUP(MONTH(G19)/3,0))*(地价!AD2:AH2=N24)*(地价!AD3:AH32))</f>
        <v>1.23E-2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9" t="s">
        <v>813</v>
      </c>
      <c r="B25" s="2271" t="s">
        <v>2732</v>
      </c>
      <c r="C25" s="862"/>
      <c r="D25" s="2205"/>
      <c r="E25" s="2205"/>
      <c r="F25" s="2272"/>
      <c r="G25" s="2205"/>
      <c r="H25" s="2205"/>
      <c r="I25" s="2205"/>
      <c r="J25" s="2206"/>
      <c r="K25" s="1273"/>
      <c r="L25" s="2176"/>
      <c r="M25" s="2176"/>
      <c r="N25" s="3004" t="s">
        <v>2733</v>
      </c>
      <c r="O25" s="3005"/>
      <c r="P25" s="3006">
        <f>SUMPRODUCT((地价!A3:A32=YEAR(G19)&amp;"-"&amp;ROUNDUP(MONTH(G19)/3,0))*(地价!AD2:AH2=N25)*(地价!AD3:AH32))</f>
        <v>1.7399999999999999E-2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2734</v>
      </c>
      <c r="C26" s="2535" t="e">
        <f>IF(B21="容积率修正",E29+SUM(E33:E39),SUM(V2:V16)+SUM(E33:E39))</f>
        <v>#DIV/0!</v>
      </c>
      <c r="D26" s="2274"/>
      <c r="E26" s="2230"/>
      <c r="F26" s="2275"/>
      <c r="G26" s="2230"/>
      <c r="H26" s="2230"/>
      <c r="I26" s="2230"/>
      <c r="J26" s="2276"/>
      <c r="K26" s="1273"/>
      <c r="L26" s="3007" t="s">
        <v>2632</v>
      </c>
      <c r="M26" s="2203" t="s">
        <v>2697</v>
      </c>
      <c r="N26" s="2203" t="s">
        <v>2698</v>
      </c>
      <c r="O26" s="2203" t="s">
        <v>2699</v>
      </c>
      <c r="P26" s="3008" t="s">
        <v>2700</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2735</v>
      </c>
      <c r="C27" s="863" t="e">
        <f>E30+SUM(I33:I39)</f>
        <v>#DIV/0!</v>
      </c>
      <c r="D27" s="2278"/>
      <c r="E27" s="2279"/>
      <c r="F27" s="2280"/>
      <c r="G27" s="2279"/>
      <c r="H27" s="2279"/>
      <c r="I27" s="2279"/>
      <c r="J27" s="2281"/>
      <c r="K27" s="1273"/>
      <c r="L27" s="2236" t="s">
        <v>2704</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3"/>
      <c r="L28" s="2237" t="s">
        <v>2707</v>
      </c>
      <c r="M28" s="182">
        <f ca="1">ROUND($E$20*(1+M27),3)</f>
        <v>5.3999999999999999E-2</v>
      </c>
      <c r="N28" s="182">
        <f ca="1">ROUND($E$20*(1+N27),3)</f>
        <v>5.1999999999999998E-2</v>
      </c>
      <c r="O28" s="182">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2740</v>
      </c>
      <c r="C29" s="179" t="e">
        <f>ROUND(C5*C18*C19*C20*C21*C24,0)</f>
        <v>#DIV/0!</v>
      </c>
      <c r="D29" s="2289"/>
      <c r="E29" s="872" t="e">
        <f>ROUND(C29*D29/10000,0)</f>
        <v>#DIV/0!</v>
      </c>
      <c r="F29" s="2290" t="s">
        <v>2741</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2742</v>
      </c>
      <c r="C30" s="192" t="e">
        <f>ROUND(IF(E2="工业",C29*M39,C29*M38),0)</f>
        <v>#DIV/0!</v>
      </c>
      <c r="D30" s="2295"/>
      <c r="E30" s="872" t="e">
        <f>ROUND(C30*D30/10000,0)</f>
        <v>#DIV/0!</v>
      </c>
      <c r="F30" s="2296" t="s">
        <v>2743</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2744</v>
      </c>
      <c r="C31" s="2301" t="s">
        <v>2745</v>
      </c>
      <c r="D31" s="2218"/>
      <c r="E31" s="2301"/>
      <c r="F31" s="2301"/>
      <c r="G31" s="2216" t="s">
        <v>2746</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7" t="s">
        <v>2737</v>
      </c>
      <c r="D32" s="454" t="s">
        <v>2738</v>
      </c>
      <c r="E32" s="454" t="s">
        <v>2739</v>
      </c>
      <c r="F32" s="347" t="s">
        <v>2747</v>
      </c>
      <c r="G32" s="2304" t="s">
        <v>2737</v>
      </c>
      <c r="H32" s="2304" t="s">
        <v>2738</v>
      </c>
      <c r="I32" s="2304" t="s">
        <v>2739</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09"/>
      <c r="B33" s="2305" t="s">
        <v>2748</v>
      </c>
      <c r="C33" s="179" t="e">
        <f>ROUND(D5*C19*C20*C24*F33,0)</f>
        <v>#DIV/0!</v>
      </c>
      <c r="D33" s="2289"/>
      <c r="E33" s="175" t="e">
        <f>ROUND(C33*D33/10000,0)</f>
        <v>#DIV/0!</v>
      </c>
      <c r="F33" s="175">
        <f>SUMIF(修正!A45:A56,G2,修正!B45:B56)</f>
        <v>0</v>
      </c>
      <c r="G33" s="175" t="e">
        <f>ROUND(IF(E2="工业",C33*$M$39,C33*$M$38),0)</f>
        <v>#DIV/0!</v>
      </c>
      <c r="H33" s="175">
        <f>D33</f>
        <v>0</v>
      </c>
      <c r="I33" s="175" t="e">
        <f>ROUND(G33*H33/10000,0)</f>
        <v>#DIV/0!</v>
      </c>
      <c r="J33" s="3414" t="s">
        <v>3053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10"/>
      <c r="B34" s="2222" t="s">
        <v>2749</v>
      </c>
      <c r="C34" s="179" t="e">
        <f>ROUND(D5*C19*C20*C24*F34,0)</f>
        <v>#DIV/0!</v>
      </c>
      <c r="D34" s="2289"/>
      <c r="E34" s="175" t="e">
        <f t="shared" ref="E34:E39" si="6">ROUND(C34*D34/10000,0)</f>
        <v>#DIV/0!</v>
      </c>
      <c r="F34" s="175">
        <f>SUMIF(修正!A45:A56,G2,修正!C45:C56)</f>
        <v>0</v>
      </c>
      <c r="G34" s="175" t="e">
        <f>ROUND(IF(E2="工业",C34*$M$39,C34*$M$38),0)</f>
        <v>#DIV/0!</v>
      </c>
      <c r="H34" s="175">
        <f t="shared" ref="H34:H39" si="7">D34</f>
        <v>0</v>
      </c>
      <c r="I34" s="175" t="e">
        <f t="shared" ref="I34:I39" si="8">ROUND(G34*H34/10000,0)</f>
        <v>#DIV/0!</v>
      </c>
      <c r="J34" s="341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10"/>
      <c r="B35" s="2222" t="s">
        <v>2750</v>
      </c>
      <c r="C35" s="179" t="e">
        <f>ROUND(D5*C19*C20*C24*F35,0)</f>
        <v>#DIV/0!</v>
      </c>
      <c r="D35" s="2289"/>
      <c r="E35" s="175" t="e">
        <f t="shared" si="6"/>
        <v>#DIV/0!</v>
      </c>
      <c r="F35" s="175">
        <f>SUMIF(修正!A45:A56,G2,修正!D45:D56)</f>
        <v>0</v>
      </c>
      <c r="G35" s="175" t="e">
        <f>ROUND(IF(E2="工业",C35*$M$39,C35*$M$38),0)</f>
        <v>#DIV/0!</v>
      </c>
      <c r="H35" s="175">
        <f t="shared" si="7"/>
        <v>0</v>
      </c>
      <c r="I35" s="175" t="e">
        <f t="shared" si="8"/>
        <v>#DIV/0!</v>
      </c>
      <c r="J35" s="341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11"/>
      <c r="B36" s="2222" t="s">
        <v>2751</v>
      </c>
      <c r="C36" s="179" t="e">
        <f>ROUND(D5*C19*C20*C24*F36,0)</f>
        <v>#DIV/0!</v>
      </c>
      <c r="D36" s="2289"/>
      <c r="E36" s="175" t="e">
        <f t="shared" si="6"/>
        <v>#DIV/0!</v>
      </c>
      <c r="F36" s="175">
        <f>SUMIF(修正!A45:A56,G2,修正!E45:E56)</f>
        <v>0</v>
      </c>
      <c r="G36" s="175" t="e">
        <f>ROUND(IF(E2="工业",C36*$M$39,C36*$M$38),0)</f>
        <v>#DIV/0!</v>
      </c>
      <c r="H36" s="175">
        <f t="shared" si="7"/>
        <v>0</v>
      </c>
      <c r="I36" s="175" t="e">
        <f t="shared" si="8"/>
        <v>#DIV/0!</v>
      </c>
      <c r="J36" s="3411"/>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2752</v>
      </c>
      <c r="C37" s="175" t="e">
        <f>ROUND(D5*C19*C20*C24*F37,0)</f>
        <v>#DIV/0!</v>
      </c>
      <c r="D37" s="2289"/>
      <c r="E37" s="175" t="e">
        <f t="shared" si="6"/>
        <v>#DIV/0!</v>
      </c>
      <c r="F37" s="179">
        <f>SUMIF(修正!A45:A56,G2,修正!F45:F56)</f>
        <v>0</v>
      </c>
      <c r="G37" s="175" t="e">
        <f>ROUND(IF(E2="工业",C37*$M$39,C37*$M$38),0)</f>
        <v>#DIV/0!</v>
      </c>
      <c r="H37" s="175">
        <f t="shared" si="7"/>
        <v>0</v>
      </c>
      <c r="I37" s="175" t="e">
        <f t="shared" si="8"/>
        <v>#DIV/0!</v>
      </c>
      <c r="J37" s="2306"/>
      <c r="K37" s="1273"/>
      <c r="L37" s="2308" t="s">
        <v>2753</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2754</v>
      </c>
      <c r="C38" s="175" t="e">
        <f>ROUND(D5*C19*C41*C24*F38,0)</f>
        <v>#DIV/0!</v>
      </c>
      <c r="D38" s="2289"/>
      <c r="E38" s="175" t="e">
        <f t="shared" si="6"/>
        <v>#DIV/0!</v>
      </c>
      <c r="F38" s="179">
        <f>SUMIF(修正!A45:A56,G2,修正!G45:G56)</f>
        <v>0</v>
      </c>
      <c r="G38" s="175" t="e">
        <f>ROUND(IF(E2="工业",C38*$M$39,C38*$M$38),0)</f>
        <v>#DIV/0!</v>
      </c>
      <c r="H38" s="175">
        <f t="shared" si="7"/>
        <v>0</v>
      </c>
      <c r="I38" s="175" t="e">
        <f t="shared" si="8"/>
        <v>#DIV/0!</v>
      </c>
      <c r="J38" s="2306"/>
      <c r="K38" s="1273"/>
      <c r="L38" s="1599" t="s">
        <v>2755</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2756</v>
      </c>
      <c r="C39" s="192" t="e">
        <f>ROUND(D5*C19*C41*C24*F39,0)</f>
        <v>#DIV/0!</v>
      </c>
      <c r="D39" s="2295"/>
      <c r="E39" s="192" t="e">
        <f t="shared" si="6"/>
        <v>#DIV/0!</v>
      </c>
      <c r="F39" s="864">
        <f>SUMIF(修正!A45:A56,G2,修正!H45:H56)</f>
        <v>0</v>
      </c>
      <c r="G39" s="192" t="e">
        <f>ROUND(IF(E2="工业",C39*$M$39,C39*$M$38),0)</f>
        <v>#DIV/0!</v>
      </c>
      <c r="H39" s="192">
        <f t="shared" si="7"/>
        <v>0</v>
      </c>
      <c r="I39" s="192" t="e">
        <f t="shared" si="8"/>
        <v>#DIV/0!</v>
      </c>
      <c r="J39" s="2312"/>
      <c r="K39" s="1273"/>
      <c r="L39" s="2313" t="s">
        <v>2700</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2861</v>
      </c>
      <c r="C41" s="347" t="e">
        <f>ROUND(POWER(1+E41,H41-G41)*(POWER(1+E41,G41)-1)/(POWER(1+E41,H41)-1),4)</f>
        <v>#DIV/0!</v>
      </c>
      <c r="D41" s="175" t="s">
        <v>2707</v>
      </c>
      <c r="E41" s="2362">
        <f>G20</f>
        <v>0</v>
      </c>
      <c r="F41" s="175" t="s">
        <v>2716</v>
      </c>
      <c r="G41" s="188"/>
      <c r="H41" s="175">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2757</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2758</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2759</v>
      </c>
      <c r="B47" s="1529" t="s">
        <v>2760</v>
      </c>
      <c r="C47" s="1529" t="s">
        <v>2761</v>
      </c>
      <c r="D47" s="1529" t="s">
        <v>2762</v>
      </c>
      <c r="E47" s="751" t="s">
        <v>2763</v>
      </c>
      <c r="F47" s="2323" t="s">
        <v>2764</v>
      </c>
      <c r="G47" s="1529" t="s">
        <v>754</v>
      </c>
      <c r="H47" s="2324" t="s">
        <v>2765</v>
      </c>
      <c r="I47" s="1529" t="s">
        <v>2766</v>
      </c>
      <c r="J47" s="559" t="s">
        <v>2415</v>
      </c>
      <c r="K47" s="559" t="s">
        <v>2416</v>
      </c>
      <c r="L47" s="559" t="s">
        <v>2417</v>
      </c>
      <c r="M47" s="559" t="s">
        <v>2418</v>
      </c>
      <c r="N47" s="559" t="s">
        <v>2419</v>
      </c>
      <c r="AA47" s="1274"/>
      <c r="AB47" s="1274"/>
      <c r="AC47" s="1274"/>
      <c r="AD47" s="1274"/>
      <c r="AE47" s="1274"/>
      <c r="AF47" s="1274"/>
      <c r="AG47" s="1274"/>
      <c r="AH47" s="1274"/>
      <c r="AI47" s="1274"/>
      <c r="AJ47" s="1274"/>
      <c r="AK47" s="1274"/>
    </row>
    <row r="48" spans="1:37" s="1273" customFormat="1" ht="38.25">
      <c r="A48" s="2322" t="s">
        <v>2767</v>
      </c>
      <c r="B48" s="2325" t="str">
        <f>估价对象房地状况!C4</f>
        <v>估价对象位于XX商圈，周边商业氛围成熟，人流量大，商业繁华度好</v>
      </c>
      <c r="C48" s="2227"/>
      <c r="D48" s="1189">
        <f t="shared" ref="D48:D56" si="9">SUMIF($J$47:$N$47,C48,J48:N48)</f>
        <v>0</v>
      </c>
      <c r="E48" s="753">
        <f>ROUND(SUM(D48:D56),4)</f>
        <v>0</v>
      </c>
      <c r="F48" s="1993" t="str">
        <f>IF(E2="商业",SUMIF(L1:L12,G2,N1:N12),"——")</f>
        <v>——</v>
      </c>
      <c r="G48" s="1187"/>
      <c r="H48" s="1191" t="str">
        <f t="shared" ref="H48:H56" si="10">IFERROR(ROUNDDOWN($F$48*I48/2,4),"——")</f>
        <v>——</v>
      </c>
      <c r="I48" s="752">
        <v>0.33</v>
      </c>
      <c r="J48" s="1188">
        <f t="shared" ref="J48:J56" si="11">K48+$G48</f>
        <v>0</v>
      </c>
      <c r="K48" s="1188">
        <f t="shared" ref="K48:K56" si="12">$L48+$G48</f>
        <v>0</v>
      </c>
      <c r="L48" s="1188">
        <v>0</v>
      </c>
      <c r="M48" s="1188">
        <f t="shared" ref="M48:N56" si="13">L48-$G48</f>
        <v>0</v>
      </c>
      <c r="N48" s="1188">
        <f t="shared" si="13"/>
        <v>0</v>
      </c>
      <c r="AA48" s="1274"/>
      <c r="AB48" s="1274"/>
      <c r="AC48" s="1274"/>
      <c r="AD48" s="1274"/>
      <c r="AE48" s="1274"/>
      <c r="AF48" s="1274"/>
      <c r="AG48" s="1274"/>
      <c r="AH48" s="1274"/>
      <c r="AI48" s="1274"/>
      <c r="AJ48" s="1274"/>
      <c r="AK48" s="1274"/>
    </row>
    <row r="49" spans="1:37" s="1273" customFormat="1" ht="51">
      <c r="A49" s="2322" t="s">
        <v>2768</v>
      </c>
      <c r="B49" s="2326" t="str">
        <f>估价对象房地状况!C18</f>
        <v>周边有438路、365路、449路、570路等多条公交线路及地铁16号线永丰站，交通便捷度较好。</v>
      </c>
      <c r="C49" s="2227"/>
      <c r="D49" s="1189">
        <f t="shared" si="9"/>
        <v>0</v>
      </c>
      <c r="E49" s="754"/>
      <c r="F49" s="1993"/>
      <c r="G49" s="1187"/>
      <c r="H49" s="1191" t="str">
        <f t="shared" si="10"/>
        <v>——</v>
      </c>
      <c r="I49" s="752">
        <v>0.25</v>
      </c>
      <c r="J49" s="1188">
        <f t="shared" si="11"/>
        <v>0</v>
      </c>
      <c r="K49" s="1188">
        <f t="shared" si="12"/>
        <v>0</v>
      </c>
      <c r="L49" s="1188">
        <v>0</v>
      </c>
      <c r="M49" s="1188">
        <f t="shared" si="13"/>
        <v>0</v>
      </c>
      <c r="N49" s="1188">
        <f t="shared" si="13"/>
        <v>0</v>
      </c>
      <c r="AA49" s="1274"/>
      <c r="AB49" s="1274"/>
      <c r="AC49" s="1274"/>
      <c r="AD49" s="1274"/>
      <c r="AE49" s="1274"/>
      <c r="AF49" s="1274"/>
      <c r="AG49" s="1274"/>
      <c r="AH49" s="1274"/>
      <c r="AI49" s="1274"/>
      <c r="AJ49" s="1274"/>
      <c r="AK49" s="1274"/>
    </row>
    <row r="50" spans="1:37" s="1273" customFormat="1" ht="25.5">
      <c r="A50" s="2322" t="s">
        <v>2769</v>
      </c>
      <c r="B50" s="2326" t="str">
        <f>估价对象房地状况!C19</f>
        <v>有部分有其他用地，对本宗地略有影响。</v>
      </c>
      <c r="C50" s="2227"/>
      <c r="D50" s="1189">
        <f t="shared" si="9"/>
        <v>0</v>
      </c>
      <c r="E50" s="754"/>
      <c r="F50" s="1993"/>
      <c r="G50" s="1187"/>
      <c r="H50" s="1191" t="str">
        <f t="shared" si="10"/>
        <v>——</v>
      </c>
      <c r="I50" s="752">
        <v>0.05</v>
      </c>
      <c r="J50" s="1188">
        <f t="shared" si="11"/>
        <v>0</v>
      </c>
      <c r="K50" s="1188">
        <f t="shared" si="12"/>
        <v>0</v>
      </c>
      <c r="L50" s="1188">
        <v>0</v>
      </c>
      <c r="M50" s="1188">
        <f t="shared" si="13"/>
        <v>0</v>
      </c>
      <c r="N50" s="1188">
        <f t="shared" si="13"/>
        <v>0</v>
      </c>
      <c r="AA50" s="1274"/>
      <c r="AB50" s="1274"/>
      <c r="AC50" s="1274"/>
      <c r="AD50" s="1274"/>
      <c r="AE50" s="1274"/>
      <c r="AF50" s="1274"/>
      <c r="AG50" s="1274"/>
      <c r="AH50" s="1274"/>
      <c r="AI50" s="1274"/>
      <c r="AJ50" s="1274"/>
      <c r="AK50" s="1274"/>
    </row>
    <row r="51" spans="1:37" s="1273" customFormat="1" ht="36.75">
      <c r="A51" s="2322" t="s">
        <v>2770</v>
      </c>
      <c r="B51" s="2327" t="s">
        <v>2771</v>
      </c>
      <c r="C51" s="2227"/>
      <c r="D51" s="1189">
        <f t="shared" si="9"/>
        <v>0</v>
      </c>
      <c r="E51" s="754"/>
      <c r="F51" s="1993"/>
      <c r="G51" s="1187"/>
      <c r="H51" s="1191" t="str">
        <f t="shared" si="10"/>
        <v>——</v>
      </c>
      <c r="I51" s="752">
        <v>0.05</v>
      </c>
      <c r="J51" s="1188">
        <f t="shared" si="11"/>
        <v>0</v>
      </c>
      <c r="K51" s="1188">
        <f t="shared" si="12"/>
        <v>0</v>
      </c>
      <c r="L51" s="1188">
        <v>0</v>
      </c>
      <c r="M51" s="1188">
        <f t="shared" si="13"/>
        <v>0</v>
      </c>
      <c r="N51" s="1188">
        <f t="shared" si="13"/>
        <v>0</v>
      </c>
      <c r="AA51" s="1274"/>
      <c r="AB51" s="1274"/>
      <c r="AC51" s="1274"/>
      <c r="AD51" s="1274"/>
      <c r="AE51" s="1274"/>
      <c r="AF51" s="1274"/>
      <c r="AG51" s="1274"/>
      <c r="AH51" s="1274"/>
      <c r="AI51" s="1274"/>
      <c r="AJ51" s="1274"/>
      <c r="AK51" s="1274"/>
    </row>
    <row r="52" spans="1:37" s="1273" customFormat="1" ht="24">
      <c r="A52" s="2322" t="s">
        <v>2772</v>
      </c>
      <c r="B52" s="2326" t="str">
        <f>估价对象房地状况!C24</f>
        <v>城市支路—宏丰渠东路</v>
      </c>
      <c r="C52" s="2227"/>
      <c r="D52" s="1189">
        <f t="shared" si="9"/>
        <v>0</v>
      </c>
      <c r="E52" s="754"/>
      <c r="F52" s="1993"/>
      <c r="G52" s="1187"/>
      <c r="H52" s="1191" t="str">
        <f t="shared" si="10"/>
        <v>——</v>
      </c>
      <c r="I52" s="752">
        <v>0.08</v>
      </c>
      <c r="J52" s="1188">
        <f t="shared" si="11"/>
        <v>0</v>
      </c>
      <c r="K52" s="1188">
        <f t="shared" si="12"/>
        <v>0</v>
      </c>
      <c r="L52" s="1188">
        <v>0</v>
      </c>
      <c r="M52" s="1188">
        <f t="shared" si="13"/>
        <v>0</v>
      </c>
      <c r="N52" s="1188">
        <f t="shared" si="13"/>
        <v>0</v>
      </c>
      <c r="AA52" s="1274"/>
      <c r="AB52" s="1274"/>
      <c r="AC52" s="1274"/>
      <c r="AD52" s="1274"/>
      <c r="AE52" s="1274"/>
      <c r="AF52" s="1274"/>
      <c r="AG52" s="1274"/>
      <c r="AH52" s="1274"/>
      <c r="AI52" s="1274"/>
      <c r="AJ52" s="1274"/>
      <c r="AK52" s="1274"/>
    </row>
    <row r="53" spans="1:37" s="1273" customFormat="1" ht="24">
      <c r="A53" s="2322" t="s">
        <v>2773</v>
      </c>
      <c r="B53" s="2328" t="s">
        <v>2774</v>
      </c>
      <c r="C53" s="2227"/>
      <c r="D53" s="1189">
        <f t="shared" si="9"/>
        <v>0</v>
      </c>
      <c r="E53" s="754"/>
      <c r="F53" s="1993"/>
      <c r="G53" s="1187"/>
      <c r="H53" s="1191" t="str">
        <f t="shared" si="10"/>
        <v>——</v>
      </c>
      <c r="I53" s="752">
        <v>0.03</v>
      </c>
      <c r="J53" s="1188">
        <f t="shared" si="11"/>
        <v>0</v>
      </c>
      <c r="K53" s="1188">
        <f t="shared" si="12"/>
        <v>0</v>
      </c>
      <c r="L53" s="1188">
        <v>0</v>
      </c>
      <c r="M53" s="1188">
        <f t="shared" si="13"/>
        <v>0</v>
      </c>
      <c r="N53" s="1188">
        <f t="shared" si="13"/>
        <v>0</v>
      </c>
      <c r="AA53" s="1274"/>
      <c r="AB53" s="1274"/>
      <c r="AC53" s="1274"/>
      <c r="AD53" s="1274"/>
      <c r="AE53" s="1274"/>
      <c r="AF53" s="1274"/>
      <c r="AG53" s="1274"/>
      <c r="AH53" s="1274"/>
      <c r="AI53" s="1274"/>
      <c r="AJ53" s="1274"/>
      <c r="AK53" s="1274"/>
    </row>
    <row r="54" spans="1:37" s="1273" customFormat="1" ht="89.25">
      <c r="A54" s="2329" t="s">
        <v>2775</v>
      </c>
      <c r="B54" s="1488" t="str">
        <f>估价对象房地状况!C21</f>
        <v>周边1公里范围内有购物场所（华联超市）、医院（无）、银行（工商银行、北京农商银行）、学校（海淀科技园小学）、餐饮等公共服务配套设施，公共配套设施状况一般。</v>
      </c>
      <c r="C54" s="2227"/>
      <c r="D54" s="1189">
        <f t="shared" si="9"/>
        <v>0</v>
      </c>
      <c r="E54" s="754"/>
      <c r="F54" s="1993"/>
      <c r="G54" s="1187"/>
      <c r="H54" s="1191" t="str">
        <f t="shared" si="10"/>
        <v>——</v>
      </c>
      <c r="I54" s="752">
        <v>0.05</v>
      </c>
      <c r="J54" s="1188">
        <f t="shared" si="11"/>
        <v>0</v>
      </c>
      <c r="K54" s="1188">
        <f t="shared" si="12"/>
        <v>0</v>
      </c>
      <c r="L54" s="1188">
        <v>0</v>
      </c>
      <c r="M54" s="1188">
        <f t="shared" si="13"/>
        <v>0</v>
      </c>
      <c r="N54" s="1188">
        <f t="shared" si="13"/>
        <v>0</v>
      </c>
      <c r="AA54" s="1274"/>
      <c r="AB54" s="1274"/>
      <c r="AC54" s="1274"/>
      <c r="AD54" s="1274"/>
      <c r="AE54" s="1274"/>
      <c r="AF54" s="1274"/>
      <c r="AG54" s="1274"/>
      <c r="AH54" s="1274"/>
      <c r="AI54" s="1274"/>
      <c r="AJ54" s="1274"/>
      <c r="AK54" s="1274"/>
    </row>
    <row r="55" spans="1:37" s="1273" customFormat="1" ht="24">
      <c r="A55" s="2329" t="s">
        <v>2776</v>
      </c>
      <c r="B55" s="2326" t="str">
        <f>估价对象房地状况!C22</f>
        <v>七通</v>
      </c>
      <c r="C55" s="2227"/>
      <c r="D55" s="1189">
        <f t="shared" si="9"/>
        <v>0</v>
      </c>
      <c r="E55" s="754"/>
      <c r="F55" s="1993"/>
      <c r="G55" s="1187"/>
      <c r="H55" s="1191" t="str">
        <f t="shared" si="10"/>
        <v>——</v>
      </c>
      <c r="I55" s="752">
        <v>0.1</v>
      </c>
      <c r="J55" s="1188">
        <f t="shared" si="11"/>
        <v>0</v>
      </c>
      <c r="K55" s="1188">
        <f t="shared" si="12"/>
        <v>0</v>
      </c>
      <c r="L55" s="1188">
        <v>0</v>
      </c>
      <c r="M55" s="1188">
        <f t="shared" si="13"/>
        <v>0</v>
      </c>
      <c r="N55" s="1188">
        <f t="shared" si="13"/>
        <v>0</v>
      </c>
      <c r="AA55" s="1274"/>
      <c r="AB55" s="1274"/>
      <c r="AC55" s="1274"/>
      <c r="AD55" s="1274"/>
      <c r="AE55" s="1274"/>
      <c r="AF55" s="1274"/>
      <c r="AG55" s="1274"/>
      <c r="AH55" s="1274"/>
      <c r="AI55" s="1274"/>
      <c r="AJ55" s="1274"/>
      <c r="AK55" s="1274"/>
    </row>
    <row r="56" spans="1:37" s="1273" customFormat="1" ht="51.75" thickBot="1">
      <c r="A56" s="2330" t="s">
        <v>2777</v>
      </c>
      <c r="B56" s="2331" t="str">
        <f>估价对象房地状况!C20</f>
        <v>周边1公里无大型公园，人文环境有北京北大资源研修学院，自然及人文环境一般。</v>
      </c>
      <c r="C56" s="2227"/>
      <c r="D56" s="1189">
        <f t="shared" si="9"/>
        <v>0</v>
      </c>
      <c r="E56" s="757"/>
      <c r="F56" s="1993"/>
      <c r="G56" s="1187"/>
      <c r="H56" s="1191" t="str">
        <f t="shared" si="10"/>
        <v>——</v>
      </c>
      <c r="I56" s="756">
        <v>0.06</v>
      </c>
      <c r="J56" s="1188">
        <f t="shared" si="11"/>
        <v>0</v>
      </c>
      <c r="K56" s="1188">
        <f t="shared" si="12"/>
        <v>0</v>
      </c>
      <c r="L56" s="1188">
        <v>0</v>
      </c>
      <c r="M56" s="1188">
        <f t="shared" si="13"/>
        <v>0</v>
      </c>
      <c r="N56" s="1188">
        <f t="shared" si="13"/>
        <v>0</v>
      </c>
      <c r="AA56" s="1274"/>
      <c r="AB56" s="1274"/>
      <c r="AC56" s="1274"/>
      <c r="AD56" s="1274"/>
      <c r="AE56" s="1274"/>
      <c r="AF56" s="1274"/>
      <c r="AG56" s="1274"/>
      <c r="AH56" s="1274"/>
      <c r="AI56" s="1274"/>
      <c r="AJ56" s="1274"/>
      <c r="AK56" s="1274"/>
    </row>
    <row r="57" spans="1:37" s="1273" customFormat="1" ht="15">
      <c r="A57" s="2318" t="s">
        <v>2778</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2759</v>
      </c>
      <c r="B58" s="1529"/>
      <c r="C58" s="1529" t="s">
        <v>2761</v>
      </c>
      <c r="D58" s="1529" t="s">
        <v>2762</v>
      </c>
      <c r="E58" s="751" t="s">
        <v>2763</v>
      </c>
      <c r="F58" s="2323" t="s">
        <v>2779</v>
      </c>
      <c r="G58" s="1529" t="s">
        <v>754</v>
      </c>
      <c r="H58" s="2324" t="s">
        <v>2765</v>
      </c>
      <c r="I58" s="1529" t="s">
        <v>2766</v>
      </c>
      <c r="J58" s="559" t="s">
        <v>2415</v>
      </c>
      <c r="K58" s="559" t="s">
        <v>2416</v>
      </c>
      <c r="L58" s="559" t="s">
        <v>2417</v>
      </c>
      <c r="M58" s="559" t="s">
        <v>2418</v>
      </c>
      <c r="N58" s="559" t="s">
        <v>2419</v>
      </c>
      <c r="AA58" s="1274"/>
      <c r="AB58" s="1274"/>
      <c r="AC58" s="1274"/>
      <c r="AD58" s="1274"/>
      <c r="AE58" s="1274"/>
      <c r="AF58" s="1274"/>
      <c r="AG58" s="1274"/>
      <c r="AH58" s="1274"/>
      <c r="AI58" s="1274"/>
      <c r="AJ58" s="1274"/>
      <c r="AK58" s="1274"/>
    </row>
    <row r="59" spans="1:37" s="1273" customFormat="1" ht="38.25">
      <c r="A59" s="2322" t="s">
        <v>2780</v>
      </c>
      <c r="B59" s="2325" t="str">
        <f>估价对象房地状况!C17</f>
        <v>估价对象位于XX商圈，周边办公楼项目较多，入驻率高，办公集聚程度较好</v>
      </c>
      <c r="C59" s="2227"/>
      <c r="D59" s="1189">
        <f t="shared" ref="D59:D67" si="14">SUMIF($J$58:$N$58,C59,J59:N59)</f>
        <v>0</v>
      </c>
      <c r="E59" s="753">
        <f>ROUND(SUM(D59:D67),4)</f>
        <v>0</v>
      </c>
      <c r="F59" s="1993" t="str">
        <f>IF(E2="办公",SUMIF(L1:L12,G2,N1:N12),"——")</f>
        <v>——</v>
      </c>
      <c r="G59" s="1187"/>
      <c r="H59" s="1191" t="str">
        <f t="shared" ref="H59:H67" si="15">IFERROR(ROUNDDOWN($F$59*I59/2,4),"——")</f>
        <v>——</v>
      </c>
      <c r="I59" s="752">
        <v>0.24</v>
      </c>
      <c r="J59" s="1188">
        <f t="shared" ref="J59:J67" si="16">K59+$G59</f>
        <v>0</v>
      </c>
      <c r="K59" s="1188">
        <f t="shared" ref="K59:K67" si="17">$L59+$G59</f>
        <v>0</v>
      </c>
      <c r="L59" s="1188">
        <v>0</v>
      </c>
      <c r="M59" s="1188">
        <f t="shared" ref="M59:N67" si="18">L59-$G59</f>
        <v>0</v>
      </c>
      <c r="N59" s="1188">
        <f t="shared" si="18"/>
        <v>0</v>
      </c>
      <c r="AA59" s="1274"/>
      <c r="AB59" s="1274"/>
      <c r="AC59" s="1274"/>
      <c r="AD59" s="1274"/>
      <c r="AE59" s="1274"/>
      <c r="AF59" s="1274"/>
      <c r="AG59" s="1274"/>
      <c r="AH59" s="1274"/>
      <c r="AI59" s="1274"/>
      <c r="AJ59" s="1274"/>
      <c r="AK59" s="1274"/>
    </row>
    <row r="60" spans="1:37" s="1273" customFormat="1" ht="51">
      <c r="A60" s="2322" t="s">
        <v>2768</v>
      </c>
      <c r="B60" s="2326" t="str">
        <f>估价对象房地状况!C18</f>
        <v>周边有438路、365路、449路、570路等多条公交线路及地铁16号线永丰站，交通便捷度较好。</v>
      </c>
      <c r="C60" s="2227"/>
      <c r="D60" s="1189">
        <f t="shared" si="14"/>
        <v>0</v>
      </c>
      <c r="E60" s="754"/>
      <c r="F60" s="1993"/>
      <c r="G60" s="1187"/>
      <c r="H60" s="1191" t="str">
        <f t="shared" si="15"/>
        <v>——</v>
      </c>
      <c r="I60" s="752">
        <v>0.3</v>
      </c>
      <c r="J60" s="1188">
        <f t="shared" si="16"/>
        <v>0</v>
      </c>
      <c r="K60" s="1188">
        <f t="shared" si="17"/>
        <v>0</v>
      </c>
      <c r="L60" s="1188">
        <v>0</v>
      </c>
      <c r="M60" s="1188">
        <f t="shared" si="18"/>
        <v>0</v>
      </c>
      <c r="N60" s="1188">
        <f t="shared" si="18"/>
        <v>0</v>
      </c>
      <c r="AA60" s="1274"/>
      <c r="AB60" s="1274"/>
      <c r="AC60" s="1274"/>
      <c r="AD60" s="1274"/>
      <c r="AE60" s="1274"/>
      <c r="AF60" s="1274"/>
      <c r="AG60" s="1274"/>
      <c r="AH60" s="1274"/>
      <c r="AI60" s="1274"/>
      <c r="AJ60" s="1274"/>
      <c r="AK60" s="1274"/>
    </row>
    <row r="61" spans="1:37" s="1273" customFormat="1" ht="25.5">
      <c r="A61" s="2322" t="s">
        <v>2769</v>
      </c>
      <c r="B61" s="2326" t="str">
        <f>估价对象房地状况!C19</f>
        <v>有部分有其他用地，对本宗地略有影响。</v>
      </c>
      <c r="C61" s="2227"/>
      <c r="D61" s="1189">
        <f t="shared" si="14"/>
        <v>0</v>
      </c>
      <c r="E61" s="754"/>
      <c r="F61" s="1993"/>
      <c r="G61" s="1187"/>
      <c r="H61" s="1191" t="str">
        <f t="shared" si="15"/>
        <v>——</v>
      </c>
      <c r="I61" s="752">
        <v>0.08</v>
      </c>
      <c r="J61" s="1188">
        <f t="shared" si="16"/>
        <v>0</v>
      </c>
      <c r="K61" s="1188">
        <f t="shared" si="17"/>
        <v>0</v>
      </c>
      <c r="L61" s="1188">
        <v>0</v>
      </c>
      <c r="M61" s="1188">
        <f t="shared" si="18"/>
        <v>0</v>
      </c>
      <c r="N61" s="1188">
        <f t="shared" si="18"/>
        <v>0</v>
      </c>
      <c r="AA61" s="1274"/>
      <c r="AB61" s="1274"/>
      <c r="AC61" s="1274"/>
      <c r="AD61" s="1274"/>
      <c r="AE61" s="1274"/>
      <c r="AF61" s="1274"/>
      <c r="AG61" s="1274"/>
      <c r="AH61" s="1274"/>
      <c r="AI61" s="1274"/>
      <c r="AJ61" s="1274"/>
      <c r="AK61" s="1274"/>
    </row>
    <row r="62" spans="1:37" s="1273" customFormat="1" ht="36.75">
      <c r="A62" s="2322" t="s">
        <v>2770</v>
      </c>
      <c r="B62" s="2327" t="s">
        <v>2771</v>
      </c>
      <c r="C62" s="2227"/>
      <c r="D62" s="1189">
        <f t="shared" si="14"/>
        <v>0</v>
      </c>
      <c r="E62" s="754"/>
      <c r="F62" s="1993"/>
      <c r="G62" s="1187"/>
      <c r="H62" s="1191" t="str">
        <f t="shared" si="15"/>
        <v>——</v>
      </c>
      <c r="I62" s="752">
        <v>0.04</v>
      </c>
      <c r="J62" s="1188">
        <f t="shared" si="16"/>
        <v>0</v>
      </c>
      <c r="K62" s="1188">
        <f t="shared" si="17"/>
        <v>0</v>
      </c>
      <c r="L62" s="1188">
        <v>0</v>
      </c>
      <c r="M62" s="1188">
        <f t="shared" si="18"/>
        <v>0</v>
      </c>
      <c r="N62" s="1188">
        <f t="shared" si="18"/>
        <v>0</v>
      </c>
      <c r="AA62" s="1274"/>
      <c r="AB62" s="1274"/>
      <c r="AC62" s="1274"/>
      <c r="AD62" s="1274"/>
      <c r="AE62" s="1274"/>
      <c r="AF62" s="1274"/>
      <c r="AG62" s="1274"/>
      <c r="AH62" s="1274"/>
      <c r="AI62" s="1274"/>
      <c r="AJ62" s="1274"/>
      <c r="AK62" s="1274"/>
    </row>
    <row r="63" spans="1:37" s="1273" customFormat="1" ht="24">
      <c r="A63" s="2322" t="s">
        <v>2772</v>
      </c>
      <c r="B63" s="2326" t="str">
        <f>估价对象房地状况!C24</f>
        <v>城市支路—宏丰渠东路</v>
      </c>
      <c r="C63" s="2227"/>
      <c r="D63" s="1189">
        <f t="shared" si="14"/>
        <v>0</v>
      </c>
      <c r="E63" s="754"/>
      <c r="F63" s="1993"/>
      <c r="G63" s="1187"/>
      <c r="H63" s="1191" t="str">
        <f t="shared" si="15"/>
        <v>——</v>
      </c>
      <c r="I63" s="752">
        <v>0.05</v>
      </c>
      <c r="J63" s="1188">
        <f t="shared" si="16"/>
        <v>0</v>
      </c>
      <c r="K63" s="1188">
        <f t="shared" si="17"/>
        <v>0</v>
      </c>
      <c r="L63" s="1188">
        <v>0</v>
      </c>
      <c r="M63" s="1188">
        <f t="shared" si="18"/>
        <v>0</v>
      </c>
      <c r="N63" s="1188">
        <f t="shared" si="18"/>
        <v>0</v>
      </c>
      <c r="AA63" s="1274"/>
      <c r="AB63" s="1274"/>
      <c r="AC63" s="1274"/>
      <c r="AD63" s="1274"/>
      <c r="AE63" s="1274"/>
      <c r="AF63" s="1274"/>
      <c r="AG63" s="1274"/>
      <c r="AH63" s="1274"/>
      <c r="AI63" s="1274"/>
      <c r="AJ63" s="1274"/>
      <c r="AK63" s="1274"/>
    </row>
    <row r="64" spans="1:37" s="1273" customFormat="1" ht="24">
      <c r="A64" s="2322" t="s">
        <v>2773</v>
      </c>
      <c r="B64" s="2328" t="s">
        <v>2774</v>
      </c>
      <c r="C64" s="2227"/>
      <c r="D64" s="1189">
        <f t="shared" si="14"/>
        <v>0</v>
      </c>
      <c r="E64" s="754"/>
      <c r="F64" s="1993"/>
      <c r="G64" s="1187"/>
      <c r="H64" s="1191" t="str">
        <f t="shared" si="15"/>
        <v>——</v>
      </c>
      <c r="I64" s="752">
        <v>0.05</v>
      </c>
      <c r="J64" s="1188">
        <f t="shared" si="16"/>
        <v>0</v>
      </c>
      <c r="K64" s="1188">
        <f t="shared" si="17"/>
        <v>0</v>
      </c>
      <c r="L64" s="1188">
        <v>0</v>
      </c>
      <c r="M64" s="1188">
        <f t="shared" si="18"/>
        <v>0</v>
      </c>
      <c r="N64" s="1188">
        <f t="shared" si="18"/>
        <v>0</v>
      </c>
      <c r="AA64" s="1274"/>
      <c r="AB64" s="1274"/>
      <c r="AC64" s="1274"/>
      <c r="AD64" s="1274"/>
      <c r="AE64" s="1274"/>
      <c r="AF64" s="1274"/>
      <c r="AG64" s="1274"/>
      <c r="AH64" s="1274"/>
      <c r="AI64" s="1274"/>
      <c r="AJ64" s="1274"/>
      <c r="AK64" s="1274"/>
    </row>
    <row r="65" spans="1:37" s="1273" customFormat="1" ht="89.25">
      <c r="A65" s="2322" t="s">
        <v>2775</v>
      </c>
      <c r="B65" s="1488" t="str">
        <f>估价对象房地状况!C21</f>
        <v>周边1公里范围内有购物场所（华联超市）、医院（无）、银行（工商银行、北京农商银行）、学校（海淀科技园小学）、餐饮等公共服务配套设施，公共配套设施状况一般。</v>
      </c>
      <c r="C65" s="2227"/>
      <c r="D65" s="1189">
        <f t="shared" si="14"/>
        <v>0</v>
      </c>
      <c r="E65" s="754"/>
      <c r="F65" s="1993"/>
      <c r="G65" s="1187"/>
      <c r="H65" s="1191" t="str">
        <f t="shared" si="15"/>
        <v>——</v>
      </c>
      <c r="I65" s="752">
        <v>0.06</v>
      </c>
      <c r="J65" s="1188">
        <f t="shared" si="16"/>
        <v>0</v>
      </c>
      <c r="K65" s="1188">
        <f t="shared" si="17"/>
        <v>0</v>
      </c>
      <c r="L65" s="1188">
        <v>0</v>
      </c>
      <c r="M65" s="1188">
        <f t="shared" si="18"/>
        <v>0</v>
      </c>
      <c r="N65" s="1188">
        <f t="shared" si="18"/>
        <v>0</v>
      </c>
      <c r="AA65" s="1274"/>
      <c r="AB65" s="1274"/>
      <c r="AC65" s="1274"/>
      <c r="AD65" s="1274"/>
      <c r="AE65" s="1274"/>
      <c r="AF65" s="1274"/>
      <c r="AG65" s="1274"/>
      <c r="AH65" s="1274"/>
      <c r="AI65" s="1274"/>
      <c r="AJ65" s="1274"/>
      <c r="AK65" s="1274"/>
    </row>
    <row r="66" spans="1:37" s="1273" customFormat="1" ht="24">
      <c r="A66" s="2322" t="s">
        <v>2776</v>
      </c>
      <c r="B66" s="1488" t="str">
        <f>估价对象房地状况!C22</f>
        <v>七通</v>
      </c>
      <c r="C66" s="2227"/>
      <c r="D66" s="1189">
        <f t="shared" si="14"/>
        <v>0</v>
      </c>
      <c r="E66" s="754"/>
      <c r="F66" s="1993"/>
      <c r="G66" s="1187"/>
      <c r="H66" s="1191" t="str">
        <f t="shared" si="15"/>
        <v>——</v>
      </c>
      <c r="I66" s="752">
        <v>0.12</v>
      </c>
      <c r="J66" s="1188">
        <f t="shared" si="16"/>
        <v>0</v>
      </c>
      <c r="K66" s="1188">
        <f t="shared" si="17"/>
        <v>0</v>
      </c>
      <c r="L66" s="1188">
        <v>0</v>
      </c>
      <c r="M66" s="1188">
        <f t="shared" si="18"/>
        <v>0</v>
      </c>
      <c r="N66" s="1188">
        <f t="shared" si="18"/>
        <v>0</v>
      </c>
      <c r="AA66" s="1274"/>
      <c r="AB66" s="1274"/>
      <c r="AC66" s="1274"/>
      <c r="AD66" s="1274"/>
      <c r="AE66" s="1274"/>
      <c r="AF66" s="1274"/>
      <c r="AG66" s="1274"/>
      <c r="AH66" s="1274"/>
      <c r="AI66" s="1274"/>
      <c r="AJ66" s="1274"/>
      <c r="AK66" s="1274"/>
    </row>
    <row r="67" spans="1:37" s="1273" customFormat="1" ht="51.75" thickBot="1">
      <c r="A67" s="2330" t="s">
        <v>2777</v>
      </c>
      <c r="B67" s="2332" t="str">
        <f>估价对象房地状况!C20</f>
        <v>周边1公里无大型公园，人文环境有北京北大资源研修学院，自然及人文环境一般。</v>
      </c>
      <c r="C67" s="2227"/>
      <c r="D67" s="1189">
        <f t="shared" si="14"/>
        <v>0</v>
      </c>
      <c r="E67" s="757"/>
      <c r="F67" s="1993"/>
      <c r="G67" s="1187"/>
      <c r="H67" s="1191" t="str">
        <f t="shared" si="15"/>
        <v>——</v>
      </c>
      <c r="I67" s="756">
        <v>0.06</v>
      </c>
      <c r="J67" s="1188">
        <f t="shared" si="16"/>
        <v>0</v>
      </c>
      <c r="K67" s="1188">
        <f t="shared" si="17"/>
        <v>0</v>
      </c>
      <c r="L67" s="1188">
        <v>0</v>
      </c>
      <c r="M67" s="1188">
        <f t="shared" si="18"/>
        <v>0</v>
      </c>
      <c r="N67" s="1188">
        <f t="shared" si="18"/>
        <v>0</v>
      </c>
      <c r="AA67" s="1274"/>
      <c r="AB67" s="1274"/>
      <c r="AC67" s="1274"/>
      <c r="AD67" s="1274"/>
      <c r="AE67" s="1274"/>
      <c r="AF67" s="1274"/>
      <c r="AG67" s="1274"/>
      <c r="AH67" s="1274"/>
      <c r="AI67" s="1274"/>
      <c r="AJ67" s="1274"/>
      <c r="AK67" s="1274"/>
    </row>
    <row r="68" spans="1:37" s="1273" customFormat="1" ht="15">
      <c r="A68" s="2318" t="s">
        <v>2781</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2759</v>
      </c>
      <c r="B69" s="1529"/>
      <c r="C69" s="1529" t="s">
        <v>2761</v>
      </c>
      <c r="D69" s="1529" t="s">
        <v>2762</v>
      </c>
      <c r="E69" s="751" t="s">
        <v>2763</v>
      </c>
      <c r="F69" s="2323" t="s">
        <v>2779</v>
      </c>
      <c r="G69" s="1529" t="s">
        <v>754</v>
      </c>
      <c r="H69" s="2324" t="s">
        <v>2765</v>
      </c>
      <c r="I69" s="1529" t="s">
        <v>2766</v>
      </c>
      <c r="J69" s="559" t="s">
        <v>2415</v>
      </c>
      <c r="K69" s="559" t="s">
        <v>2416</v>
      </c>
      <c r="L69" s="559" t="s">
        <v>2417</v>
      </c>
      <c r="M69" s="559" t="s">
        <v>2418</v>
      </c>
      <c r="N69" s="559" t="s">
        <v>2419</v>
      </c>
      <c r="AA69" s="1274"/>
      <c r="AB69" s="1274"/>
      <c r="AC69" s="1274"/>
      <c r="AD69" s="1274"/>
      <c r="AE69" s="1274"/>
      <c r="AF69" s="1274"/>
      <c r="AG69" s="1274"/>
      <c r="AH69" s="1274"/>
      <c r="AI69" s="1274"/>
      <c r="AJ69" s="1274"/>
      <c r="AK69" s="1274"/>
    </row>
    <row r="70" spans="1:37" s="1273" customFormat="1" ht="51">
      <c r="A70" s="2322" t="s">
        <v>2782</v>
      </c>
      <c r="B70" s="2325" t="str">
        <f>估价对象房地状况!C15</f>
        <v>周边居住用地比例较少、有颐丰庄园、大牛坊社区等居住项目，综合评价居住社区成熟度一般。</v>
      </c>
      <c r="C70" s="2227"/>
      <c r="D70" s="1189">
        <f t="shared" ref="D70:D78" si="19">SUMIF($J$69:$N$69,C70,J70:N70)</f>
        <v>0</v>
      </c>
      <c r="E70" s="753">
        <f>ROUND(SUM(D70:D78),4)</f>
        <v>0</v>
      </c>
      <c r="F70" s="1993" t="str">
        <f>IF(E2="住宅",SUMIF(L1:L12,G2,N1:N12),"——")</f>
        <v>——</v>
      </c>
      <c r="G70" s="1187"/>
      <c r="H70" s="1191" t="str">
        <f t="shared" ref="H70:H78" si="20">IFERROR(ROUNDDOWN($F$70*I70/2,4),"——")</f>
        <v>——</v>
      </c>
      <c r="I70" s="752">
        <v>0.14000000000000001</v>
      </c>
      <c r="J70" s="1188">
        <f t="shared" ref="J70:J78" si="21">K70+$G70</f>
        <v>0</v>
      </c>
      <c r="K70" s="1188">
        <f t="shared" ref="K70:K78" si="22">$L70+$G70</f>
        <v>0</v>
      </c>
      <c r="L70" s="1188">
        <v>0</v>
      </c>
      <c r="M70" s="1188">
        <f t="shared" ref="M70:N78" si="23">L70-$G70</f>
        <v>0</v>
      </c>
      <c r="N70" s="1188">
        <f t="shared" si="23"/>
        <v>0</v>
      </c>
      <c r="AA70" s="1274"/>
      <c r="AB70" s="1274"/>
      <c r="AC70" s="1274"/>
      <c r="AD70" s="1274"/>
      <c r="AE70" s="1274"/>
      <c r="AF70" s="1274"/>
      <c r="AG70" s="1274"/>
      <c r="AH70" s="1274"/>
      <c r="AI70" s="1274"/>
      <c r="AJ70" s="1274"/>
      <c r="AK70" s="1274"/>
    </row>
    <row r="71" spans="1:37" s="1273" customFormat="1" ht="51">
      <c r="A71" s="2322" t="s">
        <v>2768</v>
      </c>
      <c r="B71" s="2326" t="str">
        <f>估价对象房地状况!C18</f>
        <v>周边有438路、365路、449路、570路等多条公交线路及地铁16号线永丰站，交通便捷度较好。</v>
      </c>
      <c r="C71" s="2227"/>
      <c r="D71" s="1189">
        <f t="shared" si="19"/>
        <v>0</v>
      </c>
      <c r="E71" s="758"/>
      <c r="F71" s="1993"/>
      <c r="G71" s="1187"/>
      <c r="H71" s="1191" t="str">
        <f t="shared" si="20"/>
        <v>——</v>
      </c>
      <c r="I71" s="752">
        <v>0.3</v>
      </c>
      <c r="J71" s="1188">
        <f t="shared" si="21"/>
        <v>0</v>
      </c>
      <c r="K71" s="1188">
        <f t="shared" si="22"/>
        <v>0</v>
      </c>
      <c r="L71" s="1188">
        <v>0</v>
      </c>
      <c r="M71" s="1188">
        <f t="shared" si="23"/>
        <v>0</v>
      </c>
      <c r="N71" s="1188">
        <f t="shared" si="23"/>
        <v>0</v>
      </c>
      <c r="AA71" s="1274"/>
      <c r="AB71" s="1274"/>
      <c r="AC71" s="1274"/>
      <c r="AD71" s="1274"/>
      <c r="AE71" s="1274"/>
      <c r="AF71" s="1274"/>
      <c r="AG71" s="1274"/>
      <c r="AH71" s="1274"/>
      <c r="AI71" s="1274"/>
      <c r="AJ71" s="1274"/>
      <c r="AK71" s="1274"/>
    </row>
    <row r="72" spans="1:37" s="1273" customFormat="1" ht="25.5">
      <c r="A72" s="2322" t="s">
        <v>2769</v>
      </c>
      <c r="B72" s="2326" t="str">
        <f>估价对象房地状况!C19</f>
        <v>有部分有其他用地，对本宗地略有影响。</v>
      </c>
      <c r="C72" s="2227"/>
      <c r="D72" s="1189">
        <f t="shared" si="19"/>
        <v>0</v>
      </c>
      <c r="E72" s="758"/>
      <c r="F72" s="1993"/>
      <c r="G72" s="1187"/>
      <c r="H72" s="1191" t="str">
        <f t="shared" si="20"/>
        <v>——</v>
      </c>
      <c r="I72" s="752">
        <v>0.08</v>
      </c>
      <c r="J72" s="1188">
        <f t="shared" si="21"/>
        <v>0</v>
      </c>
      <c r="K72" s="1188">
        <f t="shared" si="22"/>
        <v>0</v>
      </c>
      <c r="L72" s="1188">
        <v>0</v>
      </c>
      <c r="M72" s="1188">
        <f t="shared" si="23"/>
        <v>0</v>
      </c>
      <c r="N72" s="1188">
        <f t="shared" si="23"/>
        <v>0</v>
      </c>
      <c r="AA72" s="1274"/>
      <c r="AB72" s="1274"/>
      <c r="AC72" s="1274"/>
      <c r="AD72" s="1274"/>
      <c r="AE72" s="1274"/>
      <c r="AF72" s="1274"/>
      <c r="AG72" s="1274"/>
      <c r="AH72" s="1274"/>
      <c r="AI72" s="1274"/>
      <c r="AJ72" s="1274"/>
      <c r="AK72" s="1274"/>
    </row>
    <row r="73" spans="1:37" s="1273" customFormat="1" ht="14.25">
      <c r="A73" s="2322" t="s">
        <v>2783</v>
      </c>
      <c r="B73" s="2326" t="str">
        <f>估价对象房地状况!C24</f>
        <v>城市支路—宏丰渠东路</v>
      </c>
      <c r="C73" s="2227"/>
      <c r="D73" s="1189">
        <f t="shared" si="19"/>
        <v>0</v>
      </c>
      <c r="E73" s="758"/>
      <c r="F73" s="1993"/>
      <c r="G73" s="1187"/>
      <c r="H73" s="1191" t="str">
        <f t="shared" si="20"/>
        <v>——</v>
      </c>
      <c r="I73" s="752">
        <v>0.04</v>
      </c>
      <c r="J73" s="1188">
        <f t="shared" si="21"/>
        <v>0</v>
      </c>
      <c r="K73" s="1188">
        <f t="shared" si="22"/>
        <v>0</v>
      </c>
      <c r="L73" s="1188">
        <v>0</v>
      </c>
      <c r="M73" s="1188">
        <f t="shared" si="23"/>
        <v>0</v>
      </c>
      <c r="N73" s="1188">
        <f t="shared" si="23"/>
        <v>0</v>
      </c>
      <c r="AA73" s="1274"/>
      <c r="AB73" s="1274"/>
      <c r="AC73" s="1274"/>
      <c r="AD73" s="1274"/>
      <c r="AE73" s="1274"/>
      <c r="AF73" s="1274"/>
      <c r="AG73" s="1274"/>
      <c r="AH73" s="1274"/>
      <c r="AI73" s="1274"/>
      <c r="AJ73" s="1274"/>
      <c r="AK73" s="1274"/>
    </row>
    <row r="74" spans="1:37" s="1273" customFormat="1" ht="89.25">
      <c r="A74" s="2322" t="s">
        <v>2775</v>
      </c>
      <c r="B74" s="1488" t="str">
        <f>估价对象房地状况!C21</f>
        <v>周边1公里范围内有购物场所（华联超市）、医院（无）、银行（工商银行、北京农商银行）、学校（海淀科技园小学）、餐饮等公共服务配套设施，公共配套设施状况一般。</v>
      </c>
      <c r="C74" s="2227"/>
      <c r="D74" s="1189">
        <f t="shared" si="19"/>
        <v>0</v>
      </c>
      <c r="E74" s="758"/>
      <c r="F74" s="1993"/>
      <c r="G74" s="1187"/>
      <c r="H74" s="1191" t="str">
        <f t="shared" si="20"/>
        <v>——</v>
      </c>
      <c r="I74" s="752">
        <v>0.08</v>
      </c>
      <c r="J74" s="1188">
        <f t="shared" si="21"/>
        <v>0</v>
      </c>
      <c r="K74" s="1188">
        <f t="shared" si="22"/>
        <v>0</v>
      </c>
      <c r="L74" s="1188">
        <v>0</v>
      </c>
      <c r="M74" s="1188">
        <f t="shared" si="23"/>
        <v>0</v>
      </c>
      <c r="N74" s="1188">
        <f t="shared" si="23"/>
        <v>0</v>
      </c>
      <c r="AA74" s="1274"/>
      <c r="AB74" s="1274"/>
      <c r="AC74" s="1274"/>
      <c r="AD74" s="1274"/>
      <c r="AE74" s="1274"/>
      <c r="AF74" s="1274"/>
      <c r="AG74" s="1274"/>
      <c r="AH74" s="1274"/>
      <c r="AI74" s="1274"/>
      <c r="AJ74" s="1274"/>
      <c r="AK74" s="1274"/>
    </row>
    <row r="75" spans="1:37" s="1273" customFormat="1" ht="24">
      <c r="A75" s="2322" t="s">
        <v>2776</v>
      </c>
      <c r="B75" s="1488" t="str">
        <f>估价对象房地状况!C22</f>
        <v>七通</v>
      </c>
      <c r="C75" s="2227"/>
      <c r="D75" s="1189">
        <f t="shared" si="19"/>
        <v>0</v>
      </c>
      <c r="E75" s="758"/>
      <c r="F75" s="1993"/>
      <c r="G75" s="1187"/>
      <c r="H75" s="1191" t="str">
        <f t="shared" si="20"/>
        <v>——</v>
      </c>
      <c r="I75" s="752">
        <v>0.12</v>
      </c>
      <c r="J75" s="1188">
        <f t="shared" si="21"/>
        <v>0</v>
      </c>
      <c r="K75" s="1188">
        <f t="shared" si="22"/>
        <v>0</v>
      </c>
      <c r="L75" s="1188">
        <v>0</v>
      </c>
      <c r="M75" s="1188">
        <f t="shared" si="23"/>
        <v>0</v>
      </c>
      <c r="N75" s="1188">
        <f t="shared" si="23"/>
        <v>0</v>
      </c>
      <c r="AA75" s="1274"/>
      <c r="AB75" s="1274"/>
      <c r="AC75" s="1274"/>
      <c r="AD75" s="1274"/>
      <c r="AE75" s="1274"/>
      <c r="AF75" s="1274"/>
      <c r="AG75" s="1274"/>
      <c r="AH75" s="1274"/>
      <c r="AI75" s="1274"/>
      <c r="AJ75" s="1274"/>
      <c r="AK75" s="1274"/>
    </row>
    <row r="76" spans="1:37" s="2176" customFormat="1" ht="24">
      <c r="A76" s="2322" t="s">
        <v>2773</v>
      </c>
      <c r="B76" s="2328" t="s">
        <v>2774</v>
      </c>
      <c r="C76" s="2227"/>
      <c r="D76" s="1189">
        <f t="shared" si="19"/>
        <v>0</v>
      </c>
      <c r="E76" s="758"/>
      <c r="F76" s="1993"/>
      <c r="G76" s="1187"/>
      <c r="H76" s="1191" t="str">
        <f t="shared" si="20"/>
        <v>——</v>
      </c>
      <c r="I76" s="752">
        <v>0.05</v>
      </c>
      <c r="J76" s="1188">
        <f t="shared" si="21"/>
        <v>0</v>
      </c>
      <c r="K76" s="1188">
        <f t="shared" si="22"/>
        <v>0</v>
      </c>
      <c r="L76" s="1188">
        <v>0</v>
      </c>
      <c r="M76" s="1188">
        <f t="shared" si="23"/>
        <v>0</v>
      </c>
      <c r="N76" s="1188">
        <f t="shared" si="23"/>
        <v>0</v>
      </c>
      <c r="AA76" s="2333"/>
      <c r="AB76" s="1274"/>
      <c r="AC76" s="1274"/>
      <c r="AD76" s="1274"/>
      <c r="AE76" s="1274"/>
      <c r="AF76" s="1274"/>
      <c r="AG76" s="1274"/>
      <c r="AH76" s="2333"/>
      <c r="AI76" s="2333"/>
      <c r="AJ76" s="2333"/>
      <c r="AK76" s="2333"/>
    </row>
    <row r="77" spans="1:37" ht="51">
      <c r="A77" s="2322" t="s">
        <v>2777</v>
      </c>
      <c r="B77" s="2325" t="str">
        <f>估价对象房地状况!C20</f>
        <v>周边1公里无大型公园，人文环境有北京北大资源研修学院，自然及人文环境一般。</v>
      </c>
      <c r="C77" s="2227"/>
      <c r="D77" s="1189">
        <f t="shared" si="19"/>
        <v>0</v>
      </c>
      <c r="E77" s="758"/>
      <c r="F77" s="1993"/>
      <c r="G77" s="1187"/>
      <c r="H77" s="1191" t="str">
        <f t="shared" si="20"/>
        <v>——</v>
      </c>
      <c r="I77" s="752">
        <v>0.15</v>
      </c>
      <c r="J77" s="1188">
        <f t="shared" si="21"/>
        <v>0</v>
      </c>
      <c r="K77" s="1188">
        <f t="shared" si="22"/>
        <v>0</v>
      </c>
      <c r="L77" s="1188">
        <v>0</v>
      </c>
      <c r="M77" s="1188">
        <f t="shared" si="23"/>
        <v>0</v>
      </c>
      <c r="N77" s="1188">
        <f t="shared" si="23"/>
        <v>0</v>
      </c>
      <c r="Z77" s="2177"/>
      <c r="AA77" s="2243"/>
      <c r="AG77" s="1275"/>
      <c r="AK77" s="2243"/>
    </row>
    <row r="78" spans="1:37" ht="24.75" thickBot="1">
      <c r="A78" s="2330" t="s">
        <v>2784</v>
      </c>
      <c r="B78" s="2334"/>
      <c r="C78" s="2227"/>
      <c r="D78" s="1189">
        <f t="shared" si="19"/>
        <v>0</v>
      </c>
      <c r="E78" s="759"/>
      <c r="F78" s="1993"/>
      <c r="G78" s="1187"/>
      <c r="H78" s="1191" t="str">
        <f t="shared" si="20"/>
        <v>——</v>
      </c>
      <c r="I78" s="756">
        <v>0.04</v>
      </c>
      <c r="J78" s="1188">
        <f t="shared" si="21"/>
        <v>0</v>
      </c>
      <c r="K78" s="1188">
        <f t="shared" si="22"/>
        <v>0</v>
      </c>
      <c r="L78" s="1188">
        <v>0</v>
      </c>
      <c r="M78" s="1188">
        <f t="shared" si="23"/>
        <v>0</v>
      </c>
      <c r="N78" s="1188">
        <f t="shared" si="23"/>
        <v>0</v>
      </c>
      <c r="Z78" s="2177"/>
      <c r="AA78" s="2243"/>
      <c r="AG78" s="1275"/>
      <c r="AK78" s="2243"/>
    </row>
    <row r="79" spans="1:37" ht="15">
      <c r="A79" s="2318" t="s">
        <v>2785</v>
      </c>
      <c r="B79" s="2319">
        <f>1+E81</f>
        <v>1</v>
      </c>
      <c r="C79" s="746"/>
      <c r="D79" s="746"/>
      <c r="E79" s="747"/>
      <c r="F79" s="2321"/>
      <c r="G79" s="6"/>
      <c r="H79" s="6"/>
      <c r="I79" s="6"/>
      <c r="J79" s="7"/>
      <c r="K79" s="7"/>
      <c r="L79" s="7"/>
      <c r="M79" s="7"/>
      <c r="N79" s="7"/>
      <c r="Z79" s="2177"/>
      <c r="AA79" s="2243"/>
      <c r="AG79" s="1275"/>
      <c r="AK79" s="2243"/>
    </row>
    <row r="80" spans="1:37" ht="24.75">
      <c r="A80" s="2322" t="s">
        <v>2759</v>
      </c>
      <c r="B80" s="1529"/>
      <c r="C80" s="1529" t="s">
        <v>2761</v>
      </c>
      <c r="D80" s="1529" t="s">
        <v>2762</v>
      </c>
      <c r="E80" s="751" t="s">
        <v>2763</v>
      </c>
      <c r="F80" s="2323" t="s">
        <v>2779</v>
      </c>
      <c r="G80" s="1529" t="s">
        <v>754</v>
      </c>
      <c r="H80" s="2324" t="s">
        <v>2765</v>
      </c>
      <c r="I80" s="1529" t="s">
        <v>2766</v>
      </c>
      <c r="J80" s="559" t="s">
        <v>2415</v>
      </c>
      <c r="K80" s="559" t="s">
        <v>2416</v>
      </c>
      <c r="L80" s="559" t="s">
        <v>2417</v>
      </c>
      <c r="M80" s="559" t="s">
        <v>2418</v>
      </c>
      <c r="N80" s="559" t="s">
        <v>2419</v>
      </c>
      <c r="Z80" s="2177"/>
      <c r="AA80" s="2243"/>
      <c r="AG80" s="1275"/>
      <c r="AK80" s="2243"/>
    </row>
    <row r="81" spans="1:37" ht="38.25">
      <c r="A81" s="2322" t="s">
        <v>2786</v>
      </c>
      <c r="B81" s="2326" t="str">
        <f>估价对象房地状况!G15</f>
        <v>估价对象位于XX开发区，园区建设成熟度XX，产业集聚程度XX</v>
      </c>
      <c r="C81" s="2227"/>
      <c r="D81" s="1189">
        <f t="shared" ref="D81:D88" si="24">SUMIF($J$80:$N$80,C81,J81:N81)</f>
        <v>0</v>
      </c>
      <c r="E81" s="753">
        <f>ROUND(SUM(D81:D88),4)</f>
        <v>0</v>
      </c>
      <c r="F81" s="1993" t="str">
        <f>IF(E2="工业",SUMIF(L1:L12,G2,N1:N12),"——")</f>
        <v>——</v>
      </c>
      <c r="G81" s="1187"/>
      <c r="H81" s="1191" t="str">
        <f t="shared" ref="H81:H88" si="25">IFERROR(ROUNDDOWN($F$81*I81/2,4),"——")</f>
        <v>——</v>
      </c>
      <c r="I81" s="752">
        <v>0.26</v>
      </c>
      <c r="J81" s="1188">
        <f t="shared" ref="J81:J88" si="26">K81+$G81</f>
        <v>0</v>
      </c>
      <c r="K81" s="1188">
        <f t="shared" ref="K81:K88" si="27">$L81+$G81</f>
        <v>0</v>
      </c>
      <c r="L81" s="1188">
        <v>0</v>
      </c>
      <c r="M81" s="1188">
        <f t="shared" ref="M81:N88" si="28">L81-$G81</f>
        <v>0</v>
      </c>
      <c r="N81" s="1188">
        <f t="shared" si="28"/>
        <v>0</v>
      </c>
      <c r="Z81" s="2177"/>
      <c r="AA81" s="2243"/>
      <c r="AG81" s="1275"/>
      <c r="AK81" s="2243"/>
    </row>
    <row r="82" spans="1:37" ht="51">
      <c r="A82" s="2322" t="s">
        <v>2768</v>
      </c>
      <c r="B82" s="2326" t="str">
        <f>估价对象房地状况!G16</f>
        <v>估价对象周边道路状况、公共交通通达情况、停车便捷程度，综合评价交通便捷度较好</v>
      </c>
      <c r="C82" s="2227"/>
      <c r="D82" s="1189">
        <f t="shared" si="24"/>
        <v>0</v>
      </c>
      <c r="E82" s="758"/>
      <c r="F82" s="1993"/>
      <c r="G82" s="1187"/>
      <c r="H82" s="1191" t="str">
        <f t="shared" si="25"/>
        <v>——</v>
      </c>
      <c r="I82" s="752">
        <v>0.33</v>
      </c>
      <c r="J82" s="1188">
        <f t="shared" si="26"/>
        <v>0</v>
      </c>
      <c r="K82" s="1188">
        <f t="shared" si="27"/>
        <v>0</v>
      </c>
      <c r="L82" s="1188">
        <v>0</v>
      </c>
      <c r="M82" s="1188">
        <f t="shared" si="28"/>
        <v>0</v>
      </c>
      <c r="N82" s="1188">
        <f t="shared" si="28"/>
        <v>0</v>
      </c>
      <c r="Z82" s="2177"/>
      <c r="AA82" s="2243"/>
      <c r="AG82" s="1275"/>
      <c r="AK82" s="2243"/>
    </row>
    <row r="83" spans="1:37" ht="24">
      <c r="A83" s="2322" t="s">
        <v>2769</v>
      </c>
      <c r="B83" s="2326">
        <f>估价对象房地状况!G17</f>
        <v>0</v>
      </c>
      <c r="C83" s="2227"/>
      <c r="D83" s="1189">
        <f t="shared" si="24"/>
        <v>0</v>
      </c>
      <c r="E83" s="758"/>
      <c r="F83" s="1993"/>
      <c r="G83" s="1187"/>
      <c r="H83" s="1191" t="str">
        <f t="shared" si="25"/>
        <v>——</v>
      </c>
      <c r="I83" s="752">
        <v>0.05</v>
      </c>
      <c r="J83" s="1188">
        <f t="shared" si="26"/>
        <v>0</v>
      </c>
      <c r="K83" s="1188">
        <f t="shared" si="27"/>
        <v>0</v>
      </c>
      <c r="L83" s="1188">
        <v>0</v>
      </c>
      <c r="M83" s="1188">
        <f t="shared" si="28"/>
        <v>0</v>
      </c>
      <c r="N83" s="1188">
        <f t="shared" si="28"/>
        <v>0</v>
      </c>
      <c r="Z83" s="2177"/>
      <c r="AA83" s="2243"/>
      <c r="AG83" s="1275"/>
      <c r="AK83" s="2243"/>
    </row>
    <row r="84" spans="1:37" ht="14.25">
      <c r="A84" s="2322" t="s">
        <v>2783</v>
      </c>
      <c r="B84" s="2326">
        <f>估价对象房地状况!G22</f>
        <v>0</v>
      </c>
      <c r="C84" s="2227"/>
      <c r="D84" s="1189">
        <f t="shared" si="24"/>
        <v>0</v>
      </c>
      <c r="E84" s="758"/>
      <c r="F84" s="1993"/>
      <c r="G84" s="1187"/>
      <c r="H84" s="1191" t="str">
        <f t="shared" si="25"/>
        <v>——</v>
      </c>
      <c r="I84" s="752">
        <v>0.04</v>
      </c>
      <c r="J84" s="1188">
        <f t="shared" si="26"/>
        <v>0</v>
      </c>
      <c r="K84" s="1188">
        <f t="shared" si="27"/>
        <v>0</v>
      </c>
      <c r="L84" s="1188">
        <v>0</v>
      </c>
      <c r="M84" s="1188">
        <f t="shared" si="28"/>
        <v>0</v>
      </c>
      <c r="N84" s="1188">
        <f t="shared" si="28"/>
        <v>0</v>
      </c>
      <c r="Z84" s="2177"/>
      <c r="AA84" s="2243"/>
      <c r="AG84" s="1275"/>
      <c r="AK84" s="2243"/>
    </row>
    <row r="85" spans="1:37" ht="25.5">
      <c r="A85" s="2322" t="s">
        <v>2775</v>
      </c>
      <c r="B85" s="1488" t="str">
        <f>估价对象房地状况!G19</f>
        <v>估价对象所在区域公共配套设施齐备情况</v>
      </c>
      <c r="C85" s="2227"/>
      <c r="D85" s="1189">
        <f t="shared" si="24"/>
        <v>0</v>
      </c>
      <c r="E85" s="758"/>
      <c r="F85" s="1993"/>
      <c r="G85" s="1187"/>
      <c r="H85" s="1191" t="str">
        <f t="shared" si="25"/>
        <v>——</v>
      </c>
      <c r="I85" s="752">
        <v>0.06</v>
      </c>
      <c r="J85" s="1188">
        <f t="shared" si="26"/>
        <v>0</v>
      </c>
      <c r="K85" s="1188">
        <f t="shared" si="27"/>
        <v>0</v>
      </c>
      <c r="L85" s="1188">
        <v>0</v>
      </c>
      <c r="M85" s="1188">
        <f t="shared" si="28"/>
        <v>0</v>
      </c>
      <c r="N85" s="1188">
        <f t="shared" si="28"/>
        <v>0</v>
      </c>
      <c r="Z85" s="2177"/>
      <c r="AA85" s="2243"/>
      <c r="AG85" s="1275"/>
      <c r="AK85" s="2243"/>
    </row>
    <row r="86" spans="1:37" ht="25.5">
      <c r="A86" s="2322" t="s">
        <v>2776</v>
      </c>
      <c r="B86" s="1488" t="str">
        <f>估价对象房地状况!G20</f>
        <v>估价对象所在区域基础设施水平</v>
      </c>
      <c r="C86" s="2227"/>
      <c r="D86" s="1189">
        <f t="shared" si="24"/>
        <v>0</v>
      </c>
      <c r="E86" s="758"/>
      <c r="F86" s="1993"/>
      <c r="G86" s="1187"/>
      <c r="H86" s="1191" t="str">
        <f t="shared" si="25"/>
        <v>——</v>
      </c>
      <c r="I86" s="752">
        <v>0.15</v>
      </c>
      <c r="J86" s="1188">
        <f t="shared" si="26"/>
        <v>0</v>
      </c>
      <c r="K86" s="1188">
        <f t="shared" si="27"/>
        <v>0</v>
      </c>
      <c r="L86" s="1188">
        <v>0</v>
      </c>
      <c r="M86" s="1188">
        <f t="shared" si="28"/>
        <v>0</v>
      </c>
      <c r="N86" s="1188">
        <f t="shared" si="28"/>
        <v>0</v>
      </c>
      <c r="Z86" s="2177"/>
      <c r="AA86" s="2243"/>
      <c r="AG86" s="1275"/>
      <c r="AK86" s="2243"/>
    </row>
    <row r="87" spans="1:37" ht="24">
      <c r="A87" s="2322" t="s">
        <v>2773</v>
      </c>
      <c r="B87" s="2328" t="s">
        <v>2787</v>
      </c>
      <c r="C87" s="2227"/>
      <c r="D87" s="1189">
        <f t="shared" si="24"/>
        <v>0</v>
      </c>
      <c r="E87" s="758"/>
      <c r="F87" s="1993"/>
      <c r="G87" s="1187"/>
      <c r="H87" s="1191" t="str">
        <f t="shared" si="25"/>
        <v>——</v>
      </c>
      <c r="I87" s="752">
        <v>0.05</v>
      </c>
      <c r="J87" s="1188">
        <f t="shared" si="26"/>
        <v>0</v>
      </c>
      <c r="K87" s="1188">
        <f t="shared" si="27"/>
        <v>0</v>
      </c>
      <c r="L87" s="1188">
        <v>0</v>
      </c>
      <c r="M87" s="1188">
        <f t="shared" si="28"/>
        <v>0</v>
      </c>
      <c r="N87" s="1188">
        <f t="shared" si="28"/>
        <v>0</v>
      </c>
      <c r="Z87" s="2177"/>
      <c r="AA87" s="2243"/>
      <c r="AG87" s="1275"/>
      <c r="AK87" s="2243"/>
    </row>
    <row r="88" spans="1:37" ht="39" thickBot="1">
      <c r="A88" s="2330" t="s">
        <v>2788</v>
      </c>
      <c r="B88" s="2335" t="str">
        <f>估价对象房地状况!G18</f>
        <v>该园区内是否有污染型企业，绿化情况，卫生条件，整体环境状况判断</v>
      </c>
      <c r="C88" s="2227"/>
      <c r="D88" s="1189">
        <f t="shared" si="24"/>
        <v>0</v>
      </c>
      <c r="E88" s="759"/>
      <c r="F88" s="1993"/>
      <c r="G88" s="1187"/>
      <c r="H88" s="1191" t="str">
        <f t="shared" si="25"/>
        <v>——</v>
      </c>
      <c r="I88" s="756">
        <v>0.06</v>
      </c>
      <c r="J88" s="1188">
        <f t="shared" si="26"/>
        <v>0</v>
      </c>
      <c r="K88" s="1188">
        <f t="shared" si="27"/>
        <v>0</v>
      </c>
      <c r="L88" s="1188">
        <v>0</v>
      </c>
      <c r="M88" s="1188">
        <f t="shared" si="28"/>
        <v>0</v>
      </c>
      <c r="N88" s="1188">
        <f t="shared" si="28"/>
        <v>0</v>
      </c>
      <c r="Z88" s="2177"/>
      <c r="AA88" s="2243"/>
      <c r="AG88" s="1275"/>
      <c r="AK88" s="2243"/>
    </row>
    <row r="90" spans="1:37">
      <c r="A90" s="3401" t="s">
        <v>2789</v>
      </c>
      <c r="B90" s="3401"/>
      <c r="C90" s="3401"/>
      <c r="D90" s="3401"/>
      <c r="E90" s="3401"/>
      <c r="F90" s="3401"/>
      <c r="G90" s="3401"/>
      <c r="H90" s="3401"/>
      <c r="I90" s="3401"/>
      <c r="J90" s="3401"/>
      <c r="K90" s="2336"/>
      <c r="L90" s="2336"/>
      <c r="M90" s="2336"/>
      <c r="N90" s="2336"/>
    </row>
    <row r="91" spans="1:37">
      <c r="A91" s="3403" t="s">
        <v>2790</v>
      </c>
      <c r="B91" s="3403" t="s">
        <v>2791</v>
      </c>
      <c r="C91" s="2290" t="s">
        <v>2792</v>
      </c>
      <c r="D91" s="2291"/>
      <c r="E91" s="2291"/>
      <c r="F91" s="2291"/>
      <c r="G91" s="2291"/>
      <c r="H91" s="2291"/>
      <c r="I91" s="2291"/>
      <c r="J91" s="2337"/>
      <c r="K91" s="2338"/>
      <c r="L91" s="2338"/>
      <c r="M91" s="2338"/>
      <c r="N91" s="2338"/>
    </row>
    <row r="92" spans="1:37">
      <c r="A92" s="3403"/>
      <c r="B92" s="3403"/>
      <c r="C92" s="872" t="s">
        <v>2659</v>
      </c>
      <c r="D92" s="872" t="s">
        <v>2660</v>
      </c>
      <c r="E92" s="872" t="s">
        <v>2661</v>
      </c>
      <c r="F92" s="872" t="s">
        <v>2662</v>
      </c>
      <c r="G92" s="872" t="s">
        <v>2663</v>
      </c>
      <c r="H92" s="872" t="s">
        <v>2664</v>
      </c>
      <c r="I92" s="872" t="s">
        <v>2665</v>
      </c>
      <c r="J92" s="872" t="s">
        <v>2666</v>
      </c>
      <c r="K92" s="872" t="s">
        <v>2667</v>
      </c>
      <c r="L92" s="872" t="s">
        <v>2668</v>
      </c>
      <c r="M92" s="872" t="s">
        <v>2669</v>
      </c>
      <c r="N92" s="872" t="s">
        <v>2670</v>
      </c>
    </row>
    <row r="93" spans="1:37">
      <c r="A93" s="3404"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0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0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0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0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0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05"/>
      <c r="B99" s="2339" t="s">
        <v>2675</v>
      </c>
      <c r="C99" s="2341">
        <f>$I$3</f>
        <v>0</v>
      </c>
      <c r="D99" s="2341">
        <f t="shared" ref="D99:M99" si="29">$I$3</f>
        <v>0</v>
      </c>
      <c r="E99" s="2341">
        <f t="shared" si="29"/>
        <v>0</v>
      </c>
      <c r="F99" s="2341">
        <f t="shared" si="29"/>
        <v>0</v>
      </c>
      <c r="G99" s="2341">
        <f t="shared" si="29"/>
        <v>0</v>
      </c>
      <c r="H99" s="2341">
        <f t="shared" si="29"/>
        <v>0</v>
      </c>
      <c r="I99" s="2341">
        <f t="shared" si="29"/>
        <v>0</v>
      </c>
      <c r="J99" s="2341">
        <f t="shared" si="29"/>
        <v>0</v>
      </c>
      <c r="K99" s="2341">
        <f t="shared" si="29"/>
        <v>0</v>
      </c>
      <c r="L99" s="2341">
        <f t="shared" si="29"/>
        <v>0</v>
      </c>
      <c r="M99" s="2341">
        <f t="shared" si="29"/>
        <v>0</v>
      </c>
      <c r="N99" s="2341">
        <f>$I$3</f>
        <v>0</v>
      </c>
    </row>
    <row r="100" spans="1:14">
      <c r="A100" s="3406"/>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04" t="s">
        <v>2794</v>
      </c>
      <c r="B101" s="2343" t="s">
        <v>2795</v>
      </c>
      <c r="C101" s="2344">
        <f>$G$3</f>
        <v>1.7</v>
      </c>
      <c r="D101" s="2344">
        <f t="shared" ref="D101:N101" si="30">$G$3</f>
        <v>1.7</v>
      </c>
      <c r="E101" s="2344">
        <f t="shared" si="30"/>
        <v>1.7</v>
      </c>
      <c r="F101" s="2344">
        <f t="shared" si="30"/>
        <v>1.7</v>
      </c>
      <c r="G101" s="2344">
        <f t="shared" si="30"/>
        <v>1.7</v>
      </c>
      <c r="H101" s="2344">
        <f t="shared" si="30"/>
        <v>1.7</v>
      </c>
      <c r="I101" s="2344">
        <f t="shared" si="30"/>
        <v>1.7</v>
      </c>
      <c r="J101" s="2344">
        <f t="shared" si="30"/>
        <v>1.7</v>
      </c>
      <c r="K101" s="2344">
        <f t="shared" si="30"/>
        <v>1.7</v>
      </c>
      <c r="L101" s="2344">
        <f t="shared" si="30"/>
        <v>1.7</v>
      </c>
      <c r="M101" s="2344">
        <f t="shared" si="30"/>
        <v>1.7</v>
      </c>
      <c r="N101" s="2344">
        <f t="shared" si="30"/>
        <v>1.7</v>
      </c>
    </row>
    <row r="102" spans="1:14">
      <c r="A102" s="3405"/>
      <c r="B102" s="2339">
        <v>1</v>
      </c>
      <c r="C102" s="2340">
        <f>1.9362/C101</f>
        <v>1.1389411764705881</v>
      </c>
      <c r="D102" s="2340">
        <f>1.9362/D101</f>
        <v>1.1389411764705881</v>
      </c>
      <c r="E102" s="2340">
        <f>1.8629/E101</f>
        <v>1.0958235294117646</v>
      </c>
      <c r="F102" s="2340">
        <f>1.8629/F101</f>
        <v>1.0958235294117646</v>
      </c>
      <c r="G102" s="2340">
        <f>1.8629/G101</f>
        <v>1.0958235294117646</v>
      </c>
      <c r="H102" s="2340">
        <f>1.8629/H101</f>
        <v>1.0958235294117646</v>
      </c>
      <c r="I102" s="2340">
        <f>1.8629/I101</f>
        <v>1.0958235294117646</v>
      </c>
      <c r="J102" s="2340">
        <f>1.942/J101</f>
        <v>1.1423529411764706</v>
      </c>
      <c r="K102" s="2340">
        <f>1.942/K101</f>
        <v>1.1423529411764706</v>
      </c>
      <c r="L102" s="2340">
        <f>1.942/L101</f>
        <v>1.1423529411764706</v>
      </c>
      <c r="M102" s="2340">
        <f>1.942/M101</f>
        <v>1.1423529411764706</v>
      </c>
      <c r="N102" s="2340">
        <f>1.942/N101</f>
        <v>1.1423529411764706</v>
      </c>
    </row>
    <row r="103" spans="1:14">
      <c r="A103" s="3405"/>
      <c r="B103" s="2339">
        <v>2</v>
      </c>
      <c r="C103" s="2340">
        <f>1.4198/C101</f>
        <v>0.8351764705882353</v>
      </c>
      <c r="D103" s="2340">
        <f>1.4198/D101</f>
        <v>0.8351764705882353</v>
      </c>
      <c r="E103" s="2340">
        <f>1.3372/E101</f>
        <v>0.78658823529411759</v>
      </c>
      <c r="F103" s="2340">
        <f>1.3372/F101</f>
        <v>0.78658823529411759</v>
      </c>
      <c r="G103" s="2340">
        <f>1.3372/G101</f>
        <v>0.78658823529411759</v>
      </c>
      <c r="H103" s="2340">
        <f>1.3372/H101</f>
        <v>0.78658823529411759</v>
      </c>
      <c r="I103" s="2340">
        <f>1.3372/I101</f>
        <v>0.78658823529411759</v>
      </c>
      <c r="J103" s="2340">
        <f>1.2799/J101</f>
        <v>0.75288235294117656</v>
      </c>
      <c r="K103" s="2340">
        <f>1.2799/K101</f>
        <v>0.75288235294117656</v>
      </c>
      <c r="L103" s="2340">
        <f>1.2799/L101</f>
        <v>0.75288235294117656</v>
      </c>
      <c r="M103" s="2340">
        <f>1.2799/M101</f>
        <v>0.75288235294117656</v>
      </c>
      <c r="N103" s="2340">
        <f>1.2799/N101</f>
        <v>0.75288235294117656</v>
      </c>
    </row>
    <row r="104" spans="1:14">
      <c r="A104" s="3405"/>
      <c r="B104" s="2339">
        <v>3</v>
      </c>
      <c r="C104" s="2340">
        <f>1.1594/C101</f>
        <v>0.68200000000000005</v>
      </c>
      <c r="D104" s="2340">
        <f>1.1594/D101</f>
        <v>0.68200000000000005</v>
      </c>
      <c r="E104" s="2340">
        <f>1.0788/E101</f>
        <v>0.63458823529411768</v>
      </c>
      <c r="F104" s="2340">
        <f>1.0788/F101</f>
        <v>0.63458823529411768</v>
      </c>
      <c r="G104" s="2340">
        <f>1.0788/G101</f>
        <v>0.63458823529411768</v>
      </c>
      <c r="H104" s="2340">
        <f>1.0788/H101</f>
        <v>0.63458823529411768</v>
      </c>
      <c r="I104" s="2340">
        <f>1.0788/I101</f>
        <v>0.63458823529411768</v>
      </c>
      <c r="J104" s="2340">
        <f>1.0072/J101</f>
        <v>0.59247058823529419</v>
      </c>
      <c r="K104" s="2340">
        <f>1.0072/K101</f>
        <v>0.59247058823529419</v>
      </c>
      <c r="L104" s="2340">
        <f>1.0072/L101</f>
        <v>0.59247058823529419</v>
      </c>
      <c r="M104" s="2340">
        <f>1.0072/M101</f>
        <v>0.59247058823529419</v>
      </c>
      <c r="N104" s="2340">
        <f>1.0072/N101</f>
        <v>0.59247058823529419</v>
      </c>
    </row>
    <row r="105" spans="1:14">
      <c r="A105" s="3405"/>
      <c r="B105" s="2339">
        <v>4</v>
      </c>
      <c r="C105" s="2340">
        <f>0.9622/C101</f>
        <v>0.56600000000000006</v>
      </c>
      <c r="D105" s="2340">
        <f>0.9622/D101</f>
        <v>0.56600000000000006</v>
      </c>
      <c r="E105" s="2340">
        <f>0.8656/E101</f>
        <v>0.50917647058823534</v>
      </c>
      <c r="F105" s="2340">
        <f>0.8656/F101</f>
        <v>0.50917647058823534</v>
      </c>
      <c r="G105" s="2340">
        <f>0.8656/G101</f>
        <v>0.50917647058823534</v>
      </c>
      <c r="H105" s="2340">
        <f>0.8656/H101</f>
        <v>0.50917647058823534</v>
      </c>
      <c r="I105" s="2340">
        <f>0.8656/I101</f>
        <v>0.50917647058823534</v>
      </c>
      <c r="J105" s="2340">
        <f>0.7525/J101</f>
        <v>0.44264705882352939</v>
      </c>
      <c r="K105" s="2340">
        <f>0.7525/K101</f>
        <v>0.44264705882352939</v>
      </c>
      <c r="L105" s="2340">
        <f>0.7525/L101</f>
        <v>0.44264705882352939</v>
      </c>
      <c r="M105" s="2340">
        <f>0.7525/M101</f>
        <v>0.44264705882352939</v>
      </c>
      <c r="N105" s="2340">
        <f>0.7525/N101</f>
        <v>0.44264705882352939</v>
      </c>
    </row>
    <row r="106" spans="1:14">
      <c r="A106" s="3405"/>
      <c r="B106" s="2339">
        <v>5</v>
      </c>
      <c r="C106" s="2340">
        <f>0.8417/C101</f>
        <v>0.49511764705882355</v>
      </c>
      <c r="D106" s="2340">
        <f>0.8417/D101</f>
        <v>0.49511764705882355</v>
      </c>
      <c r="E106" s="2340">
        <f>0.7371/E101</f>
        <v>0.43358823529411766</v>
      </c>
      <c r="F106" s="2340">
        <f>0.7371/F101</f>
        <v>0.43358823529411766</v>
      </c>
      <c r="G106" s="2340">
        <f>0.7371/G101</f>
        <v>0.43358823529411766</v>
      </c>
      <c r="H106" s="2340">
        <f>0.7371/H101</f>
        <v>0.43358823529411766</v>
      </c>
      <c r="I106" s="2340">
        <f>0.7371/I101</f>
        <v>0.43358823529411766</v>
      </c>
      <c r="J106" s="2340">
        <f>0.5659/J101</f>
        <v>0.33288235294117646</v>
      </c>
      <c r="K106" s="2340">
        <f>0.5659/K101</f>
        <v>0.33288235294117646</v>
      </c>
      <c r="L106" s="2340">
        <f>0.5659/L101</f>
        <v>0.33288235294117646</v>
      </c>
      <c r="M106" s="2340">
        <f>0.5659/M101</f>
        <v>0.33288235294117646</v>
      </c>
      <c r="N106" s="2340">
        <f>0.5659/N101</f>
        <v>0.33288235294117646</v>
      </c>
    </row>
    <row r="107" spans="1:14">
      <c r="A107" s="3405"/>
      <c r="B107" s="2339">
        <v>6</v>
      </c>
      <c r="C107" s="2340">
        <f>0.7608/C101</f>
        <v>0.4475294117647059</v>
      </c>
      <c r="D107" s="2340">
        <f>0.7608/D101</f>
        <v>0.4475294117647059</v>
      </c>
      <c r="E107" s="2340">
        <f>0.6482/E101</f>
        <v>0.38129411764705884</v>
      </c>
      <c r="F107" s="2340">
        <f>0.6482/F101</f>
        <v>0.38129411764705884</v>
      </c>
      <c r="G107" s="2340">
        <f>0.6482/G101</f>
        <v>0.38129411764705884</v>
      </c>
      <c r="H107" s="2340">
        <f>0.6482/H101</f>
        <v>0.38129411764705884</v>
      </c>
      <c r="I107" s="2340">
        <f>0.6482/I101</f>
        <v>0.38129411764705884</v>
      </c>
      <c r="J107" s="2340">
        <f>0.4525/J101</f>
        <v>0.26617647058823529</v>
      </c>
      <c r="K107" s="2340">
        <f>0.4525/K101</f>
        <v>0.26617647058823529</v>
      </c>
      <c r="L107" s="2340">
        <f>0.4525/L101</f>
        <v>0.26617647058823529</v>
      </c>
      <c r="M107" s="2340">
        <f>0.4525/M101</f>
        <v>0.26617647058823529</v>
      </c>
      <c r="N107" s="2340">
        <f>0.4525/N101</f>
        <v>0.26617647058823529</v>
      </c>
    </row>
    <row r="108" spans="1:14">
      <c r="A108" s="3405"/>
      <c r="B108" s="3407" t="s">
        <v>2796</v>
      </c>
      <c r="C108" s="2341">
        <f>C99</f>
        <v>0</v>
      </c>
      <c r="D108" s="2341">
        <f t="shared" ref="D108:N108" si="31">D99</f>
        <v>0</v>
      </c>
      <c r="E108" s="2341">
        <f t="shared" si="31"/>
        <v>0</v>
      </c>
      <c r="F108" s="2341">
        <f t="shared" si="31"/>
        <v>0</v>
      </c>
      <c r="G108" s="2341">
        <f t="shared" si="31"/>
        <v>0</v>
      </c>
      <c r="H108" s="2341">
        <f t="shared" si="31"/>
        <v>0</v>
      </c>
      <c r="I108" s="2341">
        <f t="shared" si="31"/>
        <v>0</v>
      </c>
      <c r="J108" s="2341">
        <f t="shared" si="31"/>
        <v>0</v>
      </c>
      <c r="K108" s="2341">
        <f t="shared" si="31"/>
        <v>0</v>
      </c>
      <c r="L108" s="2341">
        <f t="shared" si="31"/>
        <v>0</v>
      </c>
      <c r="M108" s="2341">
        <f t="shared" si="31"/>
        <v>0</v>
      </c>
      <c r="N108" s="2341">
        <f t="shared" si="31"/>
        <v>0</v>
      </c>
    </row>
    <row r="109" spans="1:14">
      <c r="A109" s="3406"/>
      <c r="B109" s="3408"/>
      <c r="C109" s="2342">
        <f>(-0.163*(C108^2)-0.59*C108+7617)*(10^(-4))/C101</f>
        <v>0.44805882352941179</v>
      </c>
      <c r="D109" s="2342">
        <f>(-0.163*(D108^2)-0.59*D108+7617)*(10^(-4))/D101</f>
        <v>0.44805882352941179</v>
      </c>
      <c r="E109" s="2342">
        <f>(-0.161*(E108^2)-7.509*E108+6533)*(10^(-4))/E101</f>
        <v>0.38429411764705884</v>
      </c>
      <c r="F109" s="2342">
        <f>(-0.161*(F108^2)-7.509*F108+6533)*(10^(-4))/F101</f>
        <v>0.38429411764705884</v>
      </c>
      <c r="G109" s="2342">
        <f>(-0.161*(G108^2)-7.509*G108+6533)*(10^(-4))/G101</f>
        <v>0.38429411764705884</v>
      </c>
      <c r="H109" s="2342">
        <f>(-0.161*(H108^2)-7.509*H108+6533)*(10^(-4))/H101</f>
        <v>0.38429411764705884</v>
      </c>
      <c r="I109" s="2342">
        <f>(-0.161*(I108^2)-7.509*I108+6533)*(10^(-4))/I101</f>
        <v>0.38429411764705884</v>
      </c>
      <c r="J109" s="2342">
        <f>(-0.214*(J108^2)-21.991*J108+4665)*(10^(-4))/J101</f>
        <v>0.27441176470588236</v>
      </c>
      <c r="K109" s="2342">
        <f>(-0.214*(K108^2)-21.991*K108+4665)*(10^(-4))/K101</f>
        <v>0.27441176470588236</v>
      </c>
      <c r="L109" s="2342">
        <f>(-0.214*(L108^2)-21.991*L108+4665)*(10^(-4))/L101</f>
        <v>0.27441176470588236</v>
      </c>
      <c r="M109" s="2342">
        <f>(-0.214*(M108^2)-21.991*M108+4665)*(10^(-4))/M101</f>
        <v>0.27441176470588236</v>
      </c>
      <c r="N109" s="2342">
        <f>(-0.214*(N108^2)-21.991*N108+4665)*(10^(-4))/N101</f>
        <v>0.27441176470588236</v>
      </c>
    </row>
    <row r="110" spans="1:14">
      <c r="A110" s="3402" t="s">
        <v>2797</v>
      </c>
      <c r="B110" s="3402"/>
      <c r="C110" s="3402"/>
      <c r="D110" s="3402"/>
      <c r="E110" s="3402"/>
      <c r="F110" s="3402"/>
      <c r="G110" s="3402"/>
      <c r="H110" s="3402"/>
      <c r="I110" s="3402"/>
      <c r="J110" s="3402"/>
      <c r="K110" s="2345"/>
      <c r="L110" s="2345"/>
      <c r="M110" s="2345"/>
      <c r="N110" s="2345"/>
    </row>
    <row r="112" spans="1:14" ht="13.5" thickBot="1"/>
    <row r="113" spans="1:13" ht="25.5" thickBot="1">
      <c r="A113" s="835" t="s">
        <v>2798</v>
      </c>
      <c r="B113" s="1190">
        <f>G3</f>
        <v>1.7</v>
      </c>
      <c r="C113" s="836" t="s">
        <v>2799</v>
      </c>
      <c r="D113" s="837">
        <f>SUMPRODUCT((A115:A118=F113)*(B114:M114=H113)*B115:M118)</f>
        <v>0</v>
      </c>
      <c r="E113" s="2181" t="s">
        <v>2632</v>
      </c>
      <c r="F113" s="2347">
        <f>E2</f>
        <v>0</v>
      </c>
      <c r="G113" s="2181" t="s">
        <v>2633</v>
      </c>
      <c r="H113" s="2347">
        <f>G2</f>
        <v>0</v>
      </c>
      <c r="I113" s="2181"/>
      <c r="J113" s="2348"/>
      <c r="K113" s="2348"/>
      <c r="L113" s="2348"/>
      <c r="M113" s="2348"/>
    </row>
    <row r="114" spans="1:13">
      <c r="A114" s="840"/>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1" t="s">
        <v>2697</v>
      </c>
      <c r="B115" s="842">
        <f>ROUND(0.9335-0.0094*B113,4)</f>
        <v>0.91749999999999998</v>
      </c>
      <c r="C115" s="842">
        <f>B115</f>
        <v>0.91749999999999998</v>
      </c>
      <c r="D115" s="842">
        <f>ROUND(0.8331-0.0109*B113,4)</f>
        <v>0.81459999999999999</v>
      </c>
      <c r="E115" s="842">
        <f>D115</f>
        <v>0.81459999999999999</v>
      </c>
      <c r="F115" s="842">
        <f>E115</f>
        <v>0.81459999999999999</v>
      </c>
      <c r="G115" s="842">
        <f>F115</f>
        <v>0.81459999999999999</v>
      </c>
      <c r="H115" s="842">
        <f>G115</f>
        <v>0.81459999999999999</v>
      </c>
      <c r="I115" s="842">
        <f>ROUND(0.689-0.0155*B113,4)</f>
        <v>0.66269999999999996</v>
      </c>
      <c r="J115" s="842">
        <f t="shared" ref="J115:M118" si="32">I115</f>
        <v>0.66269999999999996</v>
      </c>
      <c r="K115" s="842">
        <f t="shared" si="32"/>
        <v>0.66269999999999996</v>
      </c>
      <c r="L115" s="842">
        <f t="shared" si="32"/>
        <v>0.66269999999999996</v>
      </c>
      <c r="M115" s="843">
        <f t="shared" si="32"/>
        <v>0.66269999999999996</v>
      </c>
    </row>
    <row r="116" spans="1:13">
      <c r="A116" s="841" t="s">
        <v>2698</v>
      </c>
      <c r="B116" s="842">
        <f>ROUND(0.949-0.012*B113,4)</f>
        <v>0.92859999999999998</v>
      </c>
      <c r="C116" s="842">
        <f>B116</f>
        <v>0.92859999999999998</v>
      </c>
      <c r="D116" s="842">
        <f>ROUND(0.8567-0.013*B113,4)</f>
        <v>0.83460000000000001</v>
      </c>
      <c r="E116" s="842">
        <f t="shared" ref="E116:H117" si="33">D116</f>
        <v>0.83460000000000001</v>
      </c>
      <c r="F116" s="842">
        <f t="shared" si="33"/>
        <v>0.83460000000000001</v>
      </c>
      <c r="G116" s="842">
        <f t="shared" si="33"/>
        <v>0.83460000000000001</v>
      </c>
      <c r="H116" s="842">
        <f t="shared" si="33"/>
        <v>0.83460000000000001</v>
      </c>
      <c r="I116" s="842">
        <f>ROUND(0.7694-0.014*B113,4)</f>
        <v>0.74560000000000004</v>
      </c>
      <c r="J116" s="842">
        <f t="shared" si="32"/>
        <v>0.74560000000000004</v>
      </c>
      <c r="K116" s="842">
        <f t="shared" si="32"/>
        <v>0.74560000000000004</v>
      </c>
      <c r="L116" s="842">
        <f t="shared" si="32"/>
        <v>0.74560000000000004</v>
      </c>
      <c r="M116" s="843">
        <f t="shared" si="32"/>
        <v>0.74560000000000004</v>
      </c>
    </row>
    <row r="117" spans="1:13">
      <c r="A117" s="841" t="s">
        <v>2699</v>
      </c>
      <c r="B117" s="842">
        <f>ROUND(0.8808-0.006*B113,4)</f>
        <v>0.87060000000000004</v>
      </c>
      <c r="C117" s="842">
        <f>B117</f>
        <v>0.87060000000000004</v>
      </c>
      <c r="D117" s="842">
        <f>ROUND(0.8748-0.008*B113,4)</f>
        <v>0.86119999999999997</v>
      </c>
      <c r="E117" s="842">
        <f t="shared" si="33"/>
        <v>0.86119999999999997</v>
      </c>
      <c r="F117" s="842">
        <f t="shared" si="33"/>
        <v>0.86119999999999997</v>
      </c>
      <c r="G117" s="842">
        <f t="shared" si="33"/>
        <v>0.86119999999999997</v>
      </c>
      <c r="H117" s="842">
        <f t="shared" si="33"/>
        <v>0.86119999999999997</v>
      </c>
      <c r="I117" s="842">
        <f>ROUND(0.7412-0.0095*B113,4)</f>
        <v>0.72509999999999997</v>
      </c>
      <c r="J117" s="842">
        <f t="shared" si="32"/>
        <v>0.72509999999999997</v>
      </c>
      <c r="K117" s="842">
        <f t="shared" si="32"/>
        <v>0.72509999999999997</v>
      </c>
      <c r="L117" s="842">
        <f t="shared" si="32"/>
        <v>0.72509999999999997</v>
      </c>
      <c r="M117" s="843">
        <f t="shared" si="32"/>
        <v>0.72509999999999997</v>
      </c>
    </row>
    <row r="118" spans="1:13" ht="13.5" thickBot="1">
      <c r="A118" s="669" t="s">
        <v>2700</v>
      </c>
      <c r="B118" s="844">
        <f>ROUND(0.7275-0.01*B113,4)</f>
        <v>0.71050000000000002</v>
      </c>
      <c r="C118" s="844">
        <f>B118</f>
        <v>0.71050000000000002</v>
      </c>
      <c r="D118" s="844">
        <f>ROUND(0.7043-0.012*B113,4)</f>
        <v>0.68389999999999995</v>
      </c>
      <c r="E118" s="844">
        <f>D118</f>
        <v>0.68389999999999995</v>
      </c>
      <c r="F118" s="844">
        <f>E118</f>
        <v>0.68389999999999995</v>
      </c>
      <c r="G118" s="844">
        <f>ROUND(0.6299-0.0122*B113,4)</f>
        <v>0.60919999999999996</v>
      </c>
      <c r="H118" s="844">
        <f>G118</f>
        <v>0.60919999999999996</v>
      </c>
      <c r="I118" s="844">
        <f>ROUND(0.5667-0.0136*B113,4)</f>
        <v>0.54359999999999997</v>
      </c>
      <c r="J118" s="844">
        <f t="shared" si="32"/>
        <v>0.54359999999999997</v>
      </c>
      <c r="K118" s="844">
        <f t="shared" si="32"/>
        <v>0.54359999999999997</v>
      </c>
      <c r="L118" s="844">
        <f t="shared" si="32"/>
        <v>0.54359999999999997</v>
      </c>
      <c r="M118" s="845">
        <f t="shared" si="32"/>
        <v>0.54359999999999997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SUM(J6:J10,J13)</f>
        <v>155</v>
      </c>
      <c r="K15" s="807">
        <f>SUM(K6:K10,K13)</f>
        <v>155</v>
      </c>
      <c r="L15" s="807">
        <f>SUM(L6:L10,L13)</f>
        <v>155</v>
      </c>
      <c r="M15" s="807">
        <f>SUM(M6:M10,M13)</f>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25" t="s">
        <v>183</v>
      </c>
      <c r="B18" s="814" t="s">
        <v>560</v>
      </c>
      <c r="C18" s="815" t="s">
        <v>561</v>
      </c>
      <c r="D18" s="816"/>
      <c r="E18" s="814">
        <v>1</v>
      </c>
      <c r="F18" s="817" t="s">
        <v>562</v>
      </c>
      <c r="G18" s="818"/>
      <c r="H18" s="810"/>
      <c r="I18" s="810"/>
    </row>
    <row r="19" spans="1:9" s="819" customFormat="1" ht="19.5" customHeight="1">
      <c r="A19" s="3425"/>
      <c r="B19" s="3425" t="s">
        <v>563</v>
      </c>
      <c r="C19" s="815" t="s">
        <v>564</v>
      </c>
      <c r="D19" s="816"/>
      <c r="E19" s="814">
        <v>0.9</v>
      </c>
      <c r="F19" s="817" t="s">
        <v>565</v>
      </c>
      <c r="G19" s="818"/>
      <c r="H19" s="810"/>
      <c r="I19" s="810"/>
    </row>
    <row r="20" spans="1:9" s="819" customFormat="1" ht="19.5" customHeight="1">
      <c r="A20" s="3425"/>
      <c r="B20" s="3425"/>
      <c r="C20" s="815" t="s">
        <v>566</v>
      </c>
      <c r="D20" s="816"/>
      <c r="E20" s="814">
        <v>1.1000000000000001</v>
      </c>
      <c r="F20" s="817" t="s">
        <v>567</v>
      </c>
      <c r="G20" s="818"/>
      <c r="H20" s="810"/>
      <c r="I20" s="810"/>
    </row>
    <row r="21" spans="1:9" s="819" customFormat="1" ht="19.5" customHeight="1">
      <c r="A21" s="3425"/>
      <c r="B21" s="3425"/>
      <c r="C21" s="815" t="s">
        <v>568</v>
      </c>
      <c r="D21" s="816"/>
      <c r="E21" s="814">
        <v>0.8</v>
      </c>
      <c r="F21" s="817" t="s">
        <v>569</v>
      </c>
      <c r="G21" s="818"/>
      <c r="H21" s="810"/>
      <c r="I21" s="810"/>
    </row>
    <row r="22" spans="1:9" s="819" customFormat="1" ht="19.5" customHeight="1">
      <c r="A22" s="3425"/>
      <c r="B22" s="3425"/>
      <c r="C22" s="815" t="s">
        <v>570</v>
      </c>
      <c r="D22" s="816"/>
      <c r="E22" s="814">
        <v>0.5</v>
      </c>
      <c r="F22" s="817"/>
      <c r="G22" s="818"/>
      <c r="H22" s="810"/>
      <c r="I22" s="810"/>
    </row>
    <row r="23" spans="1:9" s="819" customFormat="1" ht="19.5" customHeight="1">
      <c r="A23" s="3425" t="s">
        <v>184</v>
      </c>
      <c r="B23" s="814" t="s">
        <v>560</v>
      </c>
      <c r="C23" s="815" t="s">
        <v>571</v>
      </c>
      <c r="D23" s="816"/>
      <c r="E23" s="814">
        <v>1</v>
      </c>
      <c r="F23" s="817" t="s">
        <v>572</v>
      </c>
      <c r="G23" s="818"/>
      <c r="H23" s="810"/>
      <c r="I23" s="810"/>
    </row>
    <row r="24" spans="1:9" s="819" customFormat="1" ht="19.5" customHeight="1">
      <c r="A24" s="3425"/>
      <c r="B24" s="3425" t="s">
        <v>563</v>
      </c>
      <c r="C24" s="815" t="s">
        <v>573</v>
      </c>
      <c r="D24" s="816"/>
      <c r="E24" s="814">
        <v>0.5</v>
      </c>
      <c r="F24" s="817"/>
      <c r="G24" s="818"/>
      <c r="H24" s="810"/>
      <c r="I24" s="810"/>
    </row>
    <row r="25" spans="1:9" s="819" customFormat="1" ht="19.5" customHeight="1">
      <c r="A25" s="3425"/>
      <c r="B25" s="3425"/>
      <c r="C25" s="815" t="s">
        <v>574</v>
      </c>
      <c r="D25" s="816"/>
      <c r="E25" s="814">
        <v>1.1000000000000001</v>
      </c>
      <c r="F25" s="817"/>
      <c r="G25" s="818"/>
      <c r="H25" s="810"/>
      <c r="I25" s="810"/>
    </row>
    <row r="26" spans="1:9" s="819" customFormat="1" ht="19.5" customHeight="1">
      <c r="A26" s="3425"/>
      <c r="B26" s="3425"/>
      <c r="C26" s="815" t="s">
        <v>575</v>
      </c>
      <c r="D26" s="816"/>
      <c r="E26" s="814">
        <v>1.1000000000000001</v>
      </c>
      <c r="F26" s="817"/>
      <c r="G26" s="818"/>
      <c r="H26" s="810"/>
      <c r="I26" s="810"/>
    </row>
    <row r="27" spans="1:9" s="819" customFormat="1" ht="19.5" customHeight="1">
      <c r="A27" s="3425"/>
      <c r="B27" s="3425"/>
      <c r="C27" s="815" t="s">
        <v>576</v>
      </c>
      <c r="D27" s="816"/>
      <c r="E27" s="814">
        <v>0.9</v>
      </c>
      <c r="F27" s="817" t="s">
        <v>577</v>
      </c>
      <c r="G27" s="818"/>
      <c r="H27" s="810"/>
      <c r="I27" s="810"/>
    </row>
    <row r="28" spans="1:9" s="819" customFormat="1" ht="19.5" customHeight="1">
      <c r="A28" s="3425"/>
      <c r="B28" s="3425"/>
      <c r="C28" s="815" t="s">
        <v>578</v>
      </c>
      <c r="D28" s="816"/>
      <c r="E28" s="814">
        <v>0.9</v>
      </c>
      <c r="F28" s="817" t="s">
        <v>579</v>
      </c>
      <c r="G28" s="818"/>
      <c r="H28" s="810"/>
      <c r="I28" s="810"/>
    </row>
    <row r="29" spans="1:9" s="819" customFormat="1" ht="19.5" customHeight="1">
      <c r="A29" s="3425"/>
      <c r="B29" s="3425"/>
      <c r="C29" s="815" t="s">
        <v>580</v>
      </c>
      <c r="D29" s="816"/>
      <c r="E29" s="814">
        <v>0.9</v>
      </c>
      <c r="F29" s="817" t="s">
        <v>581</v>
      </c>
      <c r="G29" s="818"/>
      <c r="H29" s="810"/>
      <c r="I29" s="810"/>
    </row>
    <row r="30" spans="1:9" s="819" customFormat="1" ht="19.5" customHeight="1">
      <c r="A30" s="3425"/>
      <c r="B30" s="3425"/>
      <c r="C30" s="815" t="s">
        <v>582</v>
      </c>
      <c r="D30" s="816"/>
      <c r="E30" s="814">
        <v>0.9</v>
      </c>
      <c r="F30" s="817" t="s">
        <v>583</v>
      </c>
      <c r="G30" s="818"/>
      <c r="H30" s="810"/>
      <c r="I30" s="810"/>
    </row>
    <row r="31" spans="1:9" s="819" customFormat="1" ht="19.5" customHeight="1">
      <c r="A31" s="3425"/>
      <c r="B31" s="3425"/>
      <c r="C31" s="815" t="s">
        <v>584</v>
      </c>
      <c r="D31" s="816"/>
      <c r="E31" s="814">
        <v>0.8</v>
      </c>
      <c r="F31" s="817" t="s">
        <v>585</v>
      </c>
      <c r="G31" s="818"/>
      <c r="H31" s="810"/>
      <c r="I31" s="810"/>
    </row>
    <row r="32" spans="1:9" s="819" customFormat="1" ht="19.5" customHeight="1">
      <c r="A32" s="3425"/>
      <c r="B32" s="3425"/>
      <c r="C32" s="815" t="s">
        <v>586</v>
      </c>
      <c r="D32" s="816"/>
      <c r="E32" s="814">
        <v>0.8</v>
      </c>
      <c r="F32" s="817" t="s">
        <v>587</v>
      </c>
      <c r="G32" s="818"/>
      <c r="H32" s="810"/>
      <c r="I32" s="810"/>
    </row>
    <row r="33" spans="1:9" s="819" customFormat="1" ht="19.5" customHeight="1">
      <c r="A33" s="3425" t="s">
        <v>185</v>
      </c>
      <c r="B33" s="814" t="s">
        <v>560</v>
      </c>
      <c r="C33" s="815" t="s">
        <v>588</v>
      </c>
      <c r="D33" s="816"/>
      <c r="E33" s="814">
        <v>1</v>
      </c>
      <c r="F33" s="817" t="s">
        <v>589</v>
      </c>
      <c r="G33" s="818"/>
      <c r="H33" s="810"/>
      <c r="I33" s="810"/>
    </row>
    <row r="34" spans="1:9" s="819" customFormat="1" ht="19.5" customHeight="1">
      <c r="A34" s="3425"/>
      <c r="B34" s="814" t="s">
        <v>563</v>
      </c>
      <c r="C34" s="815" t="s">
        <v>590</v>
      </c>
      <c r="D34" s="816"/>
      <c r="E34" s="814">
        <v>1.5</v>
      </c>
      <c r="F34" s="817" t="s">
        <v>591</v>
      </c>
      <c r="G34" s="818"/>
      <c r="H34" s="810"/>
      <c r="I34" s="810"/>
    </row>
    <row r="35" spans="1:9" s="819" customFormat="1" ht="19.5" customHeight="1">
      <c r="A35" s="3425" t="s">
        <v>186</v>
      </c>
      <c r="B35" s="814" t="s">
        <v>560</v>
      </c>
      <c r="C35" s="815" t="s">
        <v>592</v>
      </c>
      <c r="D35" s="816"/>
      <c r="E35" s="814">
        <v>1</v>
      </c>
      <c r="F35" s="817" t="s">
        <v>593</v>
      </c>
      <c r="G35" s="818"/>
      <c r="H35" s="810"/>
      <c r="I35" s="810"/>
    </row>
    <row r="36" spans="1:9" s="819" customFormat="1" ht="19.5" customHeight="1">
      <c r="A36" s="3425"/>
      <c r="B36" s="3425" t="s">
        <v>563</v>
      </c>
      <c r="C36" s="815" t="s">
        <v>594</v>
      </c>
      <c r="D36" s="816"/>
      <c r="E36" s="814">
        <v>1</v>
      </c>
      <c r="F36" s="817" t="s">
        <v>595</v>
      </c>
      <c r="G36" s="818"/>
      <c r="H36" s="810"/>
      <c r="I36" s="810"/>
    </row>
    <row r="37" spans="1:9" s="819" customFormat="1" ht="19.5" customHeight="1">
      <c r="A37" s="3425"/>
      <c r="B37" s="3425"/>
      <c r="C37" s="815" t="s">
        <v>596</v>
      </c>
      <c r="D37" s="816"/>
      <c r="E37" s="814">
        <v>1.5</v>
      </c>
      <c r="F37" s="817" t="s">
        <v>597</v>
      </c>
      <c r="G37" s="818"/>
      <c r="H37" s="810"/>
      <c r="I37" s="810"/>
    </row>
    <row r="38" spans="1:9" s="819" customFormat="1" ht="19.5" customHeight="1">
      <c r="A38" s="3425"/>
      <c r="B38" s="3425"/>
      <c r="C38" s="815" t="s">
        <v>598</v>
      </c>
      <c r="D38" s="816"/>
      <c r="E38" s="814">
        <v>1</v>
      </c>
      <c r="F38" s="817" t="s">
        <v>599</v>
      </c>
      <c r="G38" s="818"/>
      <c r="H38" s="810"/>
      <c r="I38" s="810"/>
    </row>
    <row r="39" spans="1:9" s="819" customFormat="1" ht="19.5" customHeight="1">
      <c r="A39" s="3425"/>
      <c r="B39" s="3425"/>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25" t="s">
        <v>614</v>
      </c>
      <c r="C61" s="750" t="s">
        <v>615</v>
      </c>
      <c r="D61" s="750" t="s">
        <v>616</v>
      </c>
      <c r="E61" s="827">
        <v>0.5</v>
      </c>
      <c r="F61" s="814">
        <v>80</v>
      </c>
    </row>
    <row r="62" spans="1:8" s="810" customFormat="1" ht="24">
      <c r="A62" s="814">
        <v>2</v>
      </c>
      <c r="B62" s="3425"/>
      <c r="C62" s="750" t="s">
        <v>617</v>
      </c>
      <c r="D62" s="750" t="s">
        <v>618</v>
      </c>
      <c r="E62" s="827">
        <v>0.5</v>
      </c>
      <c r="F62" s="814">
        <v>80</v>
      </c>
    </row>
    <row r="63" spans="1:8" s="810" customFormat="1" ht="36">
      <c r="A63" s="814">
        <v>3</v>
      </c>
      <c r="B63" s="3425"/>
      <c r="C63" s="750" t="s">
        <v>619</v>
      </c>
      <c r="D63" s="750" t="s">
        <v>620</v>
      </c>
      <c r="E63" s="827">
        <v>0.5</v>
      </c>
      <c r="F63" s="814">
        <v>80</v>
      </c>
    </row>
    <row r="64" spans="1:8" s="810" customFormat="1" ht="36">
      <c r="A64" s="814">
        <v>4</v>
      </c>
      <c r="B64" s="3425"/>
      <c r="C64" s="750" t="s">
        <v>621</v>
      </c>
      <c r="D64" s="750" t="s">
        <v>622</v>
      </c>
      <c r="E64" s="827">
        <v>0.4</v>
      </c>
      <c r="F64" s="814">
        <v>60</v>
      </c>
    </row>
    <row r="65" spans="1:6" s="810" customFormat="1" ht="36">
      <c r="A65" s="814">
        <v>5</v>
      </c>
      <c r="B65" s="3425"/>
      <c r="C65" s="750" t="s">
        <v>623</v>
      </c>
      <c r="D65" s="750" t="s">
        <v>624</v>
      </c>
      <c r="E65" s="827">
        <v>0.2</v>
      </c>
      <c r="F65" s="814">
        <v>30</v>
      </c>
    </row>
    <row r="66" spans="1:6" s="810" customFormat="1" ht="36">
      <c r="A66" s="814">
        <v>6</v>
      </c>
      <c r="B66" s="3425"/>
      <c r="C66" s="750" t="s">
        <v>625</v>
      </c>
      <c r="D66" s="750" t="s">
        <v>626</v>
      </c>
      <c r="E66" s="827">
        <v>0.3</v>
      </c>
      <c r="F66" s="814">
        <v>50</v>
      </c>
    </row>
    <row r="67" spans="1:6" s="810" customFormat="1" ht="36">
      <c r="A67" s="814">
        <v>7</v>
      </c>
      <c r="B67" s="3425"/>
      <c r="C67" s="750" t="s">
        <v>627</v>
      </c>
      <c r="D67" s="750" t="s">
        <v>628</v>
      </c>
      <c r="E67" s="827">
        <v>0.2</v>
      </c>
      <c r="F67" s="814">
        <v>30</v>
      </c>
    </row>
    <row r="68" spans="1:6" s="810" customFormat="1" ht="36">
      <c r="A68" s="814">
        <v>8</v>
      </c>
      <c r="B68" s="3425"/>
      <c r="C68" s="750" t="s">
        <v>629</v>
      </c>
      <c r="D68" s="750" t="s">
        <v>630</v>
      </c>
      <c r="E68" s="827">
        <v>0.2</v>
      </c>
      <c r="F68" s="814">
        <v>30</v>
      </c>
    </row>
    <row r="69" spans="1:6" s="810" customFormat="1" ht="36">
      <c r="A69" s="814">
        <v>9</v>
      </c>
      <c r="B69" s="3425"/>
      <c r="C69" s="750" t="s">
        <v>631</v>
      </c>
      <c r="D69" s="750" t="s">
        <v>632</v>
      </c>
      <c r="E69" s="827">
        <v>0.2</v>
      </c>
      <c r="F69" s="814">
        <v>30</v>
      </c>
    </row>
    <row r="70" spans="1:6" s="810" customFormat="1" ht="48">
      <c r="A70" s="814">
        <v>10</v>
      </c>
      <c r="B70" s="3425"/>
      <c r="C70" s="750" t="s">
        <v>633</v>
      </c>
      <c r="D70" s="750" t="s">
        <v>634</v>
      </c>
      <c r="E70" s="827">
        <v>0.2</v>
      </c>
      <c r="F70" s="814">
        <v>30</v>
      </c>
    </row>
    <row r="71" spans="1:6" s="810" customFormat="1" ht="48">
      <c r="A71" s="814">
        <v>11</v>
      </c>
      <c r="B71" s="3425"/>
      <c r="C71" s="750" t="s">
        <v>635</v>
      </c>
      <c r="D71" s="750" t="s">
        <v>636</v>
      </c>
      <c r="E71" s="827">
        <v>0.2</v>
      </c>
      <c r="F71" s="814">
        <v>30</v>
      </c>
    </row>
    <row r="72" spans="1:6" s="810" customFormat="1" ht="36">
      <c r="A72" s="814">
        <v>12</v>
      </c>
      <c r="B72" s="3425"/>
      <c r="C72" s="750" t="s">
        <v>637</v>
      </c>
      <c r="D72" s="750" t="s">
        <v>638</v>
      </c>
      <c r="E72" s="827">
        <v>0.5</v>
      </c>
      <c r="F72" s="814">
        <v>80</v>
      </c>
    </row>
    <row r="73" spans="1:6" s="810" customFormat="1" ht="24">
      <c r="A73" s="814">
        <v>13</v>
      </c>
      <c r="B73" s="3425"/>
      <c r="C73" s="750" t="s">
        <v>639</v>
      </c>
      <c r="D73" s="750" t="s">
        <v>640</v>
      </c>
      <c r="E73" s="827">
        <v>0.4</v>
      </c>
      <c r="F73" s="814">
        <v>60</v>
      </c>
    </row>
    <row r="74" spans="1:6" s="810" customFormat="1" ht="24">
      <c r="A74" s="814">
        <v>14</v>
      </c>
      <c r="B74" s="3425"/>
      <c r="C74" s="750" t="s">
        <v>641</v>
      </c>
      <c r="D74" s="750" t="s">
        <v>642</v>
      </c>
      <c r="E74" s="827">
        <v>0.2</v>
      </c>
      <c r="F74" s="814">
        <v>30</v>
      </c>
    </row>
    <row r="75" spans="1:6" s="810" customFormat="1" ht="24">
      <c r="A75" s="814">
        <v>15</v>
      </c>
      <c r="B75" s="3425"/>
      <c r="C75" s="750" t="s">
        <v>643</v>
      </c>
      <c r="D75" s="750" t="s">
        <v>644</v>
      </c>
      <c r="E75" s="827">
        <v>0.2</v>
      </c>
      <c r="F75" s="814">
        <v>30</v>
      </c>
    </row>
    <row r="76" spans="1:6" s="810" customFormat="1" ht="24">
      <c r="A76" s="814">
        <v>16</v>
      </c>
      <c r="B76" s="3425" t="s">
        <v>645</v>
      </c>
      <c r="C76" s="750" t="s">
        <v>646</v>
      </c>
      <c r="D76" s="750" t="s">
        <v>647</v>
      </c>
      <c r="E76" s="827">
        <v>0.5</v>
      </c>
      <c r="F76" s="814">
        <v>80</v>
      </c>
    </row>
    <row r="77" spans="1:6" s="810" customFormat="1" ht="24">
      <c r="A77" s="814">
        <v>17</v>
      </c>
      <c r="B77" s="3425"/>
      <c r="C77" s="750" t="s">
        <v>648</v>
      </c>
      <c r="D77" s="750" t="s">
        <v>649</v>
      </c>
      <c r="E77" s="827">
        <v>0.5</v>
      </c>
      <c r="F77" s="814">
        <v>80</v>
      </c>
    </row>
    <row r="78" spans="1:6" s="810" customFormat="1" ht="24">
      <c r="A78" s="814">
        <v>18</v>
      </c>
      <c r="B78" s="3425"/>
      <c r="C78" s="750" t="s">
        <v>650</v>
      </c>
      <c r="D78" s="750" t="s">
        <v>651</v>
      </c>
      <c r="E78" s="827">
        <v>0.2</v>
      </c>
      <c r="F78" s="814">
        <v>30</v>
      </c>
    </row>
    <row r="79" spans="1:6" s="810" customFormat="1" ht="24">
      <c r="A79" s="814">
        <v>19</v>
      </c>
      <c r="B79" s="3425"/>
      <c r="C79" s="750" t="s">
        <v>652</v>
      </c>
      <c r="D79" s="750" t="s">
        <v>653</v>
      </c>
      <c r="E79" s="827">
        <v>0.5</v>
      </c>
      <c r="F79" s="814">
        <v>80</v>
      </c>
    </row>
    <row r="80" spans="1:6" s="810" customFormat="1" ht="36">
      <c r="A80" s="814">
        <v>20</v>
      </c>
      <c r="B80" s="3425"/>
      <c r="C80" s="750" t="s">
        <v>654</v>
      </c>
      <c r="D80" s="750" t="s">
        <v>655</v>
      </c>
      <c r="E80" s="827">
        <v>0.2</v>
      </c>
      <c r="F80" s="814">
        <v>30</v>
      </c>
    </row>
    <row r="81" spans="1:6" s="810" customFormat="1" ht="36">
      <c r="A81" s="814">
        <v>21</v>
      </c>
      <c r="B81" s="3425"/>
      <c r="C81" s="750" t="s">
        <v>656</v>
      </c>
      <c r="D81" s="750" t="s">
        <v>657</v>
      </c>
      <c r="E81" s="827">
        <v>0.2</v>
      </c>
      <c r="F81" s="814">
        <v>30</v>
      </c>
    </row>
    <row r="82" spans="1:6" s="810" customFormat="1" ht="48">
      <c r="A82" s="814">
        <v>22</v>
      </c>
      <c r="B82" s="3425"/>
      <c r="C82" s="750" t="s">
        <v>658</v>
      </c>
      <c r="D82" s="750" t="s">
        <v>659</v>
      </c>
      <c r="E82" s="827">
        <v>0.2</v>
      </c>
      <c r="F82" s="814">
        <v>30</v>
      </c>
    </row>
    <row r="83" spans="1:6" s="810" customFormat="1" ht="48">
      <c r="A83" s="814">
        <v>23</v>
      </c>
      <c r="B83" s="3425"/>
      <c r="C83" s="750" t="s">
        <v>660</v>
      </c>
      <c r="D83" s="750" t="s">
        <v>661</v>
      </c>
      <c r="E83" s="827">
        <v>0.2</v>
      </c>
      <c r="F83" s="814">
        <v>30</v>
      </c>
    </row>
    <row r="84" spans="1:6" s="810" customFormat="1" ht="36">
      <c r="A84" s="814">
        <v>24</v>
      </c>
      <c r="B84" s="3425"/>
      <c r="C84" s="750" t="s">
        <v>662</v>
      </c>
      <c r="D84" s="750" t="s">
        <v>663</v>
      </c>
      <c r="E84" s="827">
        <v>0.2</v>
      </c>
      <c r="F84" s="814">
        <v>30</v>
      </c>
    </row>
    <row r="85" spans="1:6" s="810" customFormat="1" ht="36">
      <c r="A85" s="814">
        <v>25</v>
      </c>
      <c r="B85" s="3425"/>
      <c r="C85" s="750" t="s">
        <v>664</v>
      </c>
      <c r="D85" s="750" t="s">
        <v>665</v>
      </c>
      <c r="E85" s="827">
        <v>0.5</v>
      </c>
      <c r="F85" s="814">
        <v>80</v>
      </c>
    </row>
    <row r="86" spans="1:6" s="810" customFormat="1" ht="36">
      <c r="A86" s="814">
        <v>26</v>
      </c>
      <c r="B86" s="3425"/>
      <c r="C86" s="750" t="s">
        <v>666</v>
      </c>
      <c r="D86" s="750" t="s">
        <v>667</v>
      </c>
      <c r="E86" s="827">
        <v>0.2</v>
      </c>
      <c r="F86" s="814">
        <v>30</v>
      </c>
    </row>
    <row r="87" spans="1:6" s="810" customFormat="1" ht="36">
      <c r="A87" s="814">
        <v>27</v>
      </c>
      <c r="B87" s="3425"/>
      <c r="C87" s="750" t="s">
        <v>668</v>
      </c>
      <c r="D87" s="750" t="s">
        <v>669</v>
      </c>
      <c r="E87" s="827">
        <v>0.2</v>
      </c>
      <c r="F87" s="814">
        <v>30</v>
      </c>
    </row>
    <row r="88" spans="1:6" s="810" customFormat="1" ht="36">
      <c r="A88" s="814">
        <v>28</v>
      </c>
      <c r="B88" s="3425"/>
      <c r="C88" s="750" t="s">
        <v>670</v>
      </c>
      <c r="D88" s="750" t="s">
        <v>671</v>
      </c>
      <c r="E88" s="827">
        <v>0.2</v>
      </c>
      <c r="F88" s="814">
        <v>30</v>
      </c>
    </row>
    <row r="89" spans="1:6" s="810" customFormat="1" ht="24">
      <c r="A89" s="814">
        <v>29</v>
      </c>
      <c r="B89" s="3425"/>
      <c r="C89" s="750" t="s">
        <v>672</v>
      </c>
      <c r="D89" s="750" t="s">
        <v>673</v>
      </c>
      <c r="E89" s="827">
        <v>0.2</v>
      </c>
      <c r="F89" s="814">
        <v>30</v>
      </c>
    </row>
    <row r="90" spans="1:6" s="810" customFormat="1" ht="24">
      <c r="A90" s="814">
        <v>30</v>
      </c>
      <c r="B90" s="3425"/>
      <c r="C90" s="750" t="s">
        <v>674</v>
      </c>
      <c r="D90" s="750" t="s">
        <v>675</v>
      </c>
      <c r="E90" s="827">
        <v>0.2</v>
      </c>
      <c r="F90" s="814">
        <v>30</v>
      </c>
    </row>
    <row r="91" spans="1:6" s="810" customFormat="1" ht="36">
      <c r="A91" s="814">
        <v>31</v>
      </c>
      <c r="B91" s="3425"/>
      <c r="C91" s="750" t="s">
        <v>676</v>
      </c>
      <c r="D91" s="750" t="s">
        <v>677</v>
      </c>
      <c r="E91" s="827">
        <v>0.2</v>
      </c>
      <c r="F91" s="814">
        <v>30</v>
      </c>
    </row>
    <row r="92" spans="1:6" s="810" customFormat="1" ht="24">
      <c r="A92" s="814">
        <v>32</v>
      </c>
      <c r="B92" s="3425" t="s">
        <v>678</v>
      </c>
      <c r="C92" s="814" t="s">
        <v>679</v>
      </c>
      <c r="D92" s="750" t="s">
        <v>680</v>
      </c>
      <c r="E92" s="827">
        <v>0.2</v>
      </c>
      <c r="F92" s="814">
        <v>30</v>
      </c>
    </row>
    <row r="93" spans="1:6" s="810" customFormat="1" ht="36">
      <c r="A93" s="814">
        <v>33</v>
      </c>
      <c r="B93" s="3425"/>
      <c r="C93" s="814" t="s">
        <v>681</v>
      </c>
      <c r="D93" s="750" t="s">
        <v>682</v>
      </c>
      <c r="E93" s="827">
        <v>0.2</v>
      </c>
      <c r="F93" s="814">
        <v>30</v>
      </c>
    </row>
    <row r="94" spans="1:6" s="810" customFormat="1" ht="48">
      <c r="A94" s="814">
        <v>34</v>
      </c>
      <c r="B94" s="3425"/>
      <c r="C94" s="814" t="s">
        <v>683</v>
      </c>
      <c r="D94" s="750" t="s">
        <v>684</v>
      </c>
      <c r="E94" s="827">
        <v>0.2</v>
      </c>
      <c r="F94" s="814">
        <v>30</v>
      </c>
    </row>
    <row r="95" spans="1:6" s="810" customFormat="1" ht="36">
      <c r="A95" s="814">
        <v>35</v>
      </c>
      <c r="B95" s="3425"/>
      <c r="C95" s="814" t="s">
        <v>685</v>
      </c>
      <c r="D95" s="750" t="s">
        <v>686</v>
      </c>
      <c r="E95" s="827">
        <v>0.2</v>
      </c>
      <c r="F95" s="814">
        <v>30</v>
      </c>
    </row>
    <row r="96" spans="1:6" s="810" customFormat="1" ht="48">
      <c r="A96" s="814">
        <v>36</v>
      </c>
      <c r="B96" s="3425"/>
      <c r="C96" s="750" t="s">
        <v>687</v>
      </c>
      <c r="D96" s="750" t="s">
        <v>688</v>
      </c>
      <c r="E96" s="827">
        <v>0.2</v>
      </c>
      <c r="F96" s="814">
        <v>30</v>
      </c>
    </row>
    <row r="97" spans="1:6" s="810" customFormat="1" ht="36">
      <c r="A97" s="814">
        <v>37</v>
      </c>
      <c r="B97" s="3425"/>
      <c r="C97" s="814" t="s">
        <v>689</v>
      </c>
      <c r="D97" s="750" t="s">
        <v>690</v>
      </c>
      <c r="E97" s="827">
        <v>0.2</v>
      </c>
      <c r="F97" s="814">
        <v>30</v>
      </c>
    </row>
    <row r="98" spans="1:6" s="810" customFormat="1" ht="36">
      <c r="A98" s="814">
        <v>38</v>
      </c>
      <c r="B98" s="3425"/>
      <c r="C98" s="814" t="s">
        <v>691</v>
      </c>
      <c r="D98" s="750" t="s">
        <v>692</v>
      </c>
      <c r="E98" s="827">
        <v>0.2</v>
      </c>
      <c r="F98" s="814">
        <v>30</v>
      </c>
    </row>
    <row r="99" spans="1:6" s="810" customFormat="1" ht="36">
      <c r="A99" s="814">
        <v>39</v>
      </c>
      <c r="B99" s="3425" t="s">
        <v>693</v>
      </c>
      <c r="C99" s="814" t="s">
        <v>694</v>
      </c>
      <c r="D99" s="750" t="s">
        <v>695</v>
      </c>
      <c r="E99" s="827">
        <v>0.3</v>
      </c>
      <c r="F99" s="814">
        <v>50</v>
      </c>
    </row>
    <row r="100" spans="1:6" s="810" customFormat="1" ht="24">
      <c r="A100" s="814">
        <v>40</v>
      </c>
      <c r="B100" s="3425"/>
      <c r="C100" s="814" t="s">
        <v>696</v>
      </c>
      <c r="D100" s="750" t="s">
        <v>697</v>
      </c>
      <c r="E100" s="827">
        <v>0.2</v>
      </c>
      <c r="F100" s="814">
        <v>30</v>
      </c>
    </row>
    <row r="101" spans="1:6" s="810" customFormat="1" ht="36">
      <c r="A101" s="814">
        <v>41</v>
      </c>
      <c r="B101" s="3425"/>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25" t="s">
        <v>708</v>
      </c>
      <c r="C105" s="814" t="s">
        <v>709</v>
      </c>
      <c r="D105" s="750" t="s">
        <v>710</v>
      </c>
      <c r="E105" s="827">
        <v>0.2</v>
      </c>
      <c r="F105" s="814">
        <v>30</v>
      </c>
    </row>
    <row r="106" spans="1:6" s="810" customFormat="1" ht="36">
      <c r="A106" s="814">
        <v>46</v>
      </c>
      <c r="B106" s="3425"/>
      <c r="C106" s="814" t="s">
        <v>711</v>
      </c>
      <c r="D106" s="750" t="s">
        <v>712</v>
      </c>
      <c r="E106" s="827">
        <v>0.2</v>
      </c>
      <c r="F106" s="814">
        <v>30</v>
      </c>
    </row>
    <row r="107" spans="1:6" s="810" customFormat="1" ht="36">
      <c r="A107" s="814">
        <v>47</v>
      </c>
      <c r="B107" s="3425" t="s">
        <v>713</v>
      </c>
      <c r="C107" s="814" t="s">
        <v>714</v>
      </c>
      <c r="D107" s="750" t="s">
        <v>715</v>
      </c>
      <c r="E107" s="827">
        <v>0.3</v>
      </c>
      <c r="F107" s="814">
        <v>50</v>
      </c>
    </row>
    <row r="108" spans="1:6" s="810" customFormat="1" ht="36">
      <c r="A108" s="814">
        <v>48</v>
      </c>
      <c r="B108" s="3425"/>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25" t="s">
        <v>724</v>
      </c>
      <c r="C111" s="814" t="s">
        <v>725</v>
      </c>
      <c r="D111" s="750" t="s">
        <v>726</v>
      </c>
      <c r="E111" s="827">
        <v>0.2</v>
      </c>
      <c r="F111" s="814">
        <v>30</v>
      </c>
    </row>
    <row r="112" spans="1:6" s="810" customFormat="1" ht="24">
      <c r="A112" s="814">
        <v>52</v>
      </c>
      <c r="B112" s="3425"/>
      <c r="C112" s="814" t="s">
        <v>727</v>
      </c>
      <c r="D112" s="750" t="s">
        <v>728</v>
      </c>
      <c r="E112" s="827">
        <v>0.2</v>
      </c>
      <c r="F112" s="814">
        <v>30</v>
      </c>
    </row>
    <row r="113" spans="1:6" s="810" customFormat="1" ht="24">
      <c r="A113" s="814">
        <v>53</v>
      </c>
      <c r="B113" s="3425"/>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25" t="s">
        <v>737</v>
      </c>
      <c r="C116" s="814" t="s">
        <v>738</v>
      </c>
      <c r="D116" s="750" t="s">
        <v>739</v>
      </c>
      <c r="E116" s="827">
        <v>0.2</v>
      </c>
      <c r="F116" s="814">
        <v>30</v>
      </c>
    </row>
    <row r="117" spans="1:6" ht="36">
      <c r="A117" s="814">
        <v>57</v>
      </c>
      <c r="B117" s="3425"/>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72"/>
      <c r="B4" s="3098" t="s">
        <v>1595</v>
      </c>
      <c r="C4" s="3098"/>
      <c r="D4" s="3098"/>
      <c r="E4" s="1672"/>
    </row>
    <row r="5" spans="1:5" ht="16.5" thickTop="1">
      <c r="A5" s="1670"/>
      <c r="B5" s="3096" t="s">
        <v>1587</v>
      </c>
      <c r="C5" s="1673" t="s">
        <v>1588</v>
      </c>
      <c r="D5" s="952">
        <f ca="1">结果表!H101</f>
        <v>261758</v>
      </c>
      <c r="E5" s="1670"/>
    </row>
    <row r="6" spans="1:5" ht="15.75">
      <c r="A6" s="1670"/>
      <c r="B6" s="3096"/>
      <c r="C6" s="1673" t="s">
        <v>1589</v>
      </c>
      <c r="D6" s="952" t="str">
        <f ca="1">NUMBERSTRING(INT(D5*10000),2)&amp;"元整"</f>
        <v>贰拾陆亿壹仟柒佰伍拾捌万元整</v>
      </c>
      <c r="E6" s="1670"/>
    </row>
    <row r="7" spans="1:5" ht="15.75">
      <c r="A7" s="1670"/>
      <c r="B7" s="3101"/>
      <c r="C7" s="1674" t="s">
        <v>1590</v>
      </c>
      <c r="D7" s="953">
        <f ca="1">结果表!H102</f>
        <v>25685</v>
      </c>
      <c r="E7" s="1670"/>
    </row>
    <row r="8" spans="1:5" ht="15.75">
      <c r="A8" s="1670"/>
      <c r="B8" s="3102" t="str">
        <f>结果表!E103</f>
        <v>2.估价师知悉的法定优先受偿款</v>
      </c>
      <c r="C8" s="1675" t="s">
        <v>1591</v>
      </c>
      <c r="D8" s="953">
        <f>结果表!H103</f>
        <v>0</v>
      </c>
      <c r="E8" s="1670"/>
    </row>
    <row r="9" spans="1:5" ht="15.75">
      <c r="A9" s="1670"/>
      <c r="B9" s="3104"/>
      <c r="C9" s="1673" t="s">
        <v>1589</v>
      </c>
      <c r="D9" s="952" t="str">
        <f>NUMBERSTRING(INT(D8*10000),2)&amp;"元整"</f>
        <v>零元整</v>
      </c>
      <c r="E9" s="1670"/>
    </row>
    <row r="10" spans="1:5" ht="15">
      <c r="A10" s="1670"/>
      <c r="B10" s="1676" t="s">
        <v>1594</v>
      </c>
      <c r="C10" s="1677" t="s">
        <v>1592</v>
      </c>
      <c r="D10" s="954">
        <f>结果表!H104</f>
        <v>0</v>
      </c>
      <c r="E10" s="1670"/>
    </row>
    <row r="11" spans="1:5" ht="15">
      <c r="A11" s="1670"/>
      <c r="B11" s="1676" t="s">
        <v>1596</v>
      </c>
      <c r="C11" s="1677" t="s">
        <v>1597</v>
      </c>
      <c r="D11" s="954">
        <f>结果表!H105</f>
        <v>0</v>
      </c>
      <c r="E11" s="1670"/>
    </row>
    <row r="12" spans="1:5" ht="15">
      <c r="A12" s="1670"/>
      <c r="B12" s="1676" t="s">
        <v>1598</v>
      </c>
      <c r="C12" s="1677" t="s">
        <v>1597</v>
      </c>
      <c r="D12" s="954">
        <f>结果表!H106</f>
        <v>0</v>
      </c>
      <c r="E12" s="1670"/>
    </row>
    <row r="13" spans="1:5" ht="15.75">
      <c r="A13" s="1670"/>
      <c r="B13" s="3095" t="str">
        <f>结果表!E107</f>
        <v>3.房地产抵押价值</v>
      </c>
      <c r="C13" s="1678" t="s">
        <v>1588</v>
      </c>
      <c r="D13" s="955">
        <f ca="1">结果表!H107</f>
        <v>261758</v>
      </c>
      <c r="E13" s="1670"/>
    </row>
    <row r="14" spans="1:5" ht="15.75">
      <c r="A14" s="1670"/>
      <c r="B14" s="3096"/>
      <c r="C14" s="1673" t="s">
        <v>1589</v>
      </c>
      <c r="D14" s="952" t="str">
        <f ca="1">NUMBERSTRING(INT(D13*10000),2)&amp;"元整"</f>
        <v>贰拾陆亿壹仟柒佰伍拾捌万元整</v>
      </c>
      <c r="E14" s="1670"/>
    </row>
    <row r="15" spans="1:5" ht="15">
      <c r="A15" s="1670"/>
      <c r="B15" s="3101"/>
      <c r="C15" s="1674" t="s">
        <v>1599</v>
      </c>
      <c r="D15" s="961">
        <f ca="1">结果表!H108</f>
        <v>25685</v>
      </c>
      <c r="E15" s="1670"/>
    </row>
    <row r="16" spans="1:5" ht="15">
      <c r="A16" s="1670"/>
      <c r="B16" s="3102" t="str">
        <f>结果表!E109</f>
        <v>——</v>
      </c>
      <c r="C16" s="1678" t="s">
        <v>1600</v>
      </c>
      <c r="D16" s="1679" t="str">
        <f>结果表!H109</f>
        <v>——</v>
      </c>
      <c r="E16" s="1670"/>
    </row>
    <row r="17" spans="1:5" ht="15.75">
      <c r="A17" s="1670"/>
      <c r="B17" s="3103"/>
      <c r="C17" s="1673" t="s">
        <v>1601</v>
      </c>
      <c r="D17" s="952" t="e">
        <f>NUMBERSTRING(INT(D16*10000),2)&amp;"元整"</f>
        <v>#VALUE!</v>
      </c>
      <c r="E17" s="1670"/>
    </row>
    <row r="18" spans="1:5" ht="15">
      <c r="A18" s="1670"/>
      <c r="B18" s="3104"/>
      <c r="C18" s="1674" t="s">
        <v>1590</v>
      </c>
      <c r="D18" s="961" t="str">
        <f>结果表!H110</f>
        <v>——</v>
      </c>
      <c r="E18" s="1670"/>
    </row>
    <row r="19" spans="1:5" ht="15.75">
      <c r="A19" s="1670"/>
      <c r="B19" s="3095" t="str">
        <f>结果表!E111</f>
        <v>——</v>
      </c>
      <c r="C19" s="1678" t="s">
        <v>1588</v>
      </c>
      <c r="D19" s="953" t="str">
        <f>结果表!H111</f>
        <v>——</v>
      </c>
      <c r="E19" s="1670"/>
    </row>
    <row r="20" spans="1:5" ht="15.75">
      <c r="A20" s="1670"/>
      <c r="B20" s="3096"/>
      <c r="C20" s="1673" t="s">
        <v>1601</v>
      </c>
      <c r="D20" s="952" t="e">
        <f>NUMBERSTRING(INT(D19*10000),2)&amp;"元整"</f>
        <v>#VALUE!</v>
      </c>
      <c r="E20" s="1670"/>
    </row>
    <row r="21" spans="1:5" ht="15.75" thickBot="1">
      <c r="A21" s="1670"/>
      <c r="B21" s="3097"/>
      <c r="C21" s="1680" t="s">
        <v>1599</v>
      </c>
      <c r="D21" s="962"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4"/>
      <c r="G1" s="3014"/>
      <c r="H1" s="3014"/>
      <c r="I1" s="3014"/>
      <c r="J1" s="3014"/>
      <c r="K1" s="3014"/>
      <c r="L1" s="3014"/>
      <c r="M1" s="3014"/>
      <c r="N1" s="3014"/>
      <c r="O1" s="3014"/>
      <c r="P1" s="3014"/>
    </row>
    <row r="2" spans="1:16" ht="15.75">
      <c r="A2" s="2354" t="s">
        <v>2812</v>
      </c>
      <c r="B2" s="2818" t="e">
        <f ca="1">SUMIF(B6:B13,"&lt;&gt;#ref!",B6:B13)</f>
        <v>#DIV/0!</v>
      </c>
      <c r="C2" s="2354" t="s">
        <v>2813</v>
      </c>
      <c r="D2" s="2354" t="s">
        <v>2814</v>
      </c>
      <c r="E2" s="2828">
        <f ca="1">SUMIF(E6:E13,"&lt;&gt;#ref!",E6:E13)</f>
        <v>0</v>
      </c>
      <c r="F2" s="3014"/>
      <c r="G2" s="3014"/>
      <c r="H2" s="3014"/>
      <c r="I2" s="3014"/>
      <c r="J2" s="3014"/>
      <c r="K2" s="3014"/>
      <c r="L2" s="3014"/>
      <c r="M2" s="3014"/>
      <c r="N2" s="3014"/>
      <c r="O2" s="3014"/>
      <c r="P2" s="3014"/>
    </row>
    <row r="3" spans="1:16" ht="15.75">
      <c r="A3" s="2354" t="s">
        <v>2815</v>
      </c>
      <c r="B3" s="2818" t="e">
        <f ca="1">ROUND(B2*10000/E2,0)</f>
        <v>#DIV/0!</v>
      </c>
      <c r="C3" s="2354"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5"/>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4" t="s">
        <v>2813</v>
      </c>
      <c r="D6" s="3014"/>
      <c r="E6" s="2828">
        <f ca="1">SUMIF(INDIRECT("'"&amp;A6&amp;"'"&amp;"!C:C"),"建筑面积",INDIRECT("'"&amp;A6&amp;"'"&amp;"!D:D"))</f>
        <v>0</v>
      </c>
      <c r="F6" s="3014"/>
      <c r="G6" s="3014"/>
      <c r="H6" s="3014"/>
      <c r="I6" s="3014"/>
      <c r="J6" s="3014"/>
      <c r="K6" s="3014"/>
      <c r="L6" s="3014"/>
      <c r="M6" s="3014"/>
      <c r="N6" s="3014"/>
      <c r="O6" s="3014"/>
      <c r="P6" s="3014"/>
    </row>
    <row r="7" spans="1:16" ht="15.75">
      <c r="A7" s="2825"/>
      <c r="B7" s="2818" t="e">
        <f ca="1">SUMIF(INDIRECT("'"&amp;A7&amp;"'"&amp;"!A:A"),"总价",INDIRECT("'"&amp;A7&amp;"'"&amp;"!B:B"))</f>
        <v>#REF!</v>
      </c>
      <c r="C7" s="2354"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7" sqref="C7:Q40"/>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B16" si="2">B6*(1+N5)</f>
        <v>483.1434279321756</v>
      </c>
      <c r="C5" s="2406">
        <f t="shared" ref="C5:C16" si="3">C6*(1+O5)</f>
        <v>345.93622669144776</v>
      </c>
      <c r="D5" s="2406">
        <f t="shared" ref="D5:D21" si="4">C5</f>
        <v>345.93622669144776</v>
      </c>
      <c r="E5" s="2406">
        <f t="shared" ref="E5:E16" si="5">E6*(1+P5)</f>
        <v>694.24498562544113</v>
      </c>
      <c r="F5" s="2406">
        <f t="shared" ref="F5:F16" si="6">F6*(1+Q5)</f>
        <v>319.35475932716082</v>
      </c>
      <c r="G5" s="3030">
        <v>2020</v>
      </c>
      <c r="H5" s="2408">
        <v>4</v>
      </c>
      <c r="I5" s="2409">
        <v>0</v>
      </c>
      <c r="J5" s="2409">
        <v>0</v>
      </c>
      <c r="K5" s="2409">
        <v>0</v>
      </c>
      <c r="L5" s="2409">
        <v>0</v>
      </c>
      <c r="N5" s="2411">
        <f t="shared" ref="N5:Q8" si="7">I5/100</f>
        <v>0</v>
      </c>
      <c r="O5" s="2411">
        <f t="shared" si="7"/>
        <v>0</v>
      </c>
      <c r="P5" s="2411">
        <f t="shared" si="7"/>
        <v>0</v>
      </c>
      <c r="Q5" s="2411">
        <f t="shared" si="7"/>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Z16" si="8">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AF16" si="9">AE5</f>
        <v>1.14E-2</v>
      </c>
      <c r="AG5" s="2415">
        <f>ROUND(AVERAGE(K5:K$32)/100,4)</f>
        <v>1.9199999999999998E-2</v>
      </c>
      <c r="AH5" s="2415">
        <f>ROUND(AVERAGE(L5:L$32)/100,4)</f>
        <v>1.23E-2</v>
      </c>
    </row>
    <row r="6" spans="1:34" s="2423" customFormat="1">
      <c r="A6" s="2416" t="s">
        <v>3055</v>
      </c>
      <c r="B6" s="2417">
        <f t="shared" si="2"/>
        <v>483.1434279321756</v>
      </c>
      <c r="C6" s="2417">
        <f t="shared" si="3"/>
        <v>345.93622669144776</v>
      </c>
      <c r="D6" s="2417">
        <f t="shared" si="4"/>
        <v>345.93622669144776</v>
      </c>
      <c r="E6" s="2417">
        <f t="shared" si="5"/>
        <v>694.24498562544113</v>
      </c>
      <c r="F6" s="2417">
        <f t="shared" si="6"/>
        <v>319.35475932716082</v>
      </c>
      <c r="G6" s="3030">
        <v>2020</v>
      </c>
      <c r="H6" s="2418">
        <v>3</v>
      </c>
      <c r="I6" s="2380">
        <v>0.36</v>
      </c>
      <c r="J6" s="2380">
        <v>-0.39</v>
      </c>
      <c r="K6" s="2380">
        <v>0.49</v>
      </c>
      <c r="L6" s="2381">
        <v>7.0000000000000007E-2</v>
      </c>
      <c r="M6" s="2403"/>
      <c r="N6" s="2419">
        <f t="shared" si="7"/>
        <v>3.5999999999999999E-3</v>
      </c>
      <c r="O6" s="2404">
        <f t="shared" si="7"/>
        <v>-3.9000000000000003E-3</v>
      </c>
      <c r="P6" s="2404">
        <f t="shared" si="7"/>
        <v>4.8999999999999998E-3</v>
      </c>
      <c r="Q6" s="2404">
        <f t="shared" si="7"/>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si="8"/>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si="9"/>
        <v>1.1900000000000001E-2</v>
      </c>
      <c r="AG6" s="2422">
        <f>ROUND(AVERAGE(K6:K$32)/100,4)</f>
        <v>1.9900000000000001E-2</v>
      </c>
      <c r="AH6" s="2422">
        <f>ROUND(AVERAGE(L6:L$32)/100,4)</f>
        <v>1.2800000000000001E-2</v>
      </c>
    </row>
    <row r="7" spans="1:34" s="2423" customFormat="1">
      <c r="A7" s="2416" t="s">
        <v>2870</v>
      </c>
      <c r="B7" s="2417">
        <f t="shared" si="2"/>
        <v>481.4103506697644</v>
      </c>
      <c r="C7" s="2417">
        <f t="shared" si="3"/>
        <v>347.29066026648707</v>
      </c>
      <c r="D7" s="2417">
        <f t="shared" si="4"/>
        <v>347.29066026648707</v>
      </c>
      <c r="E7" s="2417">
        <f t="shared" si="5"/>
        <v>690.85977273901995</v>
      </c>
      <c r="F7" s="2417">
        <f t="shared" si="6"/>
        <v>319.13136737000184</v>
      </c>
      <c r="G7" s="2407">
        <v>2020</v>
      </c>
      <c r="H7" s="2418">
        <v>2</v>
      </c>
      <c r="I7" s="2380">
        <v>0.31</v>
      </c>
      <c r="J7" s="2380">
        <v>-0.78</v>
      </c>
      <c r="K7" s="2380">
        <v>0.5</v>
      </c>
      <c r="L7" s="2381">
        <v>0.47</v>
      </c>
      <c r="M7" s="2403"/>
      <c r="N7" s="2419">
        <f t="shared" si="7"/>
        <v>3.0999999999999999E-3</v>
      </c>
      <c r="O7" s="2404">
        <f t="shared" si="7"/>
        <v>-7.8000000000000005E-3</v>
      </c>
      <c r="P7" s="2404">
        <f t="shared" si="7"/>
        <v>5.0000000000000001E-3</v>
      </c>
      <c r="Q7" s="2404">
        <f t="shared" si="7"/>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si="8"/>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si="9"/>
        <v>1.2500000000000001E-2</v>
      </c>
      <c r="AG7" s="2422">
        <f>ROUND(AVERAGE(K7:K$32)/100,4)</f>
        <v>2.0400000000000001E-2</v>
      </c>
      <c r="AH7" s="2422">
        <f>ROUND(AVERAGE(L7:L$32)/100,4)</f>
        <v>1.32E-2</v>
      </c>
    </row>
    <row r="8" spans="1:34" s="2423" customFormat="1">
      <c r="A8" s="2416" t="s">
        <v>2868</v>
      </c>
      <c r="B8" s="2417">
        <f t="shared" si="2"/>
        <v>479.92259063878413</v>
      </c>
      <c r="C8" s="2417">
        <f t="shared" si="3"/>
        <v>350.02082268341775</v>
      </c>
      <c r="D8" s="2417">
        <f t="shared" si="4"/>
        <v>350.02082268341775</v>
      </c>
      <c r="E8" s="2417">
        <f t="shared" si="5"/>
        <v>687.42265944181099</v>
      </c>
      <c r="F8" s="2417">
        <f t="shared" si="6"/>
        <v>317.63846657708956</v>
      </c>
      <c r="G8" s="2407">
        <v>2020</v>
      </c>
      <c r="H8" s="2418">
        <v>1</v>
      </c>
      <c r="I8" s="2380">
        <v>0.12</v>
      </c>
      <c r="J8" s="2380">
        <v>-0.4</v>
      </c>
      <c r="K8" s="2380">
        <v>0.21</v>
      </c>
      <c r="L8" s="2381">
        <v>0.27</v>
      </c>
      <c r="M8" s="2403"/>
      <c r="N8" s="2419">
        <f t="shared" si="7"/>
        <v>1.1999999999999999E-3</v>
      </c>
      <c r="O8" s="2404">
        <f t="shared" si="7"/>
        <v>-4.0000000000000001E-3</v>
      </c>
      <c r="P8" s="2404">
        <f t="shared" si="7"/>
        <v>2.0999999999999999E-3</v>
      </c>
      <c r="Q8" s="2404">
        <f t="shared" si="7"/>
        <v>2.7000000000000001E-3</v>
      </c>
      <c r="R8" s="2420"/>
      <c r="S8" s="2419">
        <f>B8/B9-1</f>
        <v>1.2000000000000899E-3</v>
      </c>
      <c r="T8" s="2404">
        <f>C8/C9-1</f>
        <v>-4.0000000000000036E-3</v>
      </c>
      <c r="U8" s="2404">
        <f>D8/D9-1</f>
        <v>-4.0000000000000036E-3</v>
      </c>
      <c r="V8" s="2404">
        <f>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si="8"/>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si="9"/>
        <v>1.3299999999999999E-2</v>
      </c>
      <c r="AG8" s="2422">
        <f>ROUND(AVERAGE(K8:K$32)/100,4)</f>
        <v>2.1100000000000001E-2</v>
      </c>
      <c r="AH8" s="2422">
        <f>ROUND(AVERAGE(L8:L$32)/100,4)</f>
        <v>1.3599999999999999E-2</v>
      </c>
    </row>
    <row r="9" spans="1:34" s="2423" customFormat="1">
      <c r="A9" s="2416" t="s">
        <v>2867</v>
      </c>
      <c r="B9" s="2417">
        <f t="shared" si="2"/>
        <v>479.34737379023579</v>
      </c>
      <c r="C9" s="2417">
        <f t="shared" si="3"/>
        <v>351.4265287986122</v>
      </c>
      <c r="D9" s="2417">
        <f t="shared" si="4"/>
        <v>351.4265287986122</v>
      </c>
      <c r="E9" s="2417">
        <f t="shared" si="5"/>
        <v>685.98209703803116</v>
      </c>
      <c r="F9" s="2417">
        <f t="shared" si="6"/>
        <v>316.78315206651001</v>
      </c>
      <c r="G9" s="2407">
        <v>2019</v>
      </c>
      <c r="H9" s="2418">
        <v>4</v>
      </c>
      <c r="I9" s="2418">
        <v>0.45</v>
      </c>
      <c r="J9" s="2418">
        <v>-0.12</v>
      </c>
      <c r="K9" s="2418">
        <v>0.54</v>
      </c>
      <c r="L9" s="2424">
        <v>0.48</v>
      </c>
      <c r="M9" s="2403"/>
      <c r="N9" s="2419">
        <f t="shared" ref="N9:N14" si="10">I9/100</f>
        <v>4.5000000000000005E-3</v>
      </c>
      <c r="O9" s="2404">
        <f t="shared" ref="O9:O19" si="11">J9/100</f>
        <v>-1.1999999999999999E-3</v>
      </c>
      <c r="P9" s="2404">
        <f t="shared" ref="P9:P19" si="12">K9/100</f>
        <v>5.4000000000000003E-3</v>
      </c>
      <c r="Q9" s="2404">
        <f t="shared" ref="Q9:Q19" si="13">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si="8"/>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si="9"/>
        <v>1.4E-2</v>
      </c>
      <c r="AG9" s="2422">
        <f>ROUND(AVERAGE(K9:K$32)/100,4)</f>
        <v>2.1899999999999999E-2</v>
      </c>
      <c r="AH9" s="2422">
        <f>ROUND(AVERAGE(L9:L$32)/100,4)</f>
        <v>1.4E-2</v>
      </c>
    </row>
    <row r="10" spans="1:34" s="2423" customFormat="1" ht="13.5" thickBot="1">
      <c r="A10" s="2416" t="s">
        <v>2866</v>
      </c>
      <c r="B10" s="2417">
        <f t="shared" si="2"/>
        <v>477.19997390765138</v>
      </c>
      <c r="C10" s="2417">
        <f t="shared" si="3"/>
        <v>351.84874729536665</v>
      </c>
      <c r="D10" s="2417">
        <f t="shared" si="4"/>
        <v>351.84874729536665</v>
      </c>
      <c r="E10" s="2417">
        <f t="shared" si="5"/>
        <v>682.29768951465201</v>
      </c>
      <c r="F10" s="2417">
        <f t="shared" si="6"/>
        <v>315.26985675409043</v>
      </c>
      <c r="G10" s="2407">
        <v>2019</v>
      </c>
      <c r="H10" s="2418">
        <v>3</v>
      </c>
      <c r="I10" s="2418">
        <v>0.61</v>
      </c>
      <c r="J10" s="2418">
        <v>0.67</v>
      </c>
      <c r="K10" s="2418">
        <v>0.6</v>
      </c>
      <c r="L10" s="2424">
        <v>1.03</v>
      </c>
      <c r="M10" s="2403"/>
      <c r="N10" s="2419">
        <f t="shared" si="10"/>
        <v>6.0999999999999995E-3</v>
      </c>
      <c r="O10" s="2404">
        <f t="shared" si="11"/>
        <v>6.7000000000000002E-3</v>
      </c>
      <c r="P10" s="2404">
        <f t="shared" si="12"/>
        <v>6.0000000000000001E-3</v>
      </c>
      <c r="Q10" s="2404">
        <f t="shared" si="13"/>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si="8"/>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si="9"/>
        <v>1.47E-2</v>
      </c>
      <c r="AG10" s="2422">
        <f>ROUND(AVERAGE(K10:K$32)/100,4)</f>
        <v>2.2599999999999999E-2</v>
      </c>
      <c r="AH10" s="2422">
        <f>ROUND(AVERAGE(L10:L$32)/100,4)</f>
        <v>1.44E-2</v>
      </c>
    </row>
    <row r="11" spans="1:34" s="2423" customFormat="1">
      <c r="A11" s="2416" t="s">
        <v>2864</v>
      </c>
      <c r="B11" s="2417">
        <f t="shared" si="2"/>
        <v>474.30670301923408</v>
      </c>
      <c r="C11" s="2417">
        <f t="shared" si="3"/>
        <v>349.50705005996491</v>
      </c>
      <c r="D11" s="2417">
        <f t="shared" si="4"/>
        <v>349.50705005996491</v>
      </c>
      <c r="E11" s="2417">
        <f t="shared" si="5"/>
        <v>678.22831959706957</v>
      </c>
      <c r="F11" s="2417">
        <f t="shared" si="6"/>
        <v>312.0556832169558</v>
      </c>
      <c r="G11" s="2407">
        <v>2019</v>
      </c>
      <c r="H11" s="2425">
        <v>2</v>
      </c>
      <c r="I11" s="2425">
        <v>1.53</v>
      </c>
      <c r="J11" s="2425">
        <v>1.01</v>
      </c>
      <c r="K11" s="2425">
        <v>1.62</v>
      </c>
      <c r="L11" s="2426">
        <v>1.25</v>
      </c>
      <c r="M11" s="2403"/>
      <c r="N11" s="2419">
        <f t="shared" si="10"/>
        <v>1.5300000000000001E-2</v>
      </c>
      <c r="O11" s="2404">
        <f t="shared" si="11"/>
        <v>1.01E-2</v>
      </c>
      <c r="P11" s="2404">
        <f t="shared" si="12"/>
        <v>1.6200000000000003E-2</v>
      </c>
      <c r="Q11" s="2404">
        <f t="shared" si="13"/>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si="8"/>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si="9"/>
        <v>1.4999999999999999E-2</v>
      </c>
      <c r="AG11" s="2422">
        <f>ROUND(AVERAGE(K11:K$32)/100,4)</f>
        <v>2.3300000000000001E-2</v>
      </c>
      <c r="AH11" s="2422">
        <f>ROUND(AVERAGE(L11:L$32)/100,4)</f>
        <v>1.46E-2</v>
      </c>
    </row>
    <row r="12" spans="1:34" s="2423" customFormat="1" ht="13.5" thickBot="1">
      <c r="A12" s="2416" t="s">
        <v>2862</v>
      </c>
      <c r="B12" s="2417">
        <f t="shared" si="2"/>
        <v>467.15916775261894</v>
      </c>
      <c r="C12" s="2417">
        <f t="shared" si="3"/>
        <v>346.01232557169084</v>
      </c>
      <c r="D12" s="2417">
        <f t="shared" si="4"/>
        <v>346.01232557169084</v>
      </c>
      <c r="E12" s="2417">
        <f t="shared" si="5"/>
        <v>667.41617752122568</v>
      </c>
      <c r="F12" s="2417">
        <f t="shared" si="6"/>
        <v>308.20314391798104</v>
      </c>
      <c r="G12" s="2407">
        <v>2019</v>
      </c>
      <c r="H12" s="2418">
        <v>1</v>
      </c>
      <c r="I12" s="2418">
        <v>0.6</v>
      </c>
      <c r="J12" s="2418">
        <v>0.37</v>
      </c>
      <c r="K12" s="2418">
        <v>0.63</v>
      </c>
      <c r="L12" s="2424">
        <v>1.1299999999999999</v>
      </c>
      <c r="M12" s="2403"/>
      <c r="N12" s="2419">
        <f t="shared" si="10"/>
        <v>6.0000000000000001E-3</v>
      </c>
      <c r="O12" s="2404">
        <f t="shared" si="11"/>
        <v>3.7000000000000002E-3</v>
      </c>
      <c r="P12" s="2404">
        <f t="shared" si="12"/>
        <v>6.3E-3</v>
      </c>
      <c r="Q12" s="2404">
        <f t="shared" si="13"/>
        <v>1.1299999999999999E-2</v>
      </c>
      <c r="R12" s="2420"/>
      <c r="S12" s="2419">
        <f>B12/B13-1</f>
        <v>6.0000000000000053E-3</v>
      </c>
      <c r="T12" s="2404">
        <f>C12/C13-1</f>
        <v>3.7000000000000366E-3</v>
      </c>
      <c r="U12" s="2404">
        <f>D12/D13-1</f>
        <v>3.7000000000000366E-3</v>
      </c>
      <c r="V12" s="2404">
        <f>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si="8"/>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si="9"/>
        <v>1.5299999999999999E-2</v>
      </c>
      <c r="AG12" s="2422">
        <f>ROUND(AVERAGE(K12:K$32)/100,4)</f>
        <v>2.3699999999999999E-2</v>
      </c>
      <c r="AH12" s="2422">
        <f>ROUND(AVERAGE(L12:L$32)/100,4)</f>
        <v>1.47E-2</v>
      </c>
    </row>
    <row r="13" spans="1:34" s="2423" customFormat="1">
      <c r="A13" s="2416" t="s">
        <v>2865</v>
      </c>
      <c r="B13" s="2427">
        <f t="shared" si="2"/>
        <v>464.37293017158942</v>
      </c>
      <c r="C13" s="2427">
        <f t="shared" si="3"/>
        <v>344.73679941385956</v>
      </c>
      <c r="D13" s="2427">
        <f t="shared" si="4"/>
        <v>344.73679941385956</v>
      </c>
      <c r="E13" s="2427">
        <f t="shared" si="5"/>
        <v>663.2377795103107</v>
      </c>
      <c r="F13" s="2428">
        <f t="shared" si="6"/>
        <v>304.75936311478398</v>
      </c>
      <c r="G13" s="3429">
        <v>2018</v>
      </c>
      <c r="H13" s="2425">
        <v>4</v>
      </c>
      <c r="I13" s="2425">
        <v>0.96</v>
      </c>
      <c r="J13" s="2425">
        <v>1.03</v>
      </c>
      <c r="K13" s="2425">
        <v>0.92</v>
      </c>
      <c r="L13" s="2426">
        <v>1.29</v>
      </c>
      <c r="M13" s="2403"/>
      <c r="N13" s="2419">
        <f t="shared" si="10"/>
        <v>9.5999999999999992E-3</v>
      </c>
      <c r="O13" s="2404">
        <f t="shared" si="11"/>
        <v>1.03E-2</v>
      </c>
      <c r="P13" s="2404">
        <f t="shared" si="12"/>
        <v>9.1999999999999998E-3</v>
      </c>
      <c r="Q13" s="2404">
        <f t="shared" si="13"/>
        <v>1.29E-2</v>
      </c>
      <c r="R13" s="2420"/>
      <c r="S13" s="2419"/>
      <c r="T13" s="2404"/>
      <c r="U13" s="2404"/>
      <c r="V13" s="2404"/>
      <c r="W13" s="2421"/>
      <c r="X13" s="2421">
        <f>ROUND(SUMPRODUCT(PRODUCT(1+N13:N$31)),4)</f>
        <v>1.5099</v>
      </c>
      <c r="Y13" s="2421">
        <f>ROUND(SUMPRODUCT(PRODUCT(1+O13:O$31)),4)</f>
        <v>1.3372999999999999</v>
      </c>
      <c r="Z13" s="2421">
        <f t="shared" si="8"/>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si="9"/>
        <v>1.5800000000000002E-2</v>
      </c>
      <c r="AG13" s="2422">
        <f>ROUND(AVERAGE(K13:K$32)/100,4)</f>
        <v>2.4500000000000001E-2</v>
      </c>
      <c r="AH13" s="2422">
        <f>ROUND(AVERAGE(L13:L$32)/100,4)</f>
        <v>1.49E-2</v>
      </c>
    </row>
    <row r="14" spans="1:34" s="2423" customFormat="1" ht="14.45" customHeight="1">
      <c r="A14" s="2416" t="s">
        <v>2860</v>
      </c>
      <c r="B14" s="2417">
        <f t="shared" si="2"/>
        <v>459.95733971036987</v>
      </c>
      <c r="C14" s="2417">
        <f t="shared" si="3"/>
        <v>341.22221064422405</v>
      </c>
      <c r="D14" s="2417">
        <f t="shared" si="4"/>
        <v>341.22221064422405</v>
      </c>
      <c r="E14" s="2417">
        <f t="shared" si="5"/>
        <v>657.19161663724799</v>
      </c>
      <c r="F14" s="2417">
        <f t="shared" si="6"/>
        <v>300.87803644464805</v>
      </c>
      <c r="G14" s="3429"/>
      <c r="H14" s="2418">
        <v>3</v>
      </c>
      <c r="I14" s="2418">
        <v>1.51</v>
      </c>
      <c r="J14" s="2418">
        <v>1.41</v>
      </c>
      <c r="K14" s="2418">
        <v>1.52</v>
      </c>
      <c r="L14" s="2424">
        <v>1.74</v>
      </c>
      <c r="M14" s="2403"/>
      <c r="N14" s="2419">
        <f t="shared" si="10"/>
        <v>1.5100000000000001E-2</v>
      </c>
      <c r="O14" s="2404">
        <f t="shared" si="11"/>
        <v>1.41E-2</v>
      </c>
      <c r="P14" s="2404">
        <f t="shared" si="12"/>
        <v>1.52E-2</v>
      </c>
      <c r="Q14" s="2404">
        <f t="shared" si="13"/>
        <v>1.7399999999999999E-2</v>
      </c>
      <c r="R14" s="2420"/>
      <c r="S14" s="2419"/>
      <c r="T14" s="2404"/>
      <c r="U14" s="2404"/>
      <c r="V14" s="2404"/>
      <c r="W14" s="2421"/>
      <c r="X14" s="2421">
        <f>ROUND(SUMPRODUCT(PRODUCT(1+N14:N$31)),4)</f>
        <v>1.4956</v>
      </c>
      <c r="Y14" s="2421">
        <f>ROUND(SUMPRODUCT(PRODUCT(1+O14:O$31)),4)</f>
        <v>1.3237000000000001</v>
      </c>
      <c r="Z14" s="2421">
        <f t="shared" si="8"/>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si="9"/>
        <v>1.61E-2</v>
      </c>
      <c r="AG14" s="2422">
        <f>ROUND(AVERAGE(K14:K$32)/100,4)</f>
        <v>2.53E-2</v>
      </c>
      <c r="AH14" s="2422">
        <f>ROUND(AVERAGE(L14:L$32)/100,4)</f>
        <v>1.4999999999999999E-2</v>
      </c>
    </row>
    <row r="15" spans="1:34" s="2423" customFormat="1" ht="14.45" customHeight="1">
      <c r="A15" s="2416" t="s">
        <v>2859</v>
      </c>
      <c r="B15" s="2417">
        <f t="shared" si="2"/>
        <v>453.11529869999993</v>
      </c>
      <c r="C15" s="2417">
        <f t="shared" si="3"/>
        <v>336.47787264000004</v>
      </c>
      <c r="D15" s="2417">
        <f t="shared" si="4"/>
        <v>336.47787264000004</v>
      </c>
      <c r="E15" s="2417">
        <f t="shared" si="5"/>
        <v>647.35186823999993</v>
      </c>
      <c r="F15" s="2417">
        <f t="shared" si="6"/>
        <v>295.73229452000004</v>
      </c>
      <c r="G15" s="3429"/>
      <c r="H15" s="2429">
        <v>2</v>
      </c>
      <c r="I15" s="2429">
        <v>1.49</v>
      </c>
      <c r="J15" s="2429">
        <v>0.96</v>
      </c>
      <c r="K15" s="2429">
        <v>1.58</v>
      </c>
      <c r="L15" s="2430">
        <v>2.44</v>
      </c>
      <c r="M15" s="2403"/>
      <c r="N15" s="2419">
        <f>I15/100</f>
        <v>1.49E-2</v>
      </c>
      <c r="O15" s="2404">
        <f t="shared" si="11"/>
        <v>9.5999999999999992E-3</v>
      </c>
      <c r="P15" s="2404">
        <f t="shared" si="12"/>
        <v>1.5800000000000002E-2</v>
      </c>
      <c r="Q15" s="2404">
        <f t="shared" si="13"/>
        <v>2.4399999999999998E-2</v>
      </c>
      <c r="R15" s="2420"/>
      <c r="S15" s="2419"/>
      <c r="T15" s="2404"/>
      <c r="U15" s="2404"/>
      <c r="V15" s="2404"/>
      <c r="W15" s="2421"/>
      <c r="X15" s="2421">
        <f>ROUND(SUMPRODUCT(PRODUCT(1+N15:N$31)),4)</f>
        <v>1.4733000000000001</v>
      </c>
      <c r="Y15" s="2421">
        <f>ROUND(SUMPRODUCT(PRODUCT(1+O15:O$31)),4)</f>
        <v>1.3052999999999999</v>
      </c>
      <c r="Z15" s="2421">
        <f t="shared" si="8"/>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si="9"/>
        <v>1.6199999999999999E-2</v>
      </c>
      <c r="AG15" s="2422">
        <f>ROUND(AVERAGE(K15:K$32)/100,4)</f>
        <v>2.5899999999999999E-2</v>
      </c>
      <c r="AH15" s="2422">
        <f>ROUND(AVERAGE(L15:L$32)/100,4)</f>
        <v>1.49E-2</v>
      </c>
    </row>
    <row r="16" spans="1:34" s="2423" customFormat="1" ht="15" customHeight="1" thickBot="1">
      <c r="A16" s="2416" t="s">
        <v>2852</v>
      </c>
      <c r="B16" s="2417">
        <f t="shared" si="2"/>
        <v>446.46299999999997</v>
      </c>
      <c r="C16" s="2417">
        <f t="shared" si="3"/>
        <v>333.27840000000003</v>
      </c>
      <c r="D16" s="2417">
        <f t="shared" si="4"/>
        <v>333.27840000000003</v>
      </c>
      <c r="E16" s="2417">
        <f t="shared" si="5"/>
        <v>637.28279999999995</v>
      </c>
      <c r="F16" s="2417">
        <f t="shared" si="6"/>
        <v>288.68830000000003</v>
      </c>
      <c r="G16" s="3436"/>
      <c r="H16" s="2418">
        <v>1</v>
      </c>
      <c r="I16" s="2418">
        <v>1.7</v>
      </c>
      <c r="J16" s="2418">
        <v>1.92</v>
      </c>
      <c r="K16" s="2418">
        <v>1.64</v>
      </c>
      <c r="L16" s="2424">
        <v>2.0099999999999998</v>
      </c>
      <c r="M16" s="2403"/>
      <c r="N16" s="2419">
        <f t="shared" ref="N16:N21" si="14">I16/100</f>
        <v>1.7000000000000001E-2</v>
      </c>
      <c r="O16" s="2404">
        <f t="shared" si="11"/>
        <v>1.9199999999999998E-2</v>
      </c>
      <c r="P16" s="2404">
        <f t="shared" si="12"/>
        <v>1.6399999999999998E-2</v>
      </c>
      <c r="Q16" s="2404">
        <f t="shared" si="13"/>
        <v>2.0099999999999996E-2</v>
      </c>
      <c r="R16" s="2420"/>
      <c r="S16" s="2419">
        <f>B16/B17-1</f>
        <v>1.6999999999999904E-2</v>
      </c>
      <c r="T16" s="2404">
        <f>C16/C17-1</f>
        <v>1.9200000000000106E-2</v>
      </c>
      <c r="U16" s="2404">
        <f>D16/D17-1</f>
        <v>1.9200000000000106E-2</v>
      </c>
      <c r="V16" s="2404">
        <f>E16/E17-1</f>
        <v>1.639999999999997E-2</v>
      </c>
      <c r="W16" s="2421"/>
      <c r="X16" s="2421">
        <f>ROUND(SUMPRODUCT(PRODUCT(1+N16:N$31)),4)</f>
        <v>1.4517</v>
      </c>
      <c r="Y16" s="2421">
        <f>ROUND(SUMPRODUCT(PRODUCT(1+O16:O$31)),4)</f>
        <v>1.2928999999999999</v>
      </c>
      <c r="Z16" s="2421">
        <f t="shared" si="8"/>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si="9"/>
        <v>1.66E-2</v>
      </c>
      <c r="AG16" s="2422">
        <f>ROUND(AVERAGE(K16:K$32)/100,4)</f>
        <v>2.6499999999999999E-2</v>
      </c>
      <c r="AH16" s="2422">
        <f>ROUND(AVERAGE(L16:L$32)/100,4)</f>
        <v>1.43E-2</v>
      </c>
    </row>
    <row r="17" spans="1:34">
      <c r="A17" s="2416" t="s">
        <v>2850</v>
      </c>
      <c r="B17" s="2431">
        <v>439</v>
      </c>
      <c r="C17" s="2431">
        <v>327</v>
      </c>
      <c r="D17" s="2431">
        <f t="shared" si="4"/>
        <v>327</v>
      </c>
      <c r="E17" s="2431">
        <v>627</v>
      </c>
      <c r="F17" s="2432">
        <v>283</v>
      </c>
      <c r="G17" s="3432">
        <v>2017</v>
      </c>
      <c r="H17" s="2425">
        <v>4</v>
      </c>
      <c r="I17" s="2425">
        <v>1.71</v>
      </c>
      <c r="J17" s="2425">
        <v>1.78</v>
      </c>
      <c r="K17" s="2425">
        <v>1.71</v>
      </c>
      <c r="L17" s="2426">
        <v>1.43</v>
      </c>
      <c r="N17" s="2419">
        <f t="shared" si="14"/>
        <v>1.7100000000000001E-2</v>
      </c>
      <c r="O17" s="2404">
        <f t="shared" si="11"/>
        <v>1.78E-2</v>
      </c>
      <c r="P17" s="2404">
        <f t="shared" si="12"/>
        <v>1.7100000000000001E-2</v>
      </c>
      <c r="Q17" s="2404">
        <f t="shared" si="13"/>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C20" si="15">B19*(1+N18)</f>
        <v>431.80730811680002</v>
      </c>
      <c r="C18" s="2417">
        <f t="shared" si="15"/>
        <v>320.57880516480003</v>
      </c>
      <c r="D18" s="2417">
        <f t="shared" si="4"/>
        <v>320.57880516480003</v>
      </c>
      <c r="E18" s="2417">
        <f t="shared" ref="E18:F20" si="16">E19*(1+P18)</f>
        <v>615.96110553196797</v>
      </c>
      <c r="F18" s="2417">
        <f t="shared" si="16"/>
        <v>279.46777300108801</v>
      </c>
      <c r="G18" s="3429"/>
      <c r="H18" s="2418">
        <v>3</v>
      </c>
      <c r="I18" s="2418">
        <v>2.98</v>
      </c>
      <c r="J18" s="2418">
        <v>2.11</v>
      </c>
      <c r="K18" s="2418">
        <v>3.24</v>
      </c>
      <c r="L18" s="2424">
        <v>1.72</v>
      </c>
      <c r="M18" s="2403"/>
      <c r="N18" s="2419">
        <f t="shared" si="14"/>
        <v>2.98E-2</v>
      </c>
      <c r="O18" s="2404">
        <f t="shared" si="11"/>
        <v>2.1099999999999997E-2</v>
      </c>
      <c r="P18" s="2404">
        <f t="shared" si="12"/>
        <v>3.2400000000000005E-2</v>
      </c>
      <c r="Q18" s="2404">
        <f t="shared" si="13"/>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5"/>
        <v>419.31181600000002</v>
      </c>
      <c r="C19" s="2417">
        <f t="shared" si="15"/>
        <v>313.95436800000004</v>
      </c>
      <c r="D19" s="2417">
        <f t="shared" si="4"/>
        <v>313.95436800000004</v>
      </c>
      <c r="E19" s="2417">
        <f t="shared" si="16"/>
        <v>596.63028431999999</v>
      </c>
      <c r="F19" s="2417">
        <f t="shared" si="16"/>
        <v>274.74220703999998</v>
      </c>
      <c r="G19" s="3429"/>
      <c r="H19" s="2429">
        <v>2</v>
      </c>
      <c r="I19" s="2429">
        <v>3.4</v>
      </c>
      <c r="J19" s="2429">
        <v>2</v>
      </c>
      <c r="K19" s="2429">
        <v>3.82</v>
      </c>
      <c r="L19" s="2430">
        <v>1.68</v>
      </c>
      <c r="M19" s="2403"/>
      <c r="N19" s="2419">
        <f t="shared" si="14"/>
        <v>3.4000000000000002E-2</v>
      </c>
      <c r="O19" s="2404">
        <f t="shared" si="11"/>
        <v>0.02</v>
      </c>
      <c r="P19" s="2404">
        <f t="shared" si="12"/>
        <v>3.8199999999999998E-2</v>
      </c>
      <c r="Q19" s="2404">
        <f t="shared" si="13"/>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 t="shared" si="15"/>
        <v>405.524</v>
      </c>
      <c r="C20" s="2417">
        <f t="shared" si="15"/>
        <v>307.79840000000002</v>
      </c>
      <c r="D20" s="2417">
        <f t="shared" si="4"/>
        <v>307.79840000000002</v>
      </c>
      <c r="E20" s="2417">
        <f t="shared" si="16"/>
        <v>574.67759999999998</v>
      </c>
      <c r="F20" s="2417">
        <f t="shared" si="16"/>
        <v>270.20280000000002</v>
      </c>
      <c r="G20" s="3436"/>
      <c r="H20" s="2418">
        <v>1</v>
      </c>
      <c r="I20" s="2418">
        <v>3.45</v>
      </c>
      <c r="J20" s="2418">
        <v>1.92</v>
      </c>
      <c r="K20" s="2418">
        <v>3.92</v>
      </c>
      <c r="L20" s="2424">
        <v>1.58</v>
      </c>
      <c r="M20" s="2403"/>
      <c r="N20" s="2419">
        <f t="shared" si="14"/>
        <v>3.4500000000000003E-2</v>
      </c>
      <c r="O20" s="2404">
        <f t="shared" ref="O20:Q35" si="17">J20/100</f>
        <v>1.9199999999999998E-2</v>
      </c>
      <c r="P20" s="2404">
        <f t="shared" si="17"/>
        <v>3.9199999999999999E-2</v>
      </c>
      <c r="Q20" s="2404">
        <f t="shared" si="17"/>
        <v>1.5800000000000002E-2</v>
      </c>
      <c r="R20" s="2420"/>
      <c r="S20" s="2419">
        <f>B20/B21-1</f>
        <v>3.4499999999999975E-2</v>
      </c>
      <c r="T20" s="2404">
        <f>C20/C21-1</f>
        <v>1.9200000000000106E-2</v>
      </c>
      <c r="U20" s="2404">
        <f>D20/D21-1</f>
        <v>1.9200000000000106E-2</v>
      </c>
      <c r="V20" s="2404">
        <f>E20/E21-1</f>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 t="shared" si="4"/>
        <v>302</v>
      </c>
      <c r="E21" s="2431">
        <v>553</v>
      </c>
      <c r="F21" s="2432">
        <v>266</v>
      </c>
      <c r="G21" s="3432">
        <v>2016</v>
      </c>
      <c r="H21" s="2425">
        <v>4</v>
      </c>
      <c r="I21" s="2425">
        <v>4.5599999999999996</v>
      </c>
      <c r="J21" s="2425">
        <v>2.15</v>
      </c>
      <c r="K21" s="2425">
        <v>5.32</v>
      </c>
      <c r="L21" s="2426">
        <v>1.57</v>
      </c>
      <c r="N21" s="2419">
        <f t="shared" si="14"/>
        <v>4.5599999999999995E-2</v>
      </c>
      <c r="O21" s="2404">
        <f t="shared" si="17"/>
        <v>2.1499999999999998E-2</v>
      </c>
      <c r="P21" s="2404">
        <f t="shared" si="17"/>
        <v>5.3200000000000004E-2</v>
      </c>
      <c r="Q21" s="2404">
        <f t="shared" si="17"/>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8">B21/(1+N21)</f>
        <v>374.90436113236416</v>
      </c>
      <c r="C22" s="2417">
        <f t="shared" si="18"/>
        <v>295.64366128242779</v>
      </c>
      <c r="D22" s="2417">
        <f t="shared" ref="D22:D81" si="19">C22</f>
        <v>295.64366128242779</v>
      </c>
      <c r="E22" s="2417">
        <f t="shared" ref="E22:F24" si="20">E21/(1+P21)</f>
        <v>525.06646410938095</v>
      </c>
      <c r="F22" s="2417">
        <f t="shared" si="20"/>
        <v>261.88835286009646</v>
      </c>
      <c r="G22" s="3429"/>
      <c r="H22" s="2418">
        <v>3</v>
      </c>
      <c r="I22" s="2418">
        <v>4.12</v>
      </c>
      <c r="J22" s="2418">
        <v>2</v>
      </c>
      <c r="K22" s="2418">
        <v>4.79</v>
      </c>
      <c r="L22" s="2424">
        <v>1.97</v>
      </c>
      <c r="N22" s="2419">
        <f t="shared" ref="N22:Q56" si="21">I22/100</f>
        <v>4.1200000000000001E-2</v>
      </c>
      <c r="O22" s="2404">
        <f t="shared" si="17"/>
        <v>0.02</v>
      </c>
      <c r="P22" s="2404">
        <f t="shared" si="17"/>
        <v>4.7899999999999998E-2</v>
      </c>
      <c r="Q22" s="2404">
        <f t="shared" si="17"/>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8"/>
        <v>360.06949782209392</v>
      </c>
      <c r="C23" s="2417">
        <f t="shared" si="18"/>
        <v>289.84672674747821</v>
      </c>
      <c r="D23" s="2417">
        <f t="shared" si="19"/>
        <v>289.84672674747821</v>
      </c>
      <c r="E23" s="2417">
        <f t="shared" si="20"/>
        <v>501.06543001181495</v>
      </c>
      <c r="F23" s="2417">
        <f t="shared" si="20"/>
        <v>256.82882500744967</v>
      </c>
      <c r="G23" s="3429"/>
      <c r="H23" s="2429">
        <v>2</v>
      </c>
      <c r="I23" s="2429">
        <v>3.85</v>
      </c>
      <c r="J23" s="2429">
        <v>1.95</v>
      </c>
      <c r="K23" s="2429">
        <v>4.4800000000000004</v>
      </c>
      <c r="L23" s="2430">
        <v>1.41</v>
      </c>
      <c r="N23" s="2419">
        <f t="shared" si="21"/>
        <v>3.85E-2</v>
      </c>
      <c r="O23" s="2404">
        <f t="shared" si="17"/>
        <v>1.95E-2</v>
      </c>
      <c r="P23" s="2404">
        <f t="shared" si="17"/>
        <v>4.4800000000000006E-2</v>
      </c>
      <c r="Q23" s="2404">
        <f t="shared" si="17"/>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8"/>
        <v>346.720748986128</v>
      </c>
      <c r="C24" s="2417">
        <f t="shared" si="18"/>
        <v>284.30282172386285</v>
      </c>
      <c r="D24" s="2417">
        <f t="shared" si="19"/>
        <v>284.30282172386285</v>
      </c>
      <c r="E24" s="2417">
        <f t="shared" si="20"/>
        <v>479.58023546306947</v>
      </c>
      <c r="F24" s="2417">
        <f t="shared" si="20"/>
        <v>253.25788877571213</v>
      </c>
      <c r="G24" s="3430"/>
      <c r="H24" s="2418">
        <v>1</v>
      </c>
      <c r="I24" s="2418">
        <v>4.09</v>
      </c>
      <c r="J24" s="2418">
        <v>2.93</v>
      </c>
      <c r="K24" s="2418">
        <v>4.54</v>
      </c>
      <c r="L24" s="2424">
        <v>1.48</v>
      </c>
      <c r="N24" s="2419">
        <f t="shared" si="21"/>
        <v>4.0899999999999999E-2</v>
      </c>
      <c r="O24" s="2404">
        <f t="shared" si="17"/>
        <v>2.9300000000000003E-2</v>
      </c>
      <c r="P24" s="2404">
        <f t="shared" si="17"/>
        <v>4.5400000000000003E-2</v>
      </c>
      <c r="Q24" s="2404">
        <f t="shared" si="17"/>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9"/>
        <v>277</v>
      </c>
      <c r="E25" s="2431">
        <v>459</v>
      </c>
      <c r="F25" s="2432">
        <v>249</v>
      </c>
      <c r="G25" s="3428">
        <v>2015</v>
      </c>
      <c r="H25" s="2437">
        <v>4</v>
      </c>
      <c r="I25" s="2437">
        <v>1.63</v>
      </c>
      <c r="J25" s="2437">
        <v>1.1100000000000001</v>
      </c>
      <c r="K25" s="2437">
        <v>1.77</v>
      </c>
      <c r="L25" s="2438">
        <v>1.89</v>
      </c>
      <c r="N25" s="2439">
        <f t="shared" si="21"/>
        <v>1.6299999999999999E-2</v>
      </c>
      <c r="O25" s="2440">
        <f t="shared" si="17"/>
        <v>1.11E-2</v>
      </c>
      <c r="P25" s="2440">
        <f t="shared" si="17"/>
        <v>1.77E-2</v>
      </c>
      <c r="Q25" s="2440">
        <f t="shared" si="17"/>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22">B25/(1+N25)</f>
        <v>327.65915576109415</v>
      </c>
      <c r="C26" s="2417">
        <f t="shared" si="22"/>
        <v>273.95905449510434</v>
      </c>
      <c r="D26" s="2417">
        <f t="shared" si="19"/>
        <v>273.95905449510434</v>
      </c>
      <c r="E26" s="2417">
        <f t="shared" ref="E26:F28" si="23">E25/(1+P25)</f>
        <v>451.01699911565294</v>
      </c>
      <c r="F26" s="2417">
        <f t="shared" si="23"/>
        <v>244.38119540681129</v>
      </c>
      <c r="G26" s="3429"/>
      <c r="H26" s="2442">
        <v>3</v>
      </c>
      <c r="I26" s="2442">
        <v>1.65</v>
      </c>
      <c r="J26" s="2442">
        <v>0.92</v>
      </c>
      <c r="K26" s="2442">
        <v>1.88</v>
      </c>
      <c r="L26" s="2443">
        <v>1.26</v>
      </c>
      <c r="N26" s="2419">
        <f t="shared" si="21"/>
        <v>1.6500000000000001E-2</v>
      </c>
      <c r="O26" s="2444">
        <f t="shared" si="17"/>
        <v>9.1999999999999998E-3</v>
      </c>
      <c r="P26" s="2444">
        <f t="shared" si="17"/>
        <v>1.8799999999999997E-2</v>
      </c>
      <c r="Q26" s="2444">
        <f t="shared" si="17"/>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22"/>
        <v>322.34053690220776</v>
      </c>
      <c r="C27" s="2417">
        <f t="shared" si="22"/>
        <v>271.46160770422546</v>
      </c>
      <c r="D27" s="2417">
        <f t="shared" si="19"/>
        <v>271.46160770422546</v>
      </c>
      <c r="E27" s="2417">
        <f t="shared" si="23"/>
        <v>442.69434542172456</v>
      </c>
      <c r="F27" s="2417">
        <f t="shared" si="23"/>
        <v>241.34030753190925</v>
      </c>
      <c r="G27" s="3429"/>
      <c r="H27" s="2429">
        <v>2</v>
      </c>
      <c r="I27" s="2429">
        <v>0.77</v>
      </c>
      <c r="J27" s="2429">
        <v>0.69</v>
      </c>
      <c r="K27" s="2429">
        <v>0.8</v>
      </c>
      <c r="L27" s="2430">
        <v>0.88</v>
      </c>
      <c r="N27" s="2419">
        <f t="shared" si="21"/>
        <v>7.7000000000000002E-3</v>
      </c>
      <c r="O27" s="2444">
        <f t="shared" si="17"/>
        <v>6.8999999999999999E-3</v>
      </c>
      <c r="P27" s="2444">
        <f t="shared" si="17"/>
        <v>8.0000000000000002E-3</v>
      </c>
      <c r="Q27" s="2444">
        <f t="shared" si="17"/>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22"/>
        <v>319.87748030386797</v>
      </c>
      <c r="C28" s="2417">
        <f t="shared" si="22"/>
        <v>269.60135833173649</v>
      </c>
      <c r="D28" s="2417">
        <f t="shared" si="19"/>
        <v>269.60135833173649</v>
      </c>
      <c r="E28" s="2417">
        <f t="shared" si="23"/>
        <v>439.18089823583784</v>
      </c>
      <c r="F28" s="2417">
        <f t="shared" si="23"/>
        <v>239.23503918706311</v>
      </c>
      <c r="G28" s="3430"/>
      <c r="H28" s="2418">
        <v>1</v>
      </c>
      <c r="I28" s="2418">
        <v>0.51</v>
      </c>
      <c r="J28" s="2418">
        <v>0.54</v>
      </c>
      <c r="K28" s="2418">
        <v>0.48</v>
      </c>
      <c r="L28" s="2424">
        <v>0.93</v>
      </c>
      <c r="N28" s="2435">
        <f t="shared" si="21"/>
        <v>5.1000000000000004E-3</v>
      </c>
      <c r="O28" s="2436">
        <f t="shared" si="17"/>
        <v>5.4000000000000003E-3</v>
      </c>
      <c r="P28" s="2436">
        <f t="shared" si="17"/>
        <v>4.7999999999999996E-3</v>
      </c>
      <c r="Q28" s="2436">
        <f t="shared" si="17"/>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9"/>
        <v>268</v>
      </c>
      <c r="E29" s="2445">
        <v>437</v>
      </c>
      <c r="F29" s="2446">
        <v>237</v>
      </c>
      <c r="G29" s="3428">
        <v>2014</v>
      </c>
      <c r="H29" s="2437">
        <v>4</v>
      </c>
      <c r="I29" s="2437">
        <v>0.21</v>
      </c>
      <c r="J29" s="2437">
        <v>0.41</v>
      </c>
      <c r="K29" s="2437">
        <v>0.12</v>
      </c>
      <c r="L29" s="2438">
        <v>0.89</v>
      </c>
      <c r="N29" s="2419">
        <f t="shared" si="21"/>
        <v>2.0999999999999999E-3</v>
      </c>
      <c r="O29" s="2404">
        <f t="shared" si="17"/>
        <v>4.0999999999999995E-3</v>
      </c>
      <c r="P29" s="2404">
        <f t="shared" si="17"/>
        <v>1.1999999999999999E-3</v>
      </c>
      <c r="Q29" s="2404">
        <f t="shared" si="17"/>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24">B29/(1+N29)</f>
        <v>317.33359944117353</v>
      </c>
      <c r="C30" s="2417">
        <f t="shared" si="24"/>
        <v>266.90568668459315</v>
      </c>
      <c r="D30" s="2417">
        <f t="shared" si="19"/>
        <v>266.90568668459315</v>
      </c>
      <c r="E30" s="2417">
        <f t="shared" ref="E30:F32" si="25">E29/(1+P29)</f>
        <v>436.47622852576905</v>
      </c>
      <c r="F30" s="2417">
        <f t="shared" si="25"/>
        <v>234.90930716622066</v>
      </c>
      <c r="G30" s="3429"/>
      <c r="H30" s="2447">
        <v>3</v>
      </c>
      <c r="I30" s="2447">
        <v>0.83</v>
      </c>
      <c r="J30" s="2447">
        <v>1.47</v>
      </c>
      <c r="K30" s="2447">
        <v>0.65</v>
      </c>
      <c r="L30" s="2448">
        <v>0.72</v>
      </c>
      <c r="N30" s="2419">
        <f t="shared" si="21"/>
        <v>8.3000000000000001E-3</v>
      </c>
      <c r="O30" s="2404">
        <f t="shared" si="17"/>
        <v>1.47E-2</v>
      </c>
      <c r="P30" s="2404">
        <f t="shared" si="17"/>
        <v>6.5000000000000006E-3</v>
      </c>
      <c r="Q30" s="2404">
        <f t="shared" si="17"/>
        <v>7.1999999999999998E-3</v>
      </c>
      <c r="R30" s="2420"/>
      <c r="S30" s="2419"/>
      <c r="T30" s="2404"/>
      <c r="U30" s="2404"/>
      <c r="V30" s="2404"/>
      <c r="X30" s="2403">
        <f>ROUND(SUMPRODUCT(PRODUCT(1+N30:N$31)),4)</f>
        <v>1.0325</v>
      </c>
      <c r="Y30" s="2403">
        <f>ROUND(SUMPRODUCT(PRODUCT(1+O30:O$31)),4)</f>
        <v>1.0353000000000001</v>
      </c>
      <c r="Z30" s="2403">
        <f>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24"/>
        <v>314.72141172386546</v>
      </c>
      <c r="C31" s="2417">
        <f t="shared" si="24"/>
        <v>263.03901319069001</v>
      </c>
      <c r="D31" s="2417">
        <f t="shared" si="19"/>
        <v>263.03901319069001</v>
      </c>
      <c r="E31" s="2417">
        <f t="shared" si="25"/>
        <v>433.65745506782821</v>
      </c>
      <c r="F31" s="2417">
        <f t="shared" si="25"/>
        <v>233.23005080045735</v>
      </c>
      <c r="G31" s="3429"/>
      <c r="H31" s="2437">
        <v>2</v>
      </c>
      <c r="I31" s="2437">
        <v>2.4</v>
      </c>
      <c r="J31" s="2437">
        <v>2.0299999999999998</v>
      </c>
      <c r="K31" s="2437">
        <v>2.59</v>
      </c>
      <c r="L31" s="2438">
        <v>1.52</v>
      </c>
      <c r="N31" s="2419">
        <f t="shared" si="21"/>
        <v>2.4E-2</v>
      </c>
      <c r="O31" s="2404">
        <f t="shared" si="17"/>
        <v>2.0299999999999999E-2</v>
      </c>
      <c r="P31" s="2404">
        <f t="shared" si="17"/>
        <v>2.5899999999999999E-2</v>
      </c>
      <c r="Q31" s="2404">
        <f t="shared" si="17"/>
        <v>1.52E-2</v>
      </c>
      <c r="R31" s="2420"/>
      <c r="S31" s="2419"/>
      <c r="T31" s="2404"/>
      <c r="U31" s="2404"/>
      <c r="V31" s="2404"/>
      <c r="X31" s="2403">
        <f>1+N31</f>
        <v>1.024</v>
      </c>
      <c r="Y31" s="2403">
        <f>1+O31</f>
        <v>1.0203</v>
      </c>
      <c r="Z31" s="2403">
        <f>Y31</f>
        <v>1.0203</v>
      </c>
      <c r="AA31" s="2403">
        <f>1+P31</f>
        <v>1.0259</v>
      </c>
      <c r="AB31" s="2403">
        <f>1+Q31</f>
        <v>1.0152000000000001</v>
      </c>
      <c r="AD31" s="2404">
        <f>ROUND(AVERAGE(I31:I$32)/100,4)</f>
        <v>2.69E-2</v>
      </c>
      <c r="AE31" s="2404">
        <f>ROUND(AVERAGE(J31:J$32)/100,4)</f>
        <v>2.1899999999999999E-2</v>
      </c>
      <c r="AF31" s="2404">
        <f>AE31</f>
        <v>2.1899999999999999E-2</v>
      </c>
      <c r="AG31" s="2404">
        <f>ROUND(AVERAGE(K31:K$32)/100,4)</f>
        <v>2.9399999999999999E-2</v>
      </c>
      <c r="AH31" s="2404">
        <f>ROUND(AVERAGE(L31:L$32)/100,4)</f>
        <v>1.44E-2</v>
      </c>
    </row>
    <row r="32" spans="1:34" s="2453" customFormat="1" ht="13.5" thickBot="1">
      <c r="A32" s="2449" t="s">
        <v>144</v>
      </c>
      <c r="B32" s="2450">
        <f t="shared" si="24"/>
        <v>307.34512863658733</v>
      </c>
      <c r="C32" s="2450">
        <f t="shared" si="24"/>
        <v>257.80556031626975</v>
      </c>
      <c r="D32" s="2450">
        <f t="shared" si="19"/>
        <v>257.80556031626975</v>
      </c>
      <c r="E32" s="2450">
        <f t="shared" si="25"/>
        <v>422.70928459677179</v>
      </c>
      <c r="F32" s="2450">
        <f t="shared" si="25"/>
        <v>229.73803270336617</v>
      </c>
      <c r="G32" s="3430"/>
      <c r="H32" s="2451">
        <v>1</v>
      </c>
      <c r="I32" s="2451">
        <v>2.97</v>
      </c>
      <c r="J32" s="2451">
        <v>2.34</v>
      </c>
      <c r="K32" s="2451">
        <v>3.28</v>
      </c>
      <c r="L32" s="2452">
        <v>1.36</v>
      </c>
      <c r="N32" s="2454">
        <f t="shared" si="21"/>
        <v>2.9700000000000001E-2</v>
      </c>
      <c r="O32" s="2455">
        <f t="shared" si="17"/>
        <v>2.3399999999999997E-2</v>
      </c>
      <c r="P32" s="2455">
        <f t="shared" si="17"/>
        <v>3.2799999999999996E-2</v>
      </c>
      <c r="Q32" s="2455">
        <f t="shared" si="17"/>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9"/>
        <v>252</v>
      </c>
      <c r="E33" s="2431">
        <v>409</v>
      </c>
      <c r="F33" s="2432">
        <v>227</v>
      </c>
      <c r="G33" s="3433">
        <v>2013</v>
      </c>
      <c r="H33" s="2461">
        <v>4</v>
      </c>
      <c r="I33" s="2461">
        <v>1.83</v>
      </c>
      <c r="J33" s="2461">
        <v>1.68</v>
      </c>
      <c r="K33" s="2461">
        <v>1.97</v>
      </c>
      <c r="L33" s="2462">
        <v>0.87</v>
      </c>
      <c r="N33" s="2439">
        <f t="shared" si="21"/>
        <v>1.83E-2</v>
      </c>
      <c r="O33" s="2440">
        <f t="shared" si="17"/>
        <v>1.6799999999999999E-2</v>
      </c>
      <c r="P33" s="2440">
        <f t="shared" si="17"/>
        <v>1.9699999999999999E-2</v>
      </c>
      <c r="Q33" s="2440">
        <f t="shared" si="17"/>
        <v>8.6999999999999994E-3</v>
      </c>
      <c r="R33" s="2420"/>
      <c r="S33" s="2433"/>
      <c r="T33" s="2434"/>
      <c r="U33" s="2434"/>
      <c r="V33" s="2434"/>
      <c r="X33" s="2434"/>
      <c r="Y33" s="2434"/>
      <c r="Z33" s="2434"/>
    </row>
    <row r="34" spans="1:26">
      <c r="A34" s="2416" t="s">
        <v>1131</v>
      </c>
      <c r="B34" s="2417">
        <f t="shared" ref="B34:C36" si="26">B33/(1+N33)</f>
        <v>293.62663262299913</v>
      </c>
      <c r="C34" s="2417">
        <f t="shared" si="26"/>
        <v>247.83634933123525</v>
      </c>
      <c r="D34" s="2417">
        <f t="shared" si="19"/>
        <v>247.83634933123525</v>
      </c>
      <c r="E34" s="2417">
        <f t="shared" ref="E34:F36" si="27">E33/(1+P33)</f>
        <v>401.09836226341076</v>
      </c>
      <c r="F34" s="2417">
        <f t="shared" si="27"/>
        <v>225.04213343908003</v>
      </c>
      <c r="G34" s="3434"/>
      <c r="H34" s="2442">
        <v>3</v>
      </c>
      <c r="I34" s="2442">
        <v>1.86</v>
      </c>
      <c r="J34" s="2442">
        <v>1.72</v>
      </c>
      <c r="K34" s="2442">
        <v>1.98</v>
      </c>
      <c r="L34" s="2443">
        <v>0.88</v>
      </c>
      <c r="N34" s="2419">
        <f t="shared" si="21"/>
        <v>1.8600000000000002E-2</v>
      </c>
      <c r="O34" s="2444">
        <f t="shared" si="17"/>
        <v>1.72E-2</v>
      </c>
      <c r="P34" s="2444">
        <f t="shared" si="17"/>
        <v>1.9799999999999998E-2</v>
      </c>
      <c r="Q34" s="2444">
        <f t="shared" si="17"/>
        <v>8.8000000000000005E-3</v>
      </c>
      <c r="R34" s="2420"/>
      <c r="S34" s="2419"/>
      <c r="T34" s="2404"/>
      <c r="U34" s="2404"/>
      <c r="V34" s="2404"/>
    </row>
    <row r="35" spans="1:26">
      <c r="A35" s="2416" t="s">
        <v>1132</v>
      </c>
      <c r="B35" s="2417">
        <f t="shared" si="26"/>
        <v>288.2649053828776</v>
      </c>
      <c r="C35" s="2417">
        <f t="shared" si="26"/>
        <v>243.64564425013293</v>
      </c>
      <c r="D35" s="2417">
        <f t="shared" si="19"/>
        <v>243.64564425013293</v>
      </c>
      <c r="E35" s="2417">
        <f t="shared" si="27"/>
        <v>393.31080825986544</v>
      </c>
      <c r="F35" s="2417">
        <f t="shared" si="27"/>
        <v>223.07903790551154</v>
      </c>
      <c r="G35" s="3434"/>
      <c r="H35" s="2429">
        <v>2</v>
      </c>
      <c r="I35" s="2429">
        <v>2.04</v>
      </c>
      <c r="J35" s="2429">
        <v>2.33</v>
      </c>
      <c r="K35" s="2429">
        <v>2.0699999999999998</v>
      </c>
      <c r="L35" s="2430">
        <v>0.69</v>
      </c>
      <c r="N35" s="2419">
        <f t="shared" si="21"/>
        <v>2.0400000000000001E-2</v>
      </c>
      <c r="O35" s="2444">
        <f t="shared" si="17"/>
        <v>2.3300000000000001E-2</v>
      </c>
      <c r="P35" s="2444">
        <f t="shared" si="17"/>
        <v>2.07E-2</v>
      </c>
      <c r="Q35" s="2444">
        <f t="shared" si="17"/>
        <v>6.8999999999999999E-3</v>
      </c>
      <c r="R35" s="2420"/>
      <c r="S35" s="2419"/>
      <c r="T35" s="2404"/>
      <c r="U35" s="2404"/>
      <c r="V35" s="2404"/>
      <c r="X35" s="2463"/>
      <c r="Y35" s="2464"/>
    </row>
    <row r="36" spans="1:26">
      <c r="A36" s="2416" t="s">
        <v>1133</v>
      </c>
      <c r="B36" s="2417">
        <f t="shared" si="26"/>
        <v>282.50186729015837</v>
      </c>
      <c r="C36" s="2417">
        <f t="shared" si="26"/>
        <v>238.09796174155468</v>
      </c>
      <c r="D36" s="2417">
        <f t="shared" si="19"/>
        <v>238.09796174155468</v>
      </c>
      <c r="E36" s="2417">
        <f t="shared" si="27"/>
        <v>385.33438646014054</v>
      </c>
      <c r="F36" s="2417">
        <f t="shared" si="27"/>
        <v>221.55034055567739</v>
      </c>
      <c r="G36" s="3435"/>
      <c r="H36" s="2418">
        <v>1</v>
      </c>
      <c r="I36" s="2418">
        <v>1.67</v>
      </c>
      <c r="J36" s="2418">
        <v>1.31</v>
      </c>
      <c r="K36" s="2418">
        <v>1.85</v>
      </c>
      <c r="L36" s="2424">
        <v>0.96</v>
      </c>
      <c r="N36" s="2435">
        <f t="shared" si="21"/>
        <v>1.67E-2</v>
      </c>
      <c r="O36" s="2436">
        <f t="shared" si="21"/>
        <v>1.3100000000000001E-2</v>
      </c>
      <c r="P36" s="2436">
        <f t="shared" si="21"/>
        <v>1.8500000000000003E-2</v>
      </c>
      <c r="Q36" s="2436">
        <f t="shared" si="21"/>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9"/>
        <v>234</v>
      </c>
      <c r="E37" s="2466">
        <v>379</v>
      </c>
      <c r="F37" s="2467">
        <v>220</v>
      </c>
      <c r="G37" s="3428">
        <v>2012</v>
      </c>
      <c r="H37" s="2437">
        <v>4</v>
      </c>
      <c r="I37" s="2437">
        <v>0.91</v>
      </c>
      <c r="J37" s="2437">
        <v>0.68</v>
      </c>
      <c r="K37" s="2437">
        <v>0.98</v>
      </c>
      <c r="L37" s="2438">
        <v>0.9</v>
      </c>
      <c r="N37" s="2419">
        <f t="shared" si="21"/>
        <v>9.1000000000000004E-3</v>
      </c>
      <c r="O37" s="2404">
        <f t="shared" si="21"/>
        <v>6.8000000000000005E-3</v>
      </c>
      <c r="P37" s="2404">
        <f t="shared" si="21"/>
        <v>9.7999999999999997E-3</v>
      </c>
      <c r="Q37" s="2404">
        <f t="shared" si="21"/>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9"/>
        <v>232.41954707985698</v>
      </c>
      <c r="E38" s="2417">
        <f t="shared" ref="E38:F40" si="28">E37/(1+P37)</f>
        <v>375.32184591008121</v>
      </c>
      <c r="F38" s="2417">
        <f t="shared" si="28"/>
        <v>218.03766105054513</v>
      </c>
      <c r="G38" s="3429"/>
      <c r="H38" s="2442">
        <v>3</v>
      </c>
      <c r="I38" s="2442">
        <v>0.09</v>
      </c>
      <c r="J38" s="2442">
        <v>0.28999999999999998</v>
      </c>
      <c r="K38" s="2442">
        <v>-0.01</v>
      </c>
      <c r="L38" s="2443">
        <v>0.57999999999999996</v>
      </c>
      <c r="N38" s="2419">
        <f t="shared" si="21"/>
        <v>8.9999999999999998E-4</v>
      </c>
      <c r="O38" s="2404">
        <f t="shared" si="21"/>
        <v>2.8999999999999998E-3</v>
      </c>
      <c r="P38" s="2404">
        <f t="shared" si="21"/>
        <v>-1E-4</v>
      </c>
      <c r="Q38" s="2404">
        <f t="shared" si="21"/>
        <v>5.7999999999999996E-3</v>
      </c>
      <c r="R38" s="2420"/>
      <c r="S38" s="2419"/>
      <c r="T38" s="2404"/>
      <c r="U38" s="2404"/>
      <c r="V38" s="2404"/>
    </row>
    <row r="39" spans="1:26">
      <c r="A39" s="2416" t="s">
        <v>1136</v>
      </c>
      <c r="B39" s="2417">
        <f>B38/(1+N38)</f>
        <v>275.24529281292263</v>
      </c>
      <c r="C39" s="2417">
        <f>C38/(1+O38)</f>
        <v>231.74747938962707</v>
      </c>
      <c r="D39" s="2417">
        <f t="shared" si="19"/>
        <v>231.74747938962707</v>
      </c>
      <c r="E39" s="2417">
        <f t="shared" si="28"/>
        <v>375.35938184826603</v>
      </c>
      <c r="F39" s="2417">
        <f t="shared" si="28"/>
        <v>216.78033510692495</v>
      </c>
      <c r="G39" s="3429"/>
      <c r="H39" s="2429">
        <v>2</v>
      </c>
      <c r="I39" s="2429">
        <v>0.02</v>
      </c>
      <c r="J39" s="2429">
        <v>0.12</v>
      </c>
      <c r="K39" s="2429">
        <v>-0.08</v>
      </c>
      <c r="L39" s="2430">
        <v>1.24</v>
      </c>
      <c r="N39" s="2419">
        <f t="shared" si="21"/>
        <v>2.0000000000000001E-4</v>
      </c>
      <c r="O39" s="2404">
        <f t="shared" si="21"/>
        <v>1.1999999999999999E-3</v>
      </c>
      <c r="P39" s="2404">
        <f t="shared" si="21"/>
        <v>-8.0000000000000004E-4</v>
      </c>
      <c r="Q39" s="2404">
        <f t="shared" si="21"/>
        <v>1.24E-2</v>
      </c>
      <c r="R39" s="2420"/>
      <c r="S39" s="2419"/>
      <c r="T39" s="2404"/>
      <c r="U39" s="2404"/>
      <c r="V39" s="2404"/>
    </row>
    <row r="40" spans="1:26" ht="13.5" thickBot="1">
      <c r="A40" s="2416" t="s">
        <v>1137</v>
      </c>
      <c r="B40" s="2417">
        <f>B39/(1+N39)</f>
        <v>275.19025476197027</v>
      </c>
      <c r="C40" s="2468">
        <v>232</v>
      </c>
      <c r="D40" s="2468">
        <f t="shared" si="19"/>
        <v>232</v>
      </c>
      <c r="E40" s="2417">
        <f t="shared" si="28"/>
        <v>375.65990977608692</v>
      </c>
      <c r="F40" s="2417">
        <f t="shared" si="28"/>
        <v>214.12518283971252</v>
      </c>
      <c r="G40" s="3430"/>
      <c r="H40" s="2418">
        <v>1</v>
      </c>
      <c r="I40" s="2418">
        <v>0.02</v>
      </c>
      <c r="J40" s="2418">
        <v>0.13</v>
      </c>
      <c r="K40" s="2418">
        <v>-0.04</v>
      </c>
      <c r="L40" s="2424">
        <v>0.46</v>
      </c>
      <c r="N40" s="2419">
        <f t="shared" si="21"/>
        <v>2.0000000000000001E-4</v>
      </c>
      <c r="O40" s="2404">
        <f t="shared" si="21"/>
        <v>1.2999999999999999E-3</v>
      </c>
      <c r="P40" s="2404">
        <f t="shared" si="21"/>
        <v>-4.0000000000000002E-4</v>
      </c>
      <c r="Q40" s="2404">
        <f t="shared" si="21"/>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9"/>
        <v>232</v>
      </c>
      <c r="E41" s="2431">
        <v>376</v>
      </c>
      <c r="F41" s="2432">
        <v>213</v>
      </c>
      <c r="G41" s="3428">
        <v>2011</v>
      </c>
      <c r="H41" s="2437">
        <v>4</v>
      </c>
      <c r="I41" s="2437">
        <v>-0.2</v>
      </c>
      <c r="J41" s="2437">
        <v>0.04</v>
      </c>
      <c r="K41" s="2437">
        <v>-0.34</v>
      </c>
      <c r="L41" s="2438">
        <v>0.46</v>
      </c>
      <c r="N41" s="2439">
        <f t="shared" si="21"/>
        <v>-2E-3</v>
      </c>
      <c r="O41" s="2440">
        <f t="shared" si="21"/>
        <v>4.0000000000000002E-4</v>
      </c>
      <c r="P41" s="2440">
        <f t="shared" si="21"/>
        <v>-3.4000000000000002E-3</v>
      </c>
      <c r="Q41" s="2440">
        <f t="shared" si="21"/>
        <v>4.5999999999999999E-3</v>
      </c>
      <c r="R41" s="2420"/>
      <c r="S41" s="2433"/>
      <c r="T41" s="2434"/>
      <c r="U41" s="2434"/>
      <c r="V41" s="2434"/>
      <c r="X41" s="2434"/>
      <c r="Y41" s="2434"/>
      <c r="Z41" s="2434"/>
    </row>
    <row r="42" spans="1:26">
      <c r="A42" s="2416" t="s">
        <v>1139</v>
      </c>
      <c r="B42" s="2417">
        <f t="shared" ref="B42:C44" si="29">B41/(1+N41)</f>
        <v>275.55110220440883</v>
      </c>
      <c r="C42" s="2417">
        <f t="shared" si="29"/>
        <v>231.90723710515795</v>
      </c>
      <c r="D42" s="2417">
        <f t="shared" si="19"/>
        <v>231.90723710515795</v>
      </c>
      <c r="E42" s="2417">
        <f t="shared" ref="E42:F44" si="30">E41/(1+P41)</f>
        <v>377.28276138872161</v>
      </c>
      <c r="F42" s="2417">
        <f t="shared" si="30"/>
        <v>212.02468644236512</v>
      </c>
      <c r="G42" s="3429">
        <v>2011</v>
      </c>
      <c r="H42" s="2442">
        <v>3</v>
      </c>
      <c r="I42" s="2442">
        <v>0.13</v>
      </c>
      <c r="J42" s="2442">
        <v>0.75</v>
      </c>
      <c r="K42" s="2442">
        <v>-0.08</v>
      </c>
      <c r="L42" s="2443">
        <v>0.53</v>
      </c>
      <c r="N42" s="2419">
        <f t="shared" si="21"/>
        <v>1.2999999999999999E-3</v>
      </c>
      <c r="O42" s="2444">
        <f t="shared" si="21"/>
        <v>7.4999999999999997E-3</v>
      </c>
      <c r="P42" s="2444">
        <f t="shared" si="21"/>
        <v>-8.0000000000000004E-4</v>
      </c>
      <c r="Q42" s="2444">
        <f t="shared" si="21"/>
        <v>5.3E-3</v>
      </c>
      <c r="R42" s="2420"/>
      <c r="S42" s="2419"/>
      <c r="T42" s="2404"/>
      <c r="U42" s="2404"/>
      <c r="V42" s="2404"/>
    </row>
    <row r="43" spans="1:26">
      <c r="A43" s="2416" t="s">
        <v>1140</v>
      </c>
      <c r="B43" s="2417">
        <f t="shared" si="29"/>
        <v>275.19335084830601</v>
      </c>
      <c r="C43" s="2417">
        <f t="shared" si="29"/>
        <v>230.18088050139744</v>
      </c>
      <c r="D43" s="2417">
        <f t="shared" si="19"/>
        <v>230.18088050139744</v>
      </c>
      <c r="E43" s="2417">
        <f t="shared" si="30"/>
        <v>377.58482925212331</v>
      </c>
      <c r="F43" s="2417">
        <f t="shared" si="30"/>
        <v>210.90687997847917</v>
      </c>
      <c r="G43" s="3429">
        <v>2011</v>
      </c>
      <c r="H43" s="2429">
        <v>2</v>
      </c>
      <c r="I43" s="2429">
        <v>-0.4</v>
      </c>
      <c r="J43" s="2429">
        <v>0.17</v>
      </c>
      <c r="K43" s="2429">
        <v>-0.57999999999999996</v>
      </c>
      <c r="L43" s="2430">
        <v>-0.2</v>
      </c>
      <c r="N43" s="2419">
        <f t="shared" si="21"/>
        <v>-4.0000000000000001E-3</v>
      </c>
      <c r="O43" s="2444">
        <f t="shared" si="21"/>
        <v>1.7000000000000001E-3</v>
      </c>
      <c r="P43" s="2444">
        <f t="shared" si="21"/>
        <v>-5.7999999999999996E-3</v>
      </c>
      <c r="Q43" s="2444">
        <f t="shared" si="21"/>
        <v>-2E-3</v>
      </c>
      <c r="R43" s="2420"/>
      <c r="S43" s="2419"/>
      <c r="T43" s="2404"/>
      <c r="U43" s="2404"/>
      <c r="V43" s="2404"/>
    </row>
    <row r="44" spans="1:26" ht="13.5" thickBot="1">
      <c r="A44" s="2416" t="s">
        <v>1141</v>
      </c>
      <c r="B44" s="2417">
        <f t="shared" si="29"/>
        <v>276.29854502841971</v>
      </c>
      <c r="C44" s="2417">
        <f t="shared" si="29"/>
        <v>229.79023709833027</v>
      </c>
      <c r="D44" s="2417">
        <f t="shared" si="19"/>
        <v>229.79023709833027</v>
      </c>
      <c r="E44" s="2417">
        <f t="shared" si="30"/>
        <v>379.78759731655936</v>
      </c>
      <c r="F44" s="2417">
        <f t="shared" si="30"/>
        <v>211.32953905659235</v>
      </c>
      <c r="G44" s="3430">
        <v>2011</v>
      </c>
      <c r="H44" s="2418">
        <v>1</v>
      </c>
      <c r="I44" s="2418">
        <v>2.65</v>
      </c>
      <c r="J44" s="2418">
        <v>3.76</v>
      </c>
      <c r="K44" s="2418">
        <v>1.89</v>
      </c>
      <c r="L44" s="2424">
        <v>7.95</v>
      </c>
      <c r="N44" s="2435">
        <f t="shared" si="21"/>
        <v>2.6499999999999999E-2</v>
      </c>
      <c r="O44" s="2436">
        <f t="shared" si="21"/>
        <v>3.7599999999999995E-2</v>
      </c>
      <c r="P44" s="2436">
        <f t="shared" si="21"/>
        <v>1.89E-2</v>
      </c>
      <c r="Q44" s="2436">
        <f t="shared" si="21"/>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9"/>
        <v>221</v>
      </c>
      <c r="E45" s="2431">
        <v>373</v>
      </c>
      <c r="F45" s="2432">
        <v>196</v>
      </c>
      <c r="G45" s="3428">
        <v>2010</v>
      </c>
      <c r="H45" s="2437">
        <v>4</v>
      </c>
      <c r="I45" s="2437">
        <v>5.72</v>
      </c>
      <c r="J45" s="2437">
        <v>6.57</v>
      </c>
      <c r="K45" s="2437">
        <v>5.72</v>
      </c>
      <c r="L45" s="2438">
        <v>2.72</v>
      </c>
      <c r="N45" s="2419">
        <f t="shared" si="21"/>
        <v>5.7200000000000001E-2</v>
      </c>
      <c r="O45" s="2404">
        <f t="shared" si="21"/>
        <v>6.5700000000000008E-2</v>
      </c>
      <c r="P45" s="2404">
        <f t="shared" si="21"/>
        <v>5.7200000000000001E-2</v>
      </c>
      <c r="Q45" s="2404">
        <f t="shared" si="21"/>
        <v>2.7200000000000002E-2</v>
      </c>
      <c r="R45" s="2420"/>
      <c r="S45" s="2433"/>
      <c r="T45" s="2434"/>
      <c r="U45" s="2434"/>
      <c r="V45" s="2434"/>
      <c r="X45" s="2434"/>
      <c r="Y45" s="2434"/>
      <c r="Z45" s="2434"/>
    </row>
    <row r="46" spans="1:26">
      <c r="A46" s="2416" t="s">
        <v>1143</v>
      </c>
      <c r="B46" s="2417">
        <f t="shared" ref="B46:C48" si="31">B45/(1+N45)</f>
        <v>254.44570563753314</v>
      </c>
      <c r="C46" s="2417">
        <f t="shared" si="31"/>
        <v>207.37543398705074</v>
      </c>
      <c r="D46" s="2417">
        <f t="shared" si="19"/>
        <v>207.37543398705074</v>
      </c>
      <c r="E46" s="2417">
        <f t="shared" ref="E46:F48" si="32">E45/(1+P45)</f>
        <v>352.81876655315932</v>
      </c>
      <c r="F46" s="2417">
        <f t="shared" si="32"/>
        <v>190.809968847352</v>
      </c>
      <c r="G46" s="3429">
        <v>2010</v>
      </c>
      <c r="H46" s="2442">
        <v>3</v>
      </c>
      <c r="I46" s="2442">
        <v>4.7300000000000004</v>
      </c>
      <c r="J46" s="2442">
        <v>3.9</v>
      </c>
      <c r="K46" s="2442">
        <v>5.03</v>
      </c>
      <c r="L46" s="2443">
        <v>4.21</v>
      </c>
      <c r="N46" s="2419">
        <f t="shared" si="21"/>
        <v>4.7300000000000002E-2</v>
      </c>
      <c r="O46" s="2404">
        <f t="shared" si="21"/>
        <v>3.9E-2</v>
      </c>
      <c r="P46" s="2404">
        <f t="shared" si="21"/>
        <v>5.0300000000000004E-2</v>
      </c>
      <c r="Q46" s="2404">
        <f t="shared" si="21"/>
        <v>4.2099999999999999E-2</v>
      </c>
      <c r="R46" s="2420"/>
      <c r="S46" s="2419"/>
      <c r="T46" s="2404"/>
      <c r="U46" s="2404"/>
      <c r="V46" s="2404"/>
    </row>
    <row r="47" spans="1:26">
      <c r="A47" s="2416" t="s">
        <v>1144</v>
      </c>
      <c r="B47" s="2417">
        <f t="shared" si="31"/>
        <v>242.95398227588385</v>
      </c>
      <c r="C47" s="2417">
        <f t="shared" si="31"/>
        <v>199.59137053614126</v>
      </c>
      <c r="D47" s="2417">
        <f t="shared" si="19"/>
        <v>199.59137053614126</v>
      </c>
      <c r="E47" s="2417">
        <f t="shared" si="32"/>
        <v>335.92189522342125</v>
      </c>
      <c r="F47" s="2417">
        <f t="shared" si="32"/>
        <v>183.10139991109489</v>
      </c>
      <c r="G47" s="3429">
        <v>2010</v>
      </c>
      <c r="H47" s="2429">
        <v>2</v>
      </c>
      <c r="I47" s="2429">
        <v>4.6900000000000004</v>
      </c>
      <c r="J47" s="2429">
        <v>3.55</v>
      </c>
      <c r="K47" s="2429">
        <v>5.07</v>
      </c>
      <c r="L47" s="2430">
        <v>4.2300000000000004</v>
      </c>
      <c r="N47" s="2419">
        <f t="shared" si="21"/>
        <v>4.6900000000000004E-2</v>
      </c>
      <c r="O47" s="2404">
        <f t="shared" si="21"/>
        <v>3.5499999999999997E-2</v>
      </c>
      <c r="P47" s="2404">
        <f t="shared" si="21"/>
        <v>5.0700000000000002E-2</v>
      </c>
      <c r="Q47" s="2404">
        <f t="shared" si="21"/>
        <v>4.2300000000000004E-2</v>
      </c>
      <c r="R47" s="2420"/>
      <c r="S47" s="2419"/>
      <c r="T47" s="2404"/>
      <c r="U47" s="2404"/>
      <c r="V47" s="2404"/>
    </row>
    <row r="48" spans="1:26" ht="13.5" thickBot="1">
      <c r="A48" s="2416" t="s">
        <v>1145</v>
      </c>
      <c r="B48" s="2417">
        <f t="shared" si="31"/>
        <v>232.06990378821649</v>
      </c>
      <c r="C48" s="2417">
        <f t="shared" si="31"/>
        <v>192.74878854286936</v>
      </c>
      <c r="D48" s="2417">
        <f t="shared" si="19"/>
        <v>192.74878854286936</v>
      </c>
      <c r="E48" s="2417">
        <f t="shared" si="32"/>
        <v>319.71247284992984</v>
      </c>
      <c r="F48" s="2417">
        <f t="shared" si="32"/>
        <v>175.67053622862409</v>
      </c>
      <c r="G48" s="3430">
        <v>2010</v>
      </c>
      <c r="H48" s="2418">
        <v>1</v>
      </c>
      <c r="I48" s="2418">
        <v>5.4</v>
      </c>
      <c r="J48" s="2418">
        <v>3.2</v>
      </c>
      <c r="K48" s="2418">
        <v>6.16</v>
      </c>
      <c r="L48" s="2424">
        <v>4.51</v>
      </c>
      <c r="N48" s="2419">
        <f t="shared" si="21"/>
        <v>5.4000000000000006E-2</v>
      </c>
      <c r="O48" s="2404">
        <f t="shared" si="21"/>
        <v>3.2000000000000001E-2</v>
      </c>
      <c r="P48" s="2404">
        <f t="shared" si="21"/>
        <v>6.1600000000000002E-2</v>
      </c>
      <c r="Q48" s="2404">
        <f t="shared" si="21"/>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9"/>
        <v>187</v>
      </c>
      <c r="E49" s="2431">
        <v>301</v>
      </c>
      <c r="F49" s="2432">
        <v>168</v>
      </c>
      <c r="G49" s="3428">
        <v>2009</v>
      </c>
      <c r="H49" s="2437">
        <v>4</v>
      </c>
      <c r="I49" s="2437">
        <v>2.2999999999999998</v>
      </c>
      <c r="J49" s="2437">
        <v>1.04</v>
      </c>
      <c r="K49" s="2437">
        <v>2.84</v>
      </c>
      <c r="L49" s="2438">
        <v>0.67</v>
      </c>
      <c r="N49" s="2439">
        <f t="shared" si="21"/>
        <v>2.3E-2</v>
      </c>
      <c r="O49" s="2440">
        <f t="shared" si="21"/>
        <v>1.04E-2</v>
      </c>
      <c r="P49" s="2440">
        <f t="shared" si="21"/>
        <v>2.8399999999999998E-2</v>
      </c>
      <c r="Q49" s="2440">
        <f t="shared" si="21"/>
        <v>6.7000000000000002E-3</v>
      </c>
      <c r="R49" s="2420"/>
      <c r="S49" s="2433"/>
      <c r="T49" s="2434"/>
      <c r="U49" s="2434"/>
      <c r="V49" s="2434"/>
      <c r="X49" s="2434"/>
      <c r="Y49" s="2434"/>
      <c r="Z49" s="2434"/>
    </row>
    <row r="50" spans="1:26">
      <c r="A50" s="2416" t="s">
        <v>1147</v>
      </c>
      <c r="B50" s="2417">
        <f t="shared" ref="B50:C52" si="33">B49/(1+N49)</f>
        <v>215.05376344086022</v>
      </c>
      <c r="C50" s="2417">
        <f t="shared" si="33"/>
        <v>185.0752177355503</v>
      </c>
      <c r="D50" s="2417">
        <f t="shared" si="19"/>
        <v>185.0752177355503</v>
      </c>
      <c r="E50" s="2417">
        <f t="shared" ref="E50:F52" si="34">E49/(1+P49)</f>
        <v>292.68767016725008</v>
      </c>
      <c r="F50" s="2417">
        <f t="shared" si="34"/>
        <v>166.88189132810174</v>
      </c>
      <c r="G50" s="3429">
        <v>2009</v>
      </c>
      <c r="H50" s="2442">
        <v>3</v>
      </c>
      <c r="I50" s="2442">
        <v>2.1</v>
      </c>
      <c r="J50" s="2442">
        <v>1.86</v>
      </c>
      <c r="K50" s="2442">
        <v>2.29</v>
      </c>
      <c r="L50" s="2443">
        <v>0.85</v>
      </c>
      <c r="N50" s="2419">
        <f t="shared" si="21"/>
        <v>2.1000000000000001E-2</v>
      </c>
      <c r="O50" s="2444">
        <f t="shared" si="21"/>
        <v>1.8600000000000002E-2</v>
      </c>
      <c r="P50" s="2444">
        <f t="shared" si="21"/>
        <v>2.29E-2</v>
      </c>
      <c r="Q50" s="2444">
        <f t="shared" si="21"/>
        <v>8.5000000000000006E-3</v>
      </c>
      <c r="R50" s="2420"/>
      <c r="S50" s="2419"/>
      <c r="T50" s="2404"/>
      <c r="U50" s="2404"/>
      <c r="V50" s="2404"/>
    </row>
    <row r="51" spans="1:26">
      <c r="A51" s="2416" t="s">
        <v>1148</v>
      </c>
      <c r="B51" s="2417">
        <f t="shared" si="33"/>
        <v>210.630522469011</v>
      </c>
      <c r="C51" s="2417">
        <f t="shared" si="33"/>
        <v>181.69567812247232</v>
      </c>
      <c r="D51" s="2417">
        <f t="shared" si="19"/>
        <v>181.69567812247232</v>
      </c>
      <c r="E51" s="2417">
        <f t="shared" si="34"/>
        <v>286.13517466736738</v>
      </c>
      <c r="F51" s="2417">
        <f t="shared" si="34"/>
        <v>165.47535084591149</v>
      </c>
      <c r="G51" s="3429">
        <v>2009</v>
      </c>
      <c r="H51" s="2429">
        <v>2</v>
      </c>
      <c r="I51" s="2429">
        <v>0.86</v>
      </c>
      <c r="J51" s="2429">
        <v>-1.1299999999999999</v>
      </c>
      <c r="K51" s="2429">
        <v>1.79</v>
      </c>
      <c r="L51" s="2430">
        <v>-2.0699999999999998</v>
      </c>
      <c r="N51" s="2419">
        <f t="shared" si="21"/>
        <v>8.6E-3</v>
      </c>
      <c r="O51" s="2444">
        <f t="shared" si="21"/>
        <v>-1.1299999999999999E-2</v>
      </c>
      <c r="P51" s="2444">
        <f t="shared" si="21"/>
        <v>1.7899999999999999E-2</v>
      </c>
      <c r="Q51" s="2444">
        <f t="shared" si="21"/>
        <v>-2.07E-2</v>
      </c>
      <c r="R51" s="2420"/>
      <c r="S51" s="2419"/>
      <c r="T51" s="2404"/>
      <c r="U51" s="2404"/>
      <c r="V51" s="2404"/>
    </row>
    <row r="52" spans="1:26">
      <c r="A52" s="2416" t="s">
        <v>1149</v>
      </c>
      <c r="B52" s="2417">
        <f t="shared" si="33"/>
        <v>208.83454537875372</v>
      </c>
      <c r="C52" s="2417">
        <f t="shared" si="33"/>
        <v>183.77230517090351</v>
      </c>
      <c r="D52" s="2417">
        <f t="shared" si="19"/>
        <v>183.77230517090351</v>
      </c>
      <c r="E52" s="2417">
        <f t="shared" si="34"/>
        <v>281.10342338870947</v>
      </c>
      <c r="F52" s="2417">
        <f t="shared" si="34"/>
        <v>168.97309388942256</v>
      </c>
      <c r="G52" s="3430">
        <v>2009</v>
      </c>
      <c r="H52" s="2418">
        <v>1</v>
      </c>
      <c r="I52" s="2418">
        <v>-2.64</v>
      </c>
      <c r="J52" s="2418">
        <v>-2.5299999999999998</v>
      </c>
      <c r="K52" s="2418">
        <v>-3.02</v>
      </c>
      <c r="L52" s="2424">
        <v>1.52</v>
      </c>
      <c r="N52" s="2435">
        <f t="shared" si="21"/>
        <v>-2.64E-2</v>
      </c>
      <c r="O52" s="2436">
        <f t="shared" si="21"/>
        <v>-2.53E-2</v>
      </c>
      <c r="P52" s="2436">
        <f t="shared" si="21"/>
        <v>-3.0200000000000001E-2</v>
      </c>
      <c r="Q52" s="2436">
        <f t="shared" si="21"/>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9"/>
        <v>188</v>
      </c>
      <c r="E53" s="2466">
        <v>289</v>
      </c>
      <c r="F53" s="2467">
        <v>166</v>
      </c>
      <c r="G53" s="3428">
        <v>2008</v>
      </c>
      <c r="H53" s="2437">
        <v>4</v>
      </c>
      <c r="I53" s="2437">
        <v>1.73</v>
      </c>
      <c r="J53" s="2437">
        <v>0.03</v>
      </c>
      <c r="K53" s="2437">
        <v>2.59</v>
      </c>
      <c r="L53" s="2438">
        <v>-1.66</v>
      </c>
      <c r="N53" s="2419">
        <f t="shared" si="21"/>
        <v>1.7299999999999999E-2</v>
      </c>
      <c r="O53" s="2404">
        <f t="shared" si="21"/>
        <v>2.9999999999999997E-4</v>
      </c>
      <c r="P53" s="2404">
        <f t="shared" si="21"/>
        <v>2.5899999999999999E-2</v>
      </c>
      <c r="Q53" s="2404">
        <f t="shared" si="21"/>
        <v>-1.66E-2</v>
      </c>
      <c r="R53" s="2420"/>
      <c r="S53" s="2433"/>
      <c r="T53" s="2434"/>
      <c r="U53" s="2434"/>
      <c r="V53" s="2434"/>
      <c r="X53" s="2434"/>
      <c r="Y53" s="2434"/>
      <c r="Z53" s="2434"/>
    </row>
    <row r="54" spans="1:26">
      <c r="A54" s="2416" t="s">
        <v>1151</v>
      </c>
      <c r="B54" s="2417">
        <f t="shared" ref="B54:C56" si="35">B53/(1+N53)</f>
        <v>210.36075887152265</v>
      </c>
      <c r="C54" s="2417">
        <f t="shared" si="35"/>
        <v>187.94361691492554</v>
      </c>
      <c r="D54" s="2417">
        <f t="shared" si="19"/>
        <v>187.94361691492554</v>
      </c>
      <c r="E54" s="2417">
        <f t="shared" ref="E54:F56" si="36">E53/(1+P53)</f>
        <v>281.70386977288234</v>
      </c>
      <c r="F54" s="2417">
        <f t="shared" si="36"/>
        <v>168.80211511083994</v>
      </c>
      <c r="G54" s="3429">
        <v>2008</v>
      </c>
      <c r="H54" s="2442">
        <v>3</v>
      </c>
      <c r="I54" s="2442">
        <v>1.96</v>
      </c>
      <c r="J54" s="2442">
        <v>2.36</v>
      </c>
      <c r="K54" s="2442">
        <v>1.82</v>
      </c>
      <c r="L54" s="2443">
        <v>2.2200000000000002</v>
      </c>
      <c r="N54" s="2419">
        <f t="shared" si="21"/>
        <v>1.9599999999999999E-2</v>
      </c>
      <c r="O54" s="2404">
        <f t="shared" si="21"/>
        <v>2.3599999999999999E-2</v>
      </c>
      <c r="P54" s="2404">
        <f t="shared" si="21"/>
        <v>1.8200000000000001E-2</v>
      </c>
      <c r="Q54" s="2404">
        <f t="shared" si="21"/>
        <v>2.2200000000000001E-2</v>
      </c>
      <c r="R54" s="2420"/>
      <c r="S54" s="2419"/>
      <c r="T54" s="2404"/>
      <c r="U54" s="2404"/>
      <c r="V54" s="2404"/>
    </row>
    <row r="55" spans="1:26">
      <c r="A55" s="2416" t="s">
        <v>1152</v>
      </c>
      <c r="B55" s="2417">
        <f t="shared" si="35"/>
        <v>206.31694671589116</v>
      </c>
      <c r="C55" s="2417">
        <f t="shared" si="35"/>
        <v>183.61041121036101</v>
      </c>
      <c r="D55" s="2417">
        <f t="shared" si="19"/>
        <v>183.61041121036101</v>
      </c>
      <c r="E55" s="2417">
        <f t="shared" si="36"/>
        <v>276.66850301795557</v>
      </c>
      <c r="F55" s="2417">
        <f t="shared" si="36"/>
        <v>165.1360938278614</v>
      </c>
      <c r="G55" s="3429">
        <v>2008</v>
      </c>
      <c r="H55" s="2429">
        <v>2</v>
      </c>
      <c r="I55" s="2429">
        <v>4.93</v>
      </c>
      <c r="J55" s="2429">
        <v>7.38</v>
      </c>
      <c r="K55" s="2429">
        <v>3.98</v>
      </c>
      <c r="L55" s="2430">
        <v>6.86</v>
      </c>
      <c r="N55" s="2419">
        <f t="shared" si="21"/>
        <v>4.9299999999999997E-2</v>
      </c>
      <c r="O55" s="2404">
        <f t="shared" si="21"/>
        <v>7.3800000000000004E-2</v>
      </c>
      <c r="P55" s="2404">
        <f t="shared" si="21"/>
        <v>3.9800000000000002E-2</v>
      </c>
      <c r="Q55" s="2404">
        <f t="shared" si="21"/>
        <v>6.8600000000000008E-2</v>
      </c>
      <c r="R55" s="2420"/>
      <c r="S55" s="2419"/>
      <c r="T55" s="2404"/>
      <c r="U55" s="2404"/>
      <c r="V55" s="2404"/>
    </row>
    <row r="56" spans="1:26" s="2472" customFormat="1" ht="13.5" thickBot="1">
      <c r="A56" s="2416" t="s">
        <v>1153</v>
      </c>
      <c r="B56" s="2469">
        <f t="shared" si="35"/>
        <v>196.62341248059772</v>
      </c>
      <c r="C56" s="2469">
        <f t="shared" si="35"/>
        <v>170.99125648199012</v>
      </c>
      <c r="D56" s="2469">
        <f t="shared" si="19"/>
        <v>170.99125648199012</v>
      </c>
      <c r="E56" s="2469">
        <f t="shared" si="36"/>
        <v>266.07857570490052</v>
      </c>
      <c r="F56" s="2469">
        <f t="shared" si="36"/>
        <v>154.53499328828505</v>
      </c>
      <c r="G56" s="3430">
        <v>2008</v>
      </c>
      <c r="H56" s="2470">
        <v>1</v>
      </c>
      <c r="I56" s="2470">
        <v>4.1399999999999997</v>
      </c>
      <c r="J56" s="2470">
        <v>3.45</v>
      </c>
      <c r="K56" s="2470">
        <v>4.95</v>
      </c>
      <c r="L56" s="2471">
        <v>4.82</v>
      </c>
      <c r="N56" s="2473">
        <f t="shared" si="21"/>
        <v>4.1399999999999999E-2</v>
      </c>
      <c r="O56" s="2474">
        <f t="shared" si="21"/>
        <v>3.4500000000000003E-2</v>
      </c>
      <c r="P56" s="2474">
        <f t="shared" si="21"/>
        <v>4.9500000000000002E-2</v>
      </c>
      <c r="Q56" s="2474">
        <f t="shared" si="21"/>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9"/>
        <v>165</v>
      </c>
      <c r="E57" s="2431">
        <v>254</v>
      </c>
      <c r="F57" s="2432">
        <v>148</v>
      </c>
      <c r="G57" s="3428">
        <v>2007</v>
      </c>
      <c r="H57" s="2476">
        <v>4</v>
      </c>
      <c r="I57" s="2476">
        <v>5.51</v>
      </c>
      <c r="J57" s="2476">
        <v>4.8899999999999997</v>
      </c>
      <c r="K57" s="2476">
        <v>6.43</v>
      </c>
      <c r="L57" s="2477">
        <v>5.36</v>
      </c>
      <c r="N57" s="2478">
        <f t="shared" ref="N57:O60" si="37">B57/B58-1</f>
        <v>4.1339718365245526E-2</v>
      </c>
      <c r="O57" s="2479">
        <f t="shared" si="37"/>
        <v>4.0324492593776018E-2</v>
      </c>
      <c r="P57" s="2479">
        <f t="shared" ref="P57:Q60" si="38">E57/E58-1</f>
        <v>6.1625555347990968E-2</v>
      </c>
      <c r="Q57" s="2479">
        <f t="shared" si="38"/>
        <v>4.6757569250590603E-2</v>
      </c>
      <c r="R57" s="2420"/>
      <c r="S57" s="2433"/>
      <c r="T57" s="2434"/>
      <c r="U57" s="2434"/>
      <c r="V57" s="2434"/>
      <c r="X57" s="2434"/>
      <c r="Y57" s="2434"/>
      <c r="Z57" s="2434"/>
    </row>
    <row r="58" spans="1:26">
      <c r="A58" s="2416" t="s">
        <v>1155</v>
      </c>
      <c r="B58" s="2417">
        <f t="shared" ref="B58:C60" si="39">B59+(B$57-B$61)*I58/SUM(I$57:I$60)</f>
        <v>180.5366651097618</v>
      </c>
      <c r="C58" s="2417">
        <f t="shared" si="39"/>
        <v>158.60435967302453</v>
      </c>
      <c r="D58" s="2417">
        <f t="shared" si="19"/>
        <v>158.60435967302453</v>
      </c>
      <c r="E58" s="2417">
        <f t="shared" ref="E58:F60" si="40">E59+(E$57-E$61)*K58/SUM(K$57:K$60)</f>
        <v>239.25573260785075</v>
      </c>
      <c r="F58" s="2417">
        <f t="shared" si="40"/>
        <v>141.38899430740037</v>
      </c>
      <c r="G58" s="3429">
        <v>2007</v>
      </c>
      <c r="H58" s="2442">
        <v>3</v>
      </c>
      <c r="I58" s="2442">
        <v>8.65</v>
      </c>
      <c r="J58" s="2442">
        <v>8.06</v>
      </c>
      <c r="K58" s="2442">
        <v>9.94</v>
      </c>
      <c r="L58" s="2443">
        <v>5.8</v>
      </c>
      <c r="N58" s="2478">
        <f t="shared" si="37"/>
        <v>6.940217571740015E-2</v>
      </c>
      <c r="O58" s="2479">
        <f t="shared" si="37"/>
        <v>7.1197482471153428E-2</v>
      </c>
      <c r="P58" s="2479">
        <f t="shared" si="38"/>
        <v>0.10529679922579582</v>
      </c>
      <c r="Q58" s="2479">
        <f t="shared" si="38"/>
        <v>5.3292245059512133E-2</v>
      </c>
      <c r="R58" s="2420"/>
      <c r="S58" s="2419"/>
      <c r="T58" s="2404"/>
      <c r="U58" s="2404"/>
      <c r="V58" s="2404"/>
      <c r="X58" s="2480"/>
      <c r="Y58" s="2480"/>
      <c r="Z58" s="2480"/>
    </row>
    <row r="59" spans="1:26">
      <c r="A59" s="2416" t="s">
        <v>1156</v>
      </c>
      <c r="B59" s="2417">
        <f t="shared" si="39"/>
        <v>168.82017748715555</v>
      </c>
      <c r="C59" s="2417">
        <f t="shared" si="39"/>
        <v>148.06267029972753</v>
      </c>
      <c r="D59" s="2417">
        <f t="shared" si="19"/>
        <v>148.06267029972753</v>
      </c>
      <c r="E59" s="2417">
        <f t="shared" si="40"/>
        <v>216.46288379323747</v>
      </c>
      <c r="F59" s="2417">
        <f t="shared" si="40"/>
        <v>134.23529411764704</v>
      </c>
      <c r="G59" s="3429">
        <v>2007</v>
      </c>
      <c r="H59" s="2429">
        <v>2</v>
      </c>
      <c r="I59" s="2429">
        <v>3.67</v>
      </c>
      <c r="J59" s="2429">
        <v>2.3199999999999998</v>
      </c>
      <c r="K59" s="2429">
        <v>5.0199999999999996</v>
      </c>
      <c r="L59" s="2430">
        <v>6.71</v>
      </c>
      <c r="N59" s="2478">
        <f t="shared" si="37"/>
        <v>3.0339138143848032E-2</v>
      </c>
      <c r="O59" s="2479">
        <f t="shared" si="37"/>
        <v>2.0922341588790472E-2</v>
      </c>
      <c r="P59" s="2479">
        <f t="shared" si="38"/>
        <v>5.6164796592717003E-2</v>
      </c>
      <c r="Q59" s="2479">
        <f t="shared" si="38"/>
        <v>6.5704536723887319E-2</v>
      </c>
      <c r="R59" s="2420"/>
      <c r="S59" s="2419"/>
      <c r="T59" s="2404"/>
      <c r="U59" s="2404"/>
      <c r="V59" s="2404"/>
      <c r="X59" s="2480"/>
      <c r="Y59" s="2480"/>
      <c r="Z59" s="2480"/>
    </row>
    <row r="60" spans="1:26">
      <c r="A60" s="2416" t="s">
        <v>1157</v>
      </c>
      <c r="B60" s="2417">
        <f t="shared" si="39"/>
        <v>163.84913591779542</v>
      </c>
      <c r="C60" s="2417">
        <f t="shared" si="39"/>
        <v>145.0283378746594</v>
      </c>
      <c r="D60" s="2417">
        <f t="shared" si="19"/>
        <v>145.0283378746594</v>
      </c>
      <c r="E60" s="2417">
        <f t="shared" si="40"/>
        <v>204.95180722891567</v>
      </c>
      <c r="F60" s="2417">
        <f t="shared" si="40"/>
        <v>125.95920303605313</v>
      </c>
      <c r="G60" s="3430">
        <v>2007</v>
      </c>
      <c r="H60" s="2418">
        <v>1</v>
      </c>
      <c r="I60" s="2418">
        <v>3.58</v>
      </c>
      <c r="J60" s="2418">
        <v>3.08</v>
      </c>
      <c r="K60" s="2418">
        <v>4.34</v>
      </c>
      <c r="L60" s="2424">
        <v>3.21</v>
      </c>
      <c r="N60" s="2481">
        <f t="shared" si="37"/>
        <v>3.0497710174814063E-2</v>
      </c>
      <c r="O60" s="2482">
        <f t="shared" si="37"/>
        <v>2.8569772160704998E-2</v>
      </c>
      <c r="P60" s="2482">
        <f t="shared" si="38"/>
        <v>5.1034908866234296E-2</v>
      </c>
      <c r="Q60" s="2482">
        <f t="shared" si="38"/>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9"/>
        <v>141</v>
      </c>
      <c r="E61" s="2445">
        <v>195</v>
      </c>
      <c r="F61" s="2446">
        <v>122</v>
      </c>
      <c r="G61" s="3428">
        <v>2006</v>
      </c>
      <c r="H61" s="2437">
        <v>4</v>
      </c>
      <c r="I61" s="2437">
        <v>3.79</v>
      </c>
      <c r="J61" s="2437">
        <v>2.21</v>
      </c>
      <c r="K61" s="2437">
        <v>5.65</v>
      </c>
      <c r="L61" s="2438">
        <v>5.41</v>
      </c>
      <c r="N61" s="2478">
        <f t="shared" ref="N61:O64" si="41">I61/SUM(I$61:I$64)*(B$61/B$65-1)</f>
        <v>7.245466462748526E-2</v>
      </c>
      <c r="O61" s="2479">
        <f t="shared" si="41"/>
        <v>2.3237230038062766E-2</v>
      </c>
      <c r="P61" s="2479">
        <f t="shared" ref="P61:Q64" si="42">K61/SUM(K$61:K$64)*(E$61/E$65-1)</f>
        <v>0.16146893866323722</v>
      </c>
      <c r="Q61" s="2479">
        <f t="shared" si="42"/>
        <v>5.0755230321793784E-2</v>
      </c>
      <c r="R61" s="2420"/>
      <c r="S61" s="2433"/>
      <c r="T61" s="2434"/>
      <c r="U61" s="2434"/>
      <c r="V61" s="2434"/>
      <c r="X61" s="2480"/>
      <c r="Y61" s="2480"/>
      <c r="Z61" s="2480"/>
    </row>
    <row r="62" spans="1:26">
      <c r="A62" s="2416" t="s">
        <v>1159</v>
      </c>
      <c r="B62" s="2417">
        <f t="shared" ref="B62:C64" si="43">B63+(B$61-B$65)*I62/SUM(I$61:I$64)</f>
        <v>149.00125628140702</v>
      </c>
      <c r="C62" s="2417">
        <f t="shared" si="43"/>
        <v>137.95592286501378</v>
      </c>
      <c r="D62" s="2417">
        <f t="shared" si="19"/>
        <v>137.95592286501378</v>
      </c>
      <c r="E62" s="2417">
        <f t="shared" ref="E62:F64" si="44">E63+(E$61-E$65)*K62/SUM(K$61:K$64)</f>
        <v>169.97231450719823</v>
      </c>
      <c r="F62" s="2417">
        <f t="shared" si="44"/>
        <v>116.21390374331551</v>
      </c>
      <c r="G62" s="3429">
        <v>2006</v>
      </c>
      <c r="H62" s="2442">
        <v>3</v>
      </c>
      <c r="I62" s="2442">
        <v>0.92</v>
      </c>
      <c r="J62" s="2442">
        <v>1.08</v>
      </c>
      <c r="K62" s="2442">
        <v>0.73</v>
      </c>
      <c r="L62" s="2443">
        <v>1.08</v>
      </c>
      <c r="N62" s="2478">
        <f t="shared" si="41"/>
        <v>1.7587939698492462E-2</v>
      </c>
      <c r="O62" s="2479">
        <f t="shared" si="41"/>
        <v>1.1355750425840628E-2</v>
      </c>
      <c r="P62" s="2479">
        <f t="shared" si="42"/>
        <v>2.0862358446754544E-2</v>
      </c>
      <c r="Q62" s="2479">
        <f t="shared" si="42"/>
        <v>1.0132282578103011E-2</v>
      </c>
      <c r="R62" s="2420"/>
      <c r="S62" s="2419"/>
      <c r="T62" s="2404"/>
      <c r="U62" s="2404"/>
      <c r="V62" s="2404"/>
      <c r="X62" s="2480"/>
      <c r="Y62" s="2480"/>
      <c r="Z62" s="2480"/>
    </row>
    <row r="63" spans="1:26">
      <c r="A63" s="2416" t="s">
        <v>1160</v>
      </c>
      <c r="B63" s="2417">
        <f t="shared" si="43"/>
        <v>146.57412060301507</v>
      </c>
      <c r="C63" s="2417">
        <f t="shared" si="43"/>
        <v>136.46831955922866</v>
      </c>
      <c r="D63" s="2417">
        <f t="shared" si="19"/>
        <v>136.46831955922866</v>
      </c>
      <c r="E63" s="2417">
        <f t="shared" si="44"/>
        <v>166.73864894795128</v>
      </c>
      <c r="F63" s="2417">
        <f t="shared" si="44"/>
        <v>115.05882352941177</v>
      </c>
      <c r="G63" s="3429">
        <v>2006</v>
      </c>
      <c r="H63" s="2429">
        <v>2</v>
      </c>
      <c r="I63" s="2429">
        <v>0.96</v>
      </c>
      <c r="J63" s="2429">
        <v>0.25</v>
      </c>
      <c r="K63" s="2429">
        <v>1.9</v>
      </c>
      <c r="L63" s="2430">
        <v>0.95</v>
      </c>
      <c r="N63" s="2478">
        <f t="shared" si="41"/>
        <v>1.8352632728861701E-2</v>
      </c>
      <c r="O63" s="2479">
        <f t="shared" si="41"/>
        <v>2.6286459319075526E-3</v>
      </c>
      <c r="P63" s="2479">
        <f t="shared" si="42"/>
        <v>5.4299289107991269E-2</v>
      </c>
      <c r="Q63" s="2479">
        <f t="shared" si="42"/>
        <v>8.9126559714794995E-3</v>
      </c>
      <c r="R63" s="2420"/>
      <c r="S63" s="2419"/>
      <c r="T63" s="2404"/>
      <c r="U63" s="2404"/>
      <c r="V63" s="2404"/>
      <c r="X63" s="2480"/>
      <c r="Y63" s="2480"/>
      <c r="Z63" s="2480"/>
    </row>
    <row r="64" spans="1:26">
      <c r="A64" s="2416" t="s">
        <v>1161</v>
      </c>
      <c r="B64" s="2417">
        <f t="shared" si="43"/>
        <v>144.04145728643215</v>
      </c>
      <c r="C64" s="2417">
        <f t="shared" si="43"/>
        <v>136.12396694214877</v>
      </c>
      <c r="D64" s="2417">
        <f t="shared" si="19"/>
        <v>136.12396694214877</v>
      </c>
      <c r="E64" s="2417">
        <f t="shared" si="44"/>
        <v>158.32225913621264</v>
      </c>
      <c r="F64" s="2417">
        <f t="shared" si="44"/>
        <v>114.04278074866311</v>
      </c>
      <c r="G64" s="3430">
        <v>2006</v>
      </c>
      <c r="H64" s="2418">
        <v>1</v>
      </c>
      <c r="I64" s="2418">
        <v>2.29</v>
      </c>
      <c r="J64" s="2418">
        <v>3.72</v>
      </c>
      <c r="K64" s="2418">
        <v>0.75</v>
      </c>
      <c r="L64" s="2424">
        <v>0.04</v>
      </c>
      <c r="N64" s="2481">
        <f t="shared" si="41"/>
        <v>4.3778675988638847E-2</v>
      </c>
      <c r="O64" s="2482">
        <f t="shared" si="41"/>
        <v>3.9114251466784385E-2</v>
      </c>
      <c r="P64" s="2482">
        <f t="shared" si="42"/>
        <v>2.1433929911049188E-2</v>
      </c>
      <c r="Q64" s="2482">
        <f t="shared" si="42"/>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9"/>
        <v>131</v>
      </c>
      <c r="E65" s="2445">
        <v>155</v>
      </c>
      <c r="F65" s="2446">
        <v>114</v>
      </c>
      <c r="G65" s="3428">
        <v>2005</v>
      </c>
      <c r="H65" s="2437">
        <v>4</v>
      </c>
      <c r="I65" s="2437">
        <v>3.29</v>
      </c>
      <c r="J65" s="2437">
        <v>1.44</v>
      </c>
      <c r="K65" s="2437">
        <v>0.66</v>
      </c>
      <c r="L65" s="2438">
        <v>7.78</v>
      </c>
      <c r="N65" s="2478">
        <f t="shared" ref="N65:O68" si="45">I65/SUM(I$65:I$68)*(B$65/B$69-1)</f>
        <v>9.9404603216919935E-2</v>
      </c>
      <c r="O65" s="2479">
        <f t="shared" si="45"/>
        <v>4.7636550760861554E-2</v>
      </c>
      <c r="P65" s="2479">
        <f t="shared" ref="P65:Q68" si="46">K65/SUM(K$65:K$68)*(E$65/E$69-1)</f>
        <v>8.3756345177664976E-2</v>
      </c>
      <c r="Q65" s="2479">
        <f t="shared" si="46"/>
        <v>5.2148766661559584E-2</v>
      </c>
      <c r="R65" s="2420"/>
      <c r="S65" s="2433"/>
      <c r="T65" s="2434"/>
      <c r="U65" s="2434"/>
      <c r="V65" s="2434"/>
      <c r="X65" s="2480"/>
      <c r="Y65" s="2480"/>
      <c r="Z65" s="2480"/>
    </row>
    <row r="66" spans="1:26">
      <c r="A66" s="2416" t="s">
        <v>1163</v>
      </c>
      <c r="B66" s="2417">
        <f t="shared" ref="B66:C68" si="47">B67+(B$65-B$69)*I66/SUM(I$65:I$68)</f>
        <v>125.9720430107527</v>
      </c>
      <c r="C66" s="2417">
        <f t="shared" si="47"/>
        <v>125.1883408071749</v>
      </c>
      <c r="D66" s="2417">
        <f t="shared" si="19"/>
        <v>125.1883408071749</v>
      </c>
      <c r="E66" s="2417">
        <f t="shared" ref="E66:F68" si="48">E67+(E$65-E$69)*K66/SUM(K$65:K$68)</f>
        <v>144.61421319796952</v>
      </c>
      <c r="F66" s="2417">
        <f t="shared" si="48"/>
        <v>108.42008196721311</v>
      </c>
      <c r="G66" s="3429">
        <v>2005</v>
      </c>
      <c r="H66" s="2442">
        <v>3</v>
      </c>
      <c r="I66" s="2442">
        <v>0.46</v>
      </c>
      <c r="J66" s="2442">
        <v>0.32</v>
      </c>
      <c r="K66" s="2442">
        <v>0.42</v>
      </c>
      <c r="L66" s="2443">
        <v>0.64</v>
      </c>
      <c r="N66" s="2478">
        <f t="shared" si="45"/>
        <v>1.3898515951301874E-2</v>
      </c>
      <c r="O66" s="2479">
        <f t="shared" si="45"/>
        <v>1.0585900169080346E-2</v>
      </c>
      <c r="P66" s="2479">
        <f t="shared" si="46"/>
        <v>5.3299492385786795E-2</v>
      </c>
      <c r="Q66" s="2479">
        <f t="shared" si="46"/>
        <v>4.2898728359123568E-3</v>
      </c>
      <c r="R66" s="2420"/>
      <c r="S66" s="2419"/>
      <c r="T66" s="2404"/>
      <c r="U66" s="2404"/>
      <c r="V66" s="2404"/>
      <c r="X66" s="2480"/>
      <c r="Y66" s="2480"/>
      <c r="Z66" s="2480"/>
    </row>
    <row r="67" spans="1:26">
      <c r="A67" s="2416" t="s">
        <v>1164</v>
      </c>
      <c r="B67" s="2417">
        <f t="shared" si="47"/>
        <v>124.29032258064517</v>
      </c>
      <c r="C67" s="2417">
        <f t="shared" si="47"/>
        <v>123.8968609865471</v>
      </c>
      <c r="D67" s="2417">
        <f t="shared" si="19"/>
        <v>123.8968609865471</v>
      </c>
      <c r="E67" s="2417">
        <f t="shared" si="48"/>
        <v>138.00507614213197</v>
      </c>
      <c r="F67" s="2417">
        <f t="shared" si="48"/>
        <v>107.96106557377048</v>
      </c>
      <c r="G67" s="3429">
        <v>2005</v>
      </c>
      <c r="H67" s="2429">
        <v>2</v>
      </c>
      <c r="I67" s="2429">
        <v>0.47</v>
      </c>
      <c r="J67" s="2429">
        <v>0.1</v>
      </c>
      <c r="K67" s="2429">
        <v>0.52</v>
      </c>
      <c r="L67" s="2430">
        <v>0.79</v>
      </c>
      <c r="N67" s="2478">
        <f t="shared" si="45"/>
        <v>1.420065760241713E-2</v>
      </c>
      <c r="O67" s="2479">
        <f t="shared" si="45"/>
        <v>3.3080938028376083E-3</v>
      </c>
      <c r="P67" s="2479">
        <f t="shared" si="46"/>
        <v>6.598984771573603E-2</v>
      </c>
      <c r="Q67" s="2479">
        <f t="shared" si="46"/>
        <v>5.2953117818293153E-3</v>
      </c>
      <c r="R67" s="2420"/>
      <c r="S67" s="2419"/>
      <c r="T67" s="2404"/>
      <c r="U67" s="2404"/>
      <c r="V67" s="2404"/>
      <c r="X67" s="2480"/>
      <c r="Y67" s="2480"/>
      <c r="Z67" s="2480"/>
    </row>
    <row r="68" spans="1:26">
      <c r="A68" s="2416" t="s">
        <v>1165</v>
      </c>
      <c r="B68" s="2417">
        <f t="shared" si="47"/>
        <v>122.57204301075269</v>
      </c>
      <c r="C68" s="2417">
        <f t="shared" si="47"/>
        <v>123.4932735426009</v>
      </c>
      <c r="D68" s="2417">
        <f t="shared" si="19"/>
        <v>123.4932735426009</v>
      </c>
      <c r="E68" s="2417">
        <f t="shared" si="48"/>
        <v>129.82233502538071</v>
      </c>
      <c r="F68" s="2417">
        <f t="shared" si="48"/>
        <v>107.39446721311475</v>
      </c>
      <c r="G68" s="3430">
        <v>2005</v>
      </c>
      <c r="H68" s="2418">
        <v>1</v>
      </c>
      <c r="I68" s="2418">
        <v>0.43</v>
      </c>
      <c r="J68" s="2418">
        <v>0.37</v>
      </c>
      <c r="K68" s="2418">
        <v>0.37</v>
      </c>
      <c r="L68" s="2424">
        <v>0.55000000000000004</v>
      </c>
      <c r="N68" s="2481">
        <f t="shared" si="45"/>
        <v>1.2992090997956099E-2</v>
      </c>
      <c r="O68" s="2482">
        <f t="shared" si="45"/>
        <v>1.2239947070499151E-2</v>
      </c>
      <c r="P68" s="2482">
        <f t="shared" si="46"/>
        <v>4.6954314720812178E-2</v>
      </c>
      <c r="Q68" s="2482">
        <f t="shared" si="46"/>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9"/>
        <v>122</v>
      </c>
      <c r="E69" s="2466">
        <v>124</v>
      </c>
      <c r="F69" s="2467">
        <v>107</v>
      </c>
      <c r="G69" s="3428">
        <v>2004</v>
      </c>
      <c r="H69" s="2437">
        <v>4</v>
      </c>
      <c r="I69" s="2437">
        <v>0.33</v>
      </c>
      <c r="J69" s="2437">
        <v>0.5</v>
      </c>
      <c r="K69" s="2437">
        <v>0.5</v>
      </c>
      <c r="L69" s="2438">
        <v>0</v>
      </c>
      <c r="N69" s="2478">
        <f t="shared" ref="N69:O72" si="49">I69/SUM(I$69:I$72)*(B$69/B$73-1)</f>
        <v>1.3391770148526898E-2</v>
      </c>
      <c r="O69" s="2479">
        <f t="shared" si="49"/>
        <v>1.063264221158958E-2</v>
      </c>
      <c r="P69" s="2479">
        <f t="shared" ref="P69:Q72" si="50">K69/SUM(K$69:K$72)*(E$69/E$73-1)</f>
        <v>2.2244466688911134E-2</v>
      </c>
      <c r="Q69" s="2479">
        <f t="shared" si="50"/>
        <v>0</v>
      </c>
      <c r="R69" s="2420"/>
      <c r="S69" s="2433"/>
      <c r="T69" s="2434"/>
      <c r="U69" s="2434"/>
      <c r="V69" s="2434"/>
      <c r="X69" s="2480"/>
      <c r="Y69" s="2480"/>
      <c r="Z69" s="2480"/>
    </row>
    <row r="70" spans="1:26">
      <c r="A70" s="2416" t="s">
        <v>1167</v>
      </c>
      <c r="B70" s="2417">
        <f t="shared" ref="B70:C72" si="51">B71+(B$69-B$73)*I70/SUM(I$69:I$72)</f>
        <v>119.51351351351352</v>
      </c>
      <c r="C70" s="2417">
        <f t="shared" si="51"/>
        <v>120.7878787878788</v>
      </c>
      <c r="D70" s="2417">
        <f t="shared" si="19"/>
        <v>120.7878787878788</v>
      </c>
      <c r="E70" s="2417">
        <f t="shared" ref="E70:F72" si="52">E71+(E$69-E$73)*K70/SUM(K$69:K$72)</f>
        <v>121.5975975975976</v>
      </c>
      <c r="F70" s="2417">
        <f t="shared" si="52"/>
        <v>107</v>
      </c>
      <c r="G70" s="3429">
        <v>2004</v>
      </c>
      <c r="H70" s="2442">
        <v>3</v>
      </c>
      <c r="I70" s="2442">
        <v>0.56000000000000005</v>
      </c>
      <c r="J70" s="2442">
        <v>0.8</v>
      </c>
      <c r="K70" s="2442">
        <v>0.83</v>
      </c>
      <c r="L70" s="2443">
        <v>0.06</v>
      </c>
      <c r="N70" s="2478">
        <f t="shared" si="49"/>
        <v>2.2725428130833527E-2</v>
      </c>
      <c r="O70" s="2479">
        <f t="shared" si="49"/>
        <v>1.7012227538543329E-2</v>
      </c>
      <c r="P70" s="2479">
        <f t="shared" si="50"/>
        <v>3.6925814703592477E-2</v>
      </c>
      <c r="Q70" s="2479">
        <f t="shared" si="50"/>
        <v>2.8846153846153744E-2</v>
      </c>
      <c r="R70" s="2420"/>
      <c r="S70" s="2419"/>
      <c r="T70" s="2404"/>
      <c r="U70" s="2404"/>
      <c r="V70" s="2404"/>
      <c r="X70" s="2480"/>
      <c r="Y70" s="2480"/>
      <c r="Z70" s="2480"/>
    </row>
    <row r="71" spans="1:26">
      <c r="A71" s="2416" t="s">
        <v>1168</v>
      </c>
      <c r="B71" s="2417">
        <f t="shared" si="51"/>
        <v>116.99099099099099</v>
      </c>
      <c r="C71" s="2417">
        <f t="shared" si="51"/>
        <v>118.84848484848486</v>
      </c>
      <c r="D71" s="2417">
        <f t="shared" si="19"/>
        <v>118.84848484848486</v>
      </c>
      <c r="E71" s="2417">
        <f t="shared" si="52"/>
        <v>117.60960960960961</v>
      </c>
      <c r="F71" s="2417">
        <f t="shared" si="52"/>
        <v>104</v>
      </c>
      <c r="G71" s="3429">
        <v>2004</v>
      </c>
      <c r="H71" s="2429">
        <v>2</v>
      </c>
      <c r="I71" s="2429">
        <v>1</v>
      </c>
      <c r="J71" s="2429">
        <v>1.5</v>
      </c>
      <c r="K71" s="2429">
        <v>1.5</v>
      </c>
      <c r="L71" s="2430">
        <v>0</v>
      </c>
      <c r="N71" s="2478">
        <f t="shared" si="49"/>
        <v>4.0581121662202721E-2</v>
      </c>
      <c r="O71" s="2479">
        <f t="shared" si="49"/>
        <v>3.1897926634768738E-2</v>
      </c>
      <c r="P71" s="2479">
        <f t="shared" si="50"/>
        <v>6.6733400066733395E-2</v>
      </c>
      <c r="Q71" s="2479">
        <f t="shared" si="50"/>
        <v>0</v>
      </c>
      <c r="R71" s="2420"/>
      <c r="S71" s="2419"/>
      <c r="T71" s="2404"/>
      <c r="U71" s="2404"/>
      <c r="V71" s="2404"/>
      <c r="X71" s="2480"/>
      <c r="Y71" s="2480"/>
      <c r="Z71" s="2480"/>
    </row>
    <row r="72" spans="1:26" s="2472" customFormat="1" ht="13.5" thickBot="1">
      <c r="A72" s="2416" t="s">
        <v>1169</v>
      </c>
      <c r="B72" s="2469">
        <f t="shared" si="51"/>
        <v>112.48648648648648</v>
      </c>
      <c r="C72" s="2469">
        <f t="shared" si="51"/>
        <v>115.21212121212122</v>
      </c>
      <c r="D72" s="2469">
        <f t="shared" si="19"/>
        <v>115.21212121212122</v>
      </c>
      <c r="E72" s="2469">
        <f t="shared" si="52"/>
        <v>110.4024024024024</v>
      </c>
      <c r="F72" s="2469">
        <f t="shared" si="52"/>
        <v>104</v>
      </c>
      <c r="G72" s="3430">
        <v>2004</v>
      </c>
      <c r="H72" s="2470">
        <v>1</v>
      </c>
      <c r="I72" s="2470">
        <v>0.33</v>
      </c>
      <c r="J72" s="2470">
        <v>0.5</v>
      </c>
      <c r="K72" s="2470">
        <v>0.5</v>
      </c>
      <c r="L72" s="2471">
        <v>0</v>
      </c>
      <c r="N72" s="2483">
        <f t="shared" si="49"/>
        <v>1.3391770148526898E-2</v>
      </c>
      <c r="O72" s="2484">
        <f t="shared" si="49"/>
        <v>1.063264221158958E-2</v>
      </c>
      <c r="P72" s="2484">
        <f t="shared" si="50"/>
        <v>2.2244466688911134E-2</v>
      </c>
      <c r="Q72" s="2484">
        <f t="shared" si="50"/>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9"/>
        <v>114</v>
      </c>
      <c r="E73" s="2486">
        <v>108</v>
      </c>
      <c r="F73" s="2487">
        <v>104</v>
      </c>
      <c r="G73" s="3428">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53">B75+(B$73-B$77)/4</f>
        <v>109.75</v>
      </c>
      <c r="C74" s="2490">
        <f t="shared" si="53"/>
        <v>112.25</v>
      </c>
      <c r="D74" s="2490">
        <f t="shared" si="19"/>
        <v>112.25</v>
      </c>
      <c r="E74" s="2490">
        <f t="shared" ref="E74:F76" si="54">E75+(E$73-E$77)/4</f>
        <v>107.25</v>
      </c>
      <c r="F74" s="2490">
        <f t="shared" si="54"/>
        <v>103.5</v>
      </c>
      <c r="G74" s="3429">
        <v>2003</v>
      </c>
      <c r="H74" s="2442">
        <v>3</v>
      </c>
      <c r="I74" s="2488"/>
      <c r="J74" s="2488"/>
      <c r="K74" s="2488"/>
      <c r="L74" s="2488"/>
      <c r="X74" s="2480"/>
      <c r="Y74" s="2480"/>
      <c r="Z74" s="2480"/>
    </row>
    <row r="75" spans="1:26">
      <c r="A75" s="2416" t="s">
        <v>1172</v>
      </c>
      <c r="B75" s="2490">
        <f t="shared" si="53"/>
        <v>108.5</v>
      </c>
      <c r="C75" s="2490">
        <f t="shared" si="53"/>
        <v>110.5</v>
      </c>
      <c r="D75" s="2490">
        <f t="shared" si="19"/>
        <v>110.5</v>
      </c>
      <c r="E75" s="2490">
        <f t="shared" si="54"/>
        <v>106.5</v>
      </c>
      <c r="F75" s="2490">
        <f t="shared" si="54"/>
        <v>103</v>
      </c>
      <c r="G75" s="3429">
        <v>2003</v>
      </c>
      <c r="H75" s="2429">
        <v>2</v>
      </c>
      <c r="I75" s="2488"/>
      <c r="J75" s="2488"/>
      <c r="K75" s="2488"/>
      <c r="L75" s="2488"/>
      <c r="X75" s="2480"/>
      <c r="Y75" s="2480"/>
      <c r="Z75" s="2480"/>
    </row>
    <row r="76" spans="1:26" ht="13.5" thickBot="1">
      <c r="A76" s="2416" t="s">
        <v>1173</v>
      </c>
      <c r="B76" s="2490">
        <f t="shared" si="53"/>
        <v>107.25</v>
      </c>
      <c r="C76" s="2490">
        <f t="shared" si="53"/>
        <v>108.75</v>
      </c>
      <c r="D76" s="2490">
        <f t="shared" si="19"/>
        <v>108.75</v>
      </c>
      <c r="E76" s="2490">
        <f t="shared" si="54"/>
        <v>105.75</v>
      </c>
      <c r="F76" s="2490">
        <f t="shared" si="54"/>
        <v>102.5</v>
      </c>
      <c r="G76" s="3430">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9"/>
        <v>107</v>
      </c>
      <c r="E77" s="2492">
        <v>105</v>
      </c>
      <c r="F77" s="2493">
        <v>102</v>
      </c>
      <c r="G77" s="3428">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55">B79+(B$77-B$81)/4</f>
        <v>105</v>
      </c>
      <c r="C78" s="2490">
        <f t="shared" si="55"/>
        <v>106</v>
      </c>
      <c r="D78" s="2490">
        <f t="shared" si="19"/>
        <v>106</v>
      </c>
      <c r="E78" s="2490">
        <f t="shared" ref="E78:F80" si="56">E79+(E$77-E$81)/4</f>
        <v>104.5</v>
      </c>
      <c r="F78" s="2490">
        <f t="shared" si="56"/>
        <v>101.5</v>
      </c>
      <c r="G78" s="3429">
        <v>2002</v>
      </c>
      <c r="H78" s="2442">
        <v>3</v>
      </c>
      <c r="I78" s="2488"/>
      <c r="J78" s="2488"/>
      <c r="K78" s="2488"/>
      <c r="L78" s="2488"/>
      <c r="X78" s="2480"/>
      <c r="Y78" s="2480"/>
      <c r="Z78" s="2480"/>
    </row>
    <row r="79" spans="1:26">
      <c r="A79" s="2416" t="s">
        <v>1176</v>
      </c>
      <c r="B79" s="2490">
        <f t="shared" si="55"/>
        <v>104</v>
      </c>
      <c r="C79" s="2490">
        <f t="shared" si="55"/>
        <v>105</v>
      </c>
      <c r="D79" s="2490">
        <f t="shared" si="19"/>
        <v>105</v>
      </c>
      <c r="E79" s="2490">
        <f t="shared" si="56"/>
        <v>104</v>
      </c>
      <c r="F79" s="2490">
        <f t="shared" si="56"/>
        <v>101</v>
      </c>
      <c r="G79" s="3429">
        <v>2002</v>
      </c>
      <c r="H79" s="2429">
        <v>2</v>
      </c>
      <c r="I79" s="2488"/>
      <c r="J79" s="2488"/>
      <c r="K79" s="2488"/>
      <c r="L79" s="2488"/>
      <c r="X79" s="2480"/>
      <c r="Y79" s="2480"/>
      <c r="Z79" s="2480"/>
    </row>
    <row r="80" spans="1:26" s="2453" customFormat="1" ht="13.5" thickBot="1">
      <c r="A80" s="2449" t="s">
        <v>1177</v>
      </c>
      <c r="B80" s="2456">
        <f t="shared" si="55"/>
        <v>103</v>
      </c>
      <c r="C80" s="2456">
        <f t="shared" si="55"/>
        <v>104</v>
      </c>
      <c r="D80" s="2456">
        <f t="shared" si="19"/>
        <v>104</v>
      </c>
      <c r="E80" s="2456">
        <f t="shared" si="56"/>
        <v>103.5</v>
      </c>
      <c r="F80" s="2456">
        <f t="shared" si="56"/>
        <v>100.5</v>
      </c>
      <c r="G80" s="3430">
        <v>2002</v>
      </c>
      <c r="H80" s="2494">
        <v>1</v>
      </c>
      <c r="I80" s="2495"/>
      <c r="J80" s="2495"/>
      <c r="K80" s="2495"/>
      <c r="L80" s="2495"/>
      <c r="N80" s="2496"/>
      <c r="S80" s="2496"/>
      <c r="X80" s="2497"/>
      <c r="Y80" s="2497"/>
      <c r="Z80" s="2497"/>
    </row>
    <row r="81" spans="1:26" ht="13.5" thickBot="1">
      <c r="B81" s="2498">
        <v>102</v>
      </c>
      <c r="C81" s="2499">
        <v>103</v>
      </c>
      <c r="D81" s="2499">
        <f t="shared" si="19"/>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2822</v>
      </c>
      <c r="C1" s="3440" t="s">
        <v>2823</v>
      </c>
      <c r="D1" s="3441"/>
      <c r="E1" s="3441"/>
      <c r="F1" s="3441"/>
      <c r="G1" s="3441"/>
      <c r="H1" s="3441"/>
      <c r="I1" s="3441"/>
      <c r="J1" s="3441"/>
      <c r="K1" s="3441"/>
      <c r="L1" s="3441"/>
      <c r="M1" s="3441"/>
      <c r="N1" s="3441"/>
      <c r="O1" s="3441"/>
      <c r="P1" s="3441"/>
      <c r="Q1" s="3441"/>
      <c r="R1" s="3441"/>
      <c r="S1" s="3442"/>
      <c r="T1" s="1107" t="s">
        <v>2824</v>
      </c>
    </row>
    <row r="2" spans="1:45" s="662" customFormat="1">
      <c r="A2" s="1108"/>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1"/>
      <c r="G4" s="1471"/>
      <c r="H4" s="1471"/>
      <c r="I4" s="1471"/>
      <c r="J4" s="1471"/>
      <c r="K4" s="1471"/>
      <c r="L4" s="1471"/>
      <c r="M4" s="1472"/>
      <c r="N4" s="1472"/>
      <c r="O4" s="1471"/>
      <c r="P4" s="1471"/>
      <c r="Q4" s="1471"/>
      <c r="R4" s="1471"/>
      <c r="S4" s="1473"/>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500" t="s">
        <v>2826</v>
      </c>
      <c r="C5" s="1119"/>
      <c r="D5" s="1120"/>
      <c r="E5" s="1120"/>
      <c r="F5" s="1474"/>
      <c r="G5" s="1474"/>
      <c r="H5" s="1474"/>
      <c r="I5" s="1474"/>
      <c r="J5" s="1474"/>
      <c r="K5" s="1474"/>
      <c r="L5" s="1475"/>
      <c r="M5" s="1476"/>
      <c r="N5" s="1476"/>
      <c r="O5" s="1474"/>
      <c r="P5" s="1474"/>
      <c r="Q5" s="1474"/>
      <c r="R5" s="1474"/>
      <c r="S5" s="1477"/>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2">D6-$T5</f>
        <v>100</v>
      </c>
      <c r="F6" s="1478">
        <f t="shared" si="2"/>
        <v>100</v>
      </c>
      <c r="G6" s="1478">
        <f t="shared" si="2"/>
        <v>100</v>
      </c>
      <c r="H6" s="1478">
        <f t="shared" si="2"/>
        <v>100</v>
      </c>
      <c r="I6" s="1478">
        <f t="shared" si="2"/>
        <v>100</v>
      </c>
      <c r="J6" s="1478">
        <f t="shared" si="2"/>
        <v>100</v>
      </c>
      <c r="K6" s="1478">
        <f t="shared" si="2"/>
        <v>100</v>
      </c>
      <c r="L6" s="1478">
        <f t="shared" si="2"/>
        <v>100</v>
      </c>
      <c r="M6" s="1478">
        <f t="shared" si="2"/>
        <v>100</v>
      </c>
      <c r="N6" s="1478">
        <f t="shared" si="2"/>
        <v>100</v>
      </c>
      <c r="O6" s="1478">
        <f t="shared" si="2"/>
        <v>100</v>
      </c>
      <c r="P6" s="1478">
        <f t="shared" si="2"/>
        <v>100</v>
      </c>
      <c r="Q6" s="1478">
        <f t="shared" si="2"/>
        <v>100</v>
      </c>
      <c r="R6" s="1478">
        <f t="shared" si="2"/>
        <v>100</v>
      </c>
      <c r="S6" s="1478">
        <f t="shared" si="2"/>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1" t="s">
        <v>2827</v>
      </c>
      <c r="C7" s="1028"/>
      <c r="D7" s="1022"/>
      <c r="E7" s="1022"/>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3">D8-$T7</f>
        <v>100</v>
      </c>
      <c r="F8" s="1478">
        <f t="shared" si="3"/>
        <v>100</v>
      </c>
      <c r="G8" s="1478">
        <f t="shared" si="3"/>
        <v>100</v>
      </c>
      <c r="H8" s="1478">
        <f t="shared" si="3"/>
        <v>100</v>
      </c>
      <c r="I8" s="1478">
        <f t="shared" si="3"/>
        <v>100</v>
      </c>
      <c r="J8" s="1478">
        <f t="shared" si="3"/>
        <v>100</v>
      </c>
      <c r="K8" s="1478">
        <f t="shared" si="3"/>
        <v>100</v>
      </c>
      <c r="L8" s="1478">
        <f t="shared" si="3"/>
        <v>100</v>
      </c>
      <c r="M8" s="1478">
        <f t="shared" si="3"/>
        <v>100</v>
      </c>
      <c r="N8" s="1478">
        <f t="shared" si="3"/>
        <v>100</v>
      </c>
      <c r="O8" s="1478">
        <f t="shared" si="3"/>
        <v>100</v>
      </c>
      <c r="P8" s="1478">
        <f t="shared" si="3"/>
        <v>100</v>
      </c>
      <c r="Q8" s="1478">
        <f t="shared" si="3"/>
        <v>100</v>
      </c>
      <c r="R8" s="1478">
        <f t="shared" si="3"/>
        <v>100</v>
      </c>
      <c r="S8" s="1478">
        <f t="shared" si="3"/>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1" t="s">
        <v>2828</v>
      </c>
      <c r="C9" s="1028"/>
      <c r="D9" s="1022"/>
      <c r="E9" s="1022"/>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4">D10-$T9</f>
        <v>100</v>
      </c>
      <c r="F10" s="1488">
        <f t="shared" si="4"/>
        <v>100</v>
      </c>
      <c r="G10" s="1488">
        <f t="shared" si="4"/>
        <v>100</v>
      </c>
      <c r="H10" s="1488">
        <f t="shared" si="4"/>
        <v>100</v>
      </c>
      <c r="I10" s="1488">
        <f t="shared" si="4"/>
        <v>100</v>
      </c>
      <c r="J10" s="1488">
        <f t="shared" si="4"/>
        <v>100</v>
      </c>
      <c r="K10" s="1488">
        <f t="shared" si="4"/>
        <v>100</v>
      </c>
      <c r="L10" s="1488">
        <f t="shared" si="4"/>
        <v>100</v>
      </c>
      <c r="M10" s="1488">
        <f t="shared" si="4"/>
        <v>100</v>
      </c>
      <c r="N10" s="1488">
        <f t="shared" si="4"/>
        <v>100</v>
      </c>
      <c r="O10" s="1488">
        <f t="shared" si="4"/>
        <v>100</v>
      </c>
      <c r="P10" s="1488">
        <f t="shared" si="4"/>
        <v>100</v>
      </c>
      <c r="Q10" s="1488">
        <f t="shared" si="4"/>
        <v>100</v>
      </c>
      <c r="R10" s="1488">
        <f t="shared" si="4"/>
        <v>100</v>
      </c>
      <c r="S10" s="1488">
        <f t="shared" si="4"/>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500" t="s">
        <v>2829</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5">D12-$T11</f>
        <v>100</v>
      </c>
      <c r="F12" s="1026">
        <f t="shared" si="5"/>
        <v>100</v>
      </c>
      <c r="G12" s="1026">
        <f t="shared" si="5"/>
        <v>100</v>
      </c>
      <c r="H12" s="1026">
        <f t="shared" si="5"/>
        <v>100</v>
      </c>
      <c r="I12" s="1026">
        <f t="shared" si="5"/>
        <v>100</v>
      </c>
      <c r="J12" s="1026">
        <f t="shared" si="5"/>
        <v>100</v>
      </c>
      <c r="K12" s="1026">
        <f t="shared" si="5"/>
        <v>100</v>
      </c>
      <c r="L12" s="1026">
        <f t="shared" si="5"/>
        <v>100</v>
      </c>
      <c r="M12" s="1026">
        <f t="shared" si="5"/>
        <v>100</v>
      </c>
      <c r="N12" s="1026">
        <f t="shared" si="5"/>
        <v>100</v>
      </c>
      <c r="O12" s="1026">
        <f t="shared" si="5"/>
        <v>100</v>
      </c>
      <c r="P12" s="1026">
        <f t="shared" si="5"/>
        <v>100</v>
      </c>
      <c r="Q12" s="1026">
        <f t="shared" si="5"/>
        <v>100</v>
      </c>
      <c r="R12" s="1026">
        <f>Q12-$T11</f>
        <v>100</v>
      </c>
      <c r="S12" s="1026">
        <f t="shared" si="5"/>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500" t="s">
        <v>2830</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500" t="s">
        <v>2831</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2832</v>
      </c>
      <c r="B17" s="2358" t="s">
        <v>2833</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9" t="s">
        <v>2834</v>
      </c>
      <c r="E19" s="1518"/>
      <c r="F19" s="1518"/>
      <c r="G19" s="1518"/>
      <c r="H19" s="1183"/>
      <c r="I19" s="163"/>
      <c r="J19" s="163"/>
      <c r="K19" s="163"/>
      <c r="L19" s="163"/>
      <c r="M19" s="163"/>
      <c r="N19" s="163"/>
      <c r="O19" s="163"/>
      <c r="P19" s="163"/>
      <c r="Q19" s="163"/>
      <c r="R19" s="726"/>
      <c r="S19" s="133"/>
    </row>
    <row r="20" spans="1:45" ht="16.5" thickBot="1">
      <c r="A20" s="670" t="s">
        <v>2835</v>
      </c>
      <c r="B20" s="299" t="e">
        <f ca="1">IF(D20="——",S22,S22-F20)</f>
        <v>#REF!</v>
      </c>
      <c r="C20" s="163"/>
      <c r="D20" s="2360"/>
      <c r="E20" s="1519"/>
      <c r="F20" s="1107" t="e">
        <f ca="1">SUMIF(INDIRECT("'"&amp;H20&amp;"'"&amp;"!A:A"),"承租人权益价值",INDIRECT("'"&amp;H20&amp;"'"&amp;"!c:c"))</f>
        <v>#REF!</v>
      </c>
      <c r="G20" s="1107" t="s">
        <v>2836</v>
      </c>
      <c r="H20" s="2361"/>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37" t="s">
        <v>33</v>
      </c>
      <c r="D22" s="3438"/>
      <c r="E22" s="3438"/>
      <c r="F22" s="3438"/>
      <c r="G22" s="3438"/>
      <c r="H22" s="3438"/>
      <c r="I22" s="3438"/>
      <c r="J22" s="3438"/>
      <c r="K22" s="3438"/>
      <c r="L22" s="3438"/>
      <c r="M22" s="3438"/>
      <c r="N22" s="3438"/>
      <c r="O22" s="3438"/>
      <c r="P22" s="3438"/>
      <c r="Q22" s="3439"/>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1">
        <v>1</v>
      </c>
      <c r="D24" s="3032"/>
      <c r="E24" s="3031">
        <v>1</v>
      </c>
      <c r="F24" s="3032"/>
      <c r="G24" s="3031">
        <v>1</v>
      </c>
      <c r="H24" s="3032"/>
      <c r="I24" s="3031">
        <v>1</v>
      </c>
      <c r="J24" s="3032"/>
      <c r="K24" s="3031">
        <v>1</v>
      </c>
      <c r="L24" s="3032"/>
      <c r="M24" s="3031">
        <v>1</v>
      </c>
      <c r="N24" s="3032"/>
      <c r="O24" s="3031">
        <v>1</v>
      </c>
      <c r="P24" s="3032"/>
      <c r="Q24" s="3031">
        <v>1</v>
      </c>
      <c r="R24" s="676">
        <v>10000</v>
      </c>
      <c r="S24" s="674">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6"/>
        <v>0</v>
      </c>
    </row>
    <row r="26" spans="1:45">
      <c r="A26" s="154"/>
      <c r="B26" s="57"/>
      <c r="C26" s="24">
        <f t="shared" ref="C26:C89" si="7">IF(B26="",1,(LOOKUP(B26,$3:$3,$4:$4)-LOOKUP($B$24,$3:$3,$4:$4)+100)/100)</f>
        <v>1</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si="15">IF(B26="",0,ROUND($R$24*C26*E26*G26*I26*K26*M26*O26*Q26,0))</f>
        <v>0</v>
      </c>
      <c r="S26" s="321">
        <f t="shared" si="6"/>
        <v>0</v>
      </c>
    </row>
    <row r="27" spans="1:45">
      <c r="A27" s="154"/>
      <c r="B27" s="57"/>
      <c r="C27" s="24">
        <f t="shared" si="7"/>
        <v>1</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si="15"/>
        <v>0</v>
      </c>
      <c r="S27" s="321">
        <f t="shared"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58947</v>
      </c>
      <c r="C2" s="2" t="s">
        <v>133</v>
      </c>
      <c r="D2" s="204"/>
      <c r="E2" s="204"/>
      <c r="F2" s="204"/>
      <c r="G2" s="204"/>
    </row>
    <row r="3" spans="1:7" s="205" customFormat="1" ht="18" customHeight="1" thickBot="1">
      <c r="A3" s="208" t="s">
        <v>85</v>
      </c>
      <c r="B3" s="209">
        <f ca="1">ROUND(B2*10000/'数据-汇总表'!E3,0)</f>
        <v>5784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928</v>
      </c>
      <c r="D9" s="947">
        <f>'数据-汇总表'!E5</f>
        <v>57972.040000000008</v>
      </c>
      <c r="E9" s="230">
        <f>'数据-取费表'!B27</f>
        <v>160</v>
      </c>
      <c r="F9" s="226"/>
      <c r="G9" s="231"/>
    </row>
    <row r="10" spans="1:7" s="219" customFormat="1" ht="13.5" customHeight="1">
      <c r="A10" s="880" t="s">
        <v>801</v>
      </c>
      <c r="B10" s="229" t="s">
        <v>94</v>
      </c>
      <c r="C10" s="230">
        <f>ROUND(D10*E10/10000,0)</f>
        <v>879</v>
      </c>
      <c r="D10" s="947">
        <f>'数据-汇总表'!E6</f>
        <v>43940</v>
      </c>
      <c r="E10" s="230">
        <f>'数据-取费表'!B28</f>
        <v>200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2038</v>
      </c>
      <c r="D19" s="951">
        <f>'数据-汇总表'!E3</f>
        <v>101912.04000000001</v>
      </c>
      <c r="E19" s="216">
        <f>'数据-取费表'!B31</f>
        <v>200</v>
      </c>
      <c r="F19" s="236"/>
      <c r="G19" s="1" t="s">
        <v>1042</v>
      </c>
    </row>
    <row r="20" spans="1:7" s="219" customFormat="1" ht="13.5" customHeight="1">
      <c r="A20" s="878" t="s">
        <v>1025</v>
      </c>
      <c r="B20" s="215" t="s">
        <v>104</v>
      </c>
      <c r="C20" s="237">
        <f>ROUND((C5+C19)*F20,0)</f>
        <v>453</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1993</v>
      </c>
      <c r="D22" s="240">
        <f ca="1">C26</f>
        <v>8.9999999999999998E-4</v>
      </c>
      <c r="E22" s="241" t="s">
        <v>126</v>
      </c>
      <c r="F22" s="242">
        <f ca="1">'数据-取费表'!B40</f>
        <v>4.7500000000000001E-2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1796</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178</v>
      </c>
      <c r="D24" s="243"/>
      <c r="E24" s="243"/>
      <c r="F24" s="244"/>
      <c r="G24" s="245" t="s">
        <v>109</v>
      </c>
    </row>
    <row r="25" spans="1:7" s="219" customFormat="1" ht="24">
      <c r="A25" s="881" t="s">
        <v>793</v>
      </c>
      <c r="B25" s="220" t="s">
        <v>1026</v>
      </c>
      <c r="C25" s="1258">
        <f ca="1">ROUND(IF('数据-取费表'!B22&lt;=1,C20*F22*'数据-取费表'!B23/2,C20*(POWER((1+F22),'数据-取费表'!B23/2)-1)),0)</f>
        <v>19</v>
      </c>
      <c r="D25" s="243"/>
      <c r="E25" s="246"/>
      <c r="F25" s="244"/>
      <c r="G25" s="247" t="s">
        <v>110</v>
      </c>
    </row>
    <row r="26" spans="1:7" s="219" customFormat="1">
      <c r="A26" s="881" t="s">
        <v>795</v>
      </c>
      <c r="B26" s="220" t="s">
        <v>1028</v>
      </c>
      <c r="C26" s="243">
        <f ca="1">ROUND(IF('数据-取费表'!B22&lt;=1,F21*F22*'数据-取费表'!B23/2,F21*(POWER((1+F22),'数据-取费表'!B23/2)-1)),4)</f>
        <v>8.9999999999999998E-4</v>
      </c>
      <c r="D26" s="243"/>
      <c r="E26" s="246"/>
      <c r="F26" s="244"/>
      <c r="G26" s="248"/>
    </row>
    <row r="27" spans="1:7" s="219" customFormat="1" ht="24.75">
      <c r="A27" s="878" t="s">
        <v>787</v>
      </c>
      <c r="B27" s="249" t="s">
        <v>112</v>
      </c>
      <c r="C27" s="250">
        <f>C28</f>
        <v>1109</v>
      </c>
      <c r="D27" s="240">
        <f>C29</f>
        <v>1E-3</v>
      </c>
      <c r="E27" s="241" t="s">
        <v>126</v>
      </c>
      <c r="F27" s="251">
        <f>'数据-取费表'!Q16</f>
        <v>0.08</v>
      </c>
      <c r="G27" s="252" t="s">
        <v>1037</v>
      </c>
    </row>
    <row r="28" spans="1:7" s="219" customFormat="1" ht="13.5" customHeight="1">
      <c r="A28" s="881" t="s">
        <v>794</v>
      </c>
      <c r="B28" s="253" t="s">
        <v>1030</v>
      </c>
      <c r="C28" s="254">
        <f>ROUND((C5+C19+C20)*F27*'数据-取费表'!B21/'数据-取费表'!B20,0)</f>
        <v>1109</v>
      </c>
      <c r="D28" s="240"/>
      <c r="E28" s="241"/>
      <c r="F28" s="251"/>
      <c r="G28" s="252"/>
    </row>
    <row r="29" spans="1:7" s="219" customFormat="1" ht="13.5" customHeight="1">
      <c r="A29" s="881" t="s">
        <v>792</v>
      </c>
      <c r="B29" s="253" t="s">
        <v>1031</v>
      </c>
      <c r="C29" s="243">
        <f>ROUND(C21*F27*'数据-取费表'!B21/'数据-取费表'!B20,4)</f>
        <v>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28335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24706</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21658</v>
      </c>
      <c r="D34" s="222"/>
      <c r="E34" s="225"/>
      <c r="F34" s="262">
        <f>IF('数据-取费表'!B24=0,1,'数据-取费表'!N16)</f>
        <v>0.6</v>
      </c>
      <c r="G34" s="224" t="s">
        <v>116</v>
      </c>
    </row>
    <row r="35" spans="1:7" ht="13.5" customHeight="1">
      <c r="A35" s="881" t="s">
        <v>796</v>
      </c>
      <c r="B35" s="220" t="s">
        <v>60</v>
      </c>
      <c r="C35" s="225">
        <f>ROUND(C34*F35,0)</f>
        <v>1083</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417</v>
      </c>
      <c r="D36" s="225"/>
      <c r="E36" s="225"/>
      <c r="F36" s="264">
        <f>'数据-取费表'!B34</f>
        <v>0.03</v>
      </c>
      <c r="G36" s="265" t="s">
        <v>62</v>
      </c>
    </row>
    <row r="37" spans="1:7" s="263" customFormat="1" ht="13.5" customHeight="1">
      <c r="A37" s="881" t="s">
        <v>798</v>
      </c>
      <c r="B37" s="220" t="s">
        <v>118</v>
      </c>
      <c r="C37" s="254">
        <f>ROUND(E37*D37*F34/10000,0)</f>
        <v>1223</v>
      </c>
      <c r="D37" s="222">
        <f>'数据-汇总表'!E3</f>
        <v>101912.04000000001</v>
      </c>
      <c r="E37" s="254">
        <f>'数据-取费表'!B35</f>
        <v>200</v>
      </c>
      <c r="F37" s="264"/>
      <c r="G37" s="266" t="s">
        <v>119</v>
      </c>
    </row>
    <row r="38" spans="1:7" ht="13.5" customHeight="1">
      <c r="A38" s="881" t="s">
        <v>799</v>
      </c>
      <c r="B38" s="220" t="s">
        <v>63</v>
      </c>
      <c r="C38" s="225">
        <f>ROUND(C34*F38,0)</f>
        <v>325</v>
      </c>
      <c r="D38" s="225"/>
      <c r="E38" s="225"/>
      <c r="F38" s="264">
        <f>'数据-取费表'!B36</f>
        <v>1.4999999999999999E-2</v>
      </c>
      <c r="G38" s="224" t="s">
        <v>117</v>
      </c>
    </row>
    <row r="39" spans="1:7" s="219" customFormat="1" ht="13.5" customHeight="1">
      <c r="A39" s="878" t="s">
        <v>783</v>
      </c>
      <c r="B39" s="215" t="s">
        <v>104</v>
      </c>
      <c r="C39" s="237">
        <f>ROUND(C33*F20,0)</f>
        <v>494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1075</v>
      </c>
      <c r="D41" s="240">
        <f ca="1">C44</f>
        <v>8.9999999999999998E-4</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1054</v>
      </c>
      <c r="D42" s="243"/>
      <c r="E42" s="243"/>
      <c r="F42" s="244"/>
      <c r="G42" s="3295" t="s">
        <v>121</v>
      </c>
    </row>
    <row r="43" spans="1:7" ht="13.5" customHeight="1">
      <c r="A43" s="881" t="s">
        <v>792</v>
      </c>
      <c r="B43" s="220" t="s">
        <v>1032</v>
      </c>
      <c r="C43" s="243">
        <f ca="1">ROUND(IF('数据-取费表'!B22&lt;=1,C39*F22*'数据-取费表'!B21/2,C39*(POWER((1+F22),'数据-取费表'!B21/2)-1)),0)</f>
        <v>21</v>
      </c>
      <c r="D43" s="243"/>
      <c r="E43" s="243"/>
      <c r="F43" s="244"/>
      <c r="G43" s="3296"/>
    </row>
    <row r="44" spans="1:7" ht="13.5" customHeight="1">
      <c r="A44" s="881" t="s">
        <v>793</v>
      </c>
      <c r="B44" s="220" t="s">
        <v>1034</v>
      </c>
      <c r="C44" s="243">
        <f ca="1">ROUND(IF('数据-取费表'!B22&lt;=1,C40*F22*'数据-取费表'!B21/2,C40*(POWER((1+F22),'数据-取费表'!B21/2)-1)),4)</f>
        <v>8.9999999999999998E-4</v>
      </c>
      <c r="D44" s="243"/>
      <c r="E44" s="243"/>
      <c r="F44" s="244"/>
      <c r="G44" s="3297"/>
    </row>
    <row r="45" spans="1:7" s="219" customFormat="1" ht="13.5" customHeight="1">
      <c r="A45" s="878" t="s">
        <v>786</v>
      </c>
      <c r="B45" s="249" t="s">
        <v>112</v>
      </c>
      <c r="C45" s="250">
        <f>C46</f>
        <v>2016</v>
      </c>
      <c r="D45" s="240">
        <f>C47</f>
        <v>1.6000000000000001E-3</v>
      </c>
      <c r="E45" s="241" t="s">
        <v>129</v>
      </c>
      <c r="F45" s="251"/>
      <c r="G45" s="252" t="s">
        <v>1040</v>
      </c>
    </row>
    <row r="46" spans="1:7" s="219" customFormat="1" ht="13.5" customHeight="1">
      <c r="A46" s="881" t="s">
        <v>794</v>
      </c>
      <c r="B46" s="253" t="s">
        <v>1033</v>
      </c>
      <c r="C46" s="254">
        <f>ROUND((C33+C39)*F27,0)</f>
        <v>2016</v>
      </c>
      <c r="D46" s="268"/>
      <c r="E46" s="241"/>
      <c r="F46" s="251"/>
      <c r="G46" s="252"/>
    </row>
    <row r="47" spans="1:7" s="219" customFormat="1" ht="13.5" customHeight="1">
      <c r="A47" s="881" t="s">
        <v>792</v>
      </c>
      <c r="B47" s="253" t="s">
        <v>1035</v>
      </c>
      <c r="C47" s="243">
        <f>ROUND(C40*F27,4)</f>
        <v>1.6000000000000001E-3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30612</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30612</v>
      </c>
      <c r="D51" s="237"/>
      <c r="E51" s="237"/>
      <c r="F51" s="269"/>
      <c r="G51" s="239" t="s">
        <v>64</v>
      </c>
    </row>
    <row r="52" spans="1:7" s="213" customFormat="1" ht="16.5" thickBot="1">
      <c r="A52" s="270" t="s">
        <v>65</v>
      </c>
      <c r="B52" s="271"/>
      <c r="C52" s="272">
        <f ca="1">C31+C51</f>
        <v>58947</v>
      </c>
      <c r="D52" s="271"/>
      <c r="E52" s="271"/>
      <c r="F52" s="271"/>
      <c r="G52" s="273"/>
    </row>
    <row r="55" spans="1:7" ht="15">
      <c r="B55" s="275" t="s">
        <v>66</v>
      </c>
      <c r="C55" s="276"/>
    </row>
    <row r="56" spans="1:7">
      <c r="B56" s="278" t="s">
        <v>67</v>
      </c>
      <c r="C56" s="279">
        <f ca="1">ROUND(C51/C52,3)</f>
        <v>0.51900000000000002</v>
      </c>
    </row>
    <row r="57" spans="1:7">
      <c r="B57" s="278" t="s">
        <v>68</v>
      </c>
      <c r="C57" s="280">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43" t="s">
        <v>156</v>
      </c>
      <c r="B1" s="3443"/>
      <c r="C1" s="3443"/>
      <c r="D1" s="3443"/>
      <c r="E1" s="3443"/>
      <c r="F1" s="3443"/>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44" t="s">
        <v>169</v>
      </c>
      <c r="B2" s="3444"/>
      <c r="C2" s="3444"/>
      <c r="D2" s="3444"/>
      <c r="E2" s="3444"/>
      <c r="F2" s="3444"/>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45"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46"/>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43" t="s">
        <v>839</v>
      </c>
      <c r="B1" s="3443"/>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3" customFormat="1" ht="14.25" thickBot="1">
      <c r="A1" s="1457"/>
      <c r="B1" s="1464" t="s">
        <v>1267</v>
      </c>
      <c r="C1" s="1458">
        <f>项目基本情况!D3</f>
        <v>44187</v>
      </c>
      <c r="D1" s="1464" t="s">
        <v>1268</v>
      </c>
      <c r="E1" s="1459">
        <f>'数据-取费表'!B22</f>
        <v>3</v>
      </c>
      <c r="F1" s="1464" t="s">
        <v>1269</v>
      </c>
      <c r="G1" s="1460">
        <f ca="1">INDIRECT("d"&amp;$K$1)/100</f>
        <v>4.7500000000000001E-2</v>
      </c>
      <c r="H1" s="1464" t="s">
        <v>1299</v>
      </c>
      <c r="I1" s="1460">
        <f ca="1">F4/100</f>
        <v>1.4999999999999999E-2</v>
      </c>
      <c r="J1" s="1465">
        <f>IF(C1&gt;C13,0,MATCH(C1,C$13:C$100,-1))+IF(SUMIF(C13:C100,C1,D13:D100)=0,13,12)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4.3499999999999996</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4.3499999999999996</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4.75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4.75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4.9000000000000004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1446">
        <v>42301</v>
      </c>
      <c r="D13" s="1447">
        <v>4.3499999999999996</v>
      </c>
      <c r="E13" s="1447">
        <v>4.3499999999999996</v>
      </c>
      <c r="F13" s="1447">
        <v>4.75</v>
      </c>
      <c r="G13" s="1447">
        <v>4.75</v>
      </c>
      <c r="H13" s="1447">
        <v>4.9000000000000004</v>
      </c>
      <c r="I13" s="1447">
        <v>2.75</v>
      </c>
      <c r="J13" s="1447">
        <v>3.25</v>
      </c>
      <c r="K13" s="1444"/>
      <c r="L13" s="1445"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c r="B14" s="1451"/>
      <c r="C14" s="1452">
        <v>42242</v>
      </c>
      <c r="D14" s="1451">
        <v>4.5999999999999996</v>
      </c>
      <c r="E14" s="1451">
        <v>4.5999999999999996</v>
      </c>
      <c r="F14" s="1451">
        <v>5</v>
      </c>
      <c r="G14" s="1451">
        <v>5</v>
      </c>
      <c r="H14" s="1451">
        <v>5.15</v>
      </c>
      <c r="I14" s="1451">
        <v>2.75</v>
      </c>
      <c r="J14" s="1451">
        <v>3.25</v>
      </c>
      <c r="L14" s="1451"/>
      <c r="M14" s="1452">
        <v>42242</v>
      </c>
      <c r="N14" s="1451">
        <v>0.35</v>
      </c>
      <c r="O14" s="1451">
        <v>1.35</v>
      </c>
      <c r="P14" s="1451">
        <v>1.55</v>
      </c>
      <c r="Q14" s="1451">
        <v>1.75</v>
      </c>
      <c r="R14" s="1451">
        <v>2.35</v>
      </c>
      <c r="S14" s="1451">
        <v>3</v>
      </c>
      <c r="T14" s="1451"/>
      <c r="U14" s="1451"/>
      <c r="V14" s="1451"/>
      <c r="W14" s="1451"/>
      <c r="X14" s="1451"/>
      <c r="Y14" s="1451"/>
      <c r="Z14" s="1451"/>
    </row>
    <row r="15" spans="1:257">
      <c r="B15" s="1451"/>
      <c r="C15" s="1452">
        <v>42183</v>
      </c>
      <c r="D15" s="1451">
        <v>4.8499999999999996</v>
      </c>
      <c r="E15" s="1451">
        <v>4.8499999999999996</v>
      </c>
      <c r="F15" s="1451">
        <v>5.25</v>
      </c>
      <c r="G15" s="1451">
        <v>5.25</v>
      </c>
      <c r="H15" s="1451">
        <v>5.4</v>
      </c>
      <c r="I15" s="1451">
        <v>3</v>
      </c>
      <c r="J15" s="1451">
        <v>3.5</v>
      </c>
      <c r="L15" s="1451"/>
      <c r="M15" s="1452">
        <v>42183</v>
      </c>
      <c r="N15" s="1451">
        <v>0.35</v>
      </c>
      <c r="O15" s="1451">
        <v>1.6</v>
      </c>
      <c r="P15" s="1451">
        <v>1.8</v>
      </c>
      <c r="Q15" s="1451">
        <v>2</v>
      </c>
      <c r="R15" s="1451">
        <v>2.6</v>
      </c>
      <c r="S15" s="1451">
        <v>3.25</v>
      </c>
      <c r="T15" s="1451"/>
      <c r="U15" s="1451"/>
      <c r="V15" s="1451"/>
      <c r="W15" s="1451"/>
      <c r="X15" s="1451"/>
      <c r="Y15" s="1451"/>
      <c r="Z15" s="1451"/>
    </row>
    <row r="16" spans="1:257">
      <c r="B16" s="1451"/>
      <c r="C16" s="1452">
        <v>42135</v>
      </c>
      <c r="D16" s="1451">
        <v>5.0999999999999996</v>
      </c>
      <c r="E16" s="1451">
        <v>5.0999999999999996</v>
      </c>
      <c r="F16" s="1451">
        <v>5.5</v>
      </c>
      <c r="G16" s="1451">
        <v>5.5</v>
      </c>
      <c r="H16" s="1451">
        <v>5.65</v>
      </c>
      <c r="I16" s="1451">
        <v>3.25</v>
      </c>
      <c r="J16" s="1451">
        <v>3.75</v>
      </c>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2:26">
      <c r="B17" s="1451"/>
      <c r="C17" s="1452">
        <v>42064</v>
      </c>
      <c r="D17" s="1451">
        <v>5.35</v>
      </c>
      <c r="E17" s="1451">
        <v>5.35</v>
      </c>
      <c r="F17" s="1451">
        <v>5.75</v>
      </c>
      <c r="G17" s="1451">
        <v>5.75</v>
      </c>
      <c r="H17" s="1451">
        <v>5.9</v>
      </c>
      <c r="I17" s="1451"/>
      <c r="J17" s="145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2:26" ht="15">
      <c r="B18" s="1451"/>
      <c r="C18" s="1452">
        <v>41965</v>
      </c>
      <c r="D18" s="1451">
        <v>5.6</v>
      </c>
      <c r="E18" s="1451">
        <v>5.6</v>
      </c>
      <c r="F18" s="1451">
        <v>6</v>
      </c>
      <c r="G18" s="1451">
        <v>6</v>
      </c>
      <c r="H18" s="1451">
        <v>6.15</v>
      </c>
      <c r="I18" s="1451"/>
      <c r="J18" s="1451"/>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2:26">
      <c r="B19" s="1451"/>
      <c r="C19" s="1452">
        <v>41096</v>
      </c>
      <c r="D19" s="1451">
        <v>5.6</v>
      </c>
      <c r="E19" s="1451">
        <v>6</v>
      </c>
      <c r="F19" s="1451">
        <v>6.15</v>
      </c>
      <c r="G19" s="1451">
        <v>6.4</v>
      </c>
      <c r="H19" s="1451">
        <v>6.55</v>
      </c>
      <c r="I19" s="1451">
        <v>4</v>
      </c>
      <c r="J19" s="1451">
        <v>4.5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2:26">
      <c r="B20" s="1451"/>
      <c r="C20" s="1452">
        <v>41068</v>
      </c>
      <c r="D20" s="1451">
        <v>5.85</v>
      </c>
      <c r="E20" s="1451">
        <v>6.31</v>
      </c>
      <c r="F20" s="1451">
        <v>6.4</v>
      </c>
      <c r="G20" s="1451">
        <v>6.65</v>
      </c>
      <c r="H20" s="1451">
        <v>6.8</v>
      </c>
      <c r="I20" s="1451">
        <v>4.2</v>
      </c>
      <c r="J20" s="1451">
        <v>4.7</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2:26">
      <c r="B21" s="1451"/>
      <c r="C21" s="1452">
        <v>40731</v>
      </c>
      <c r="D21" s="1451">
        <v>6.1</v>
      </c>
      <c r="E21" s="1451">
        <v>6.56</v>
      </c>
      <c r="F21" s="1451">
        <v>6.65</v>
      </c>
      <c r="G21" s="1451">
        <v>6.9</v>
      </c>
      <c r="H21" s="1451">
        <v>7.05</v>
      </c>
      <c r="I21" s="1451">
        <v>4.45</v>
      </c>
      <c r="J21" s="1451">
        <v>4.9000000000000004</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2:26">
      <c r="B22" s="1451"/>
      <c r="C22" s="1452">
        <v>40639</v>
      </c>
      <c r="D22" s="1451">
        <v>5.85</v>
      </c>
      <c r="E22" s="1451">
        <v>6.31</v>
      </c>
      <c r="F22" s="1451">
        <v>6.4</v>
      </c>
      <c r="G22" s="1451">
        <v>6.65</v>
      </c>
      <c r="H22" s="1451">
        <v>6.8</v>
      </c>
      <c r="I22" s="1451">
        <v>4.2</v>
      </c>
      <c r="J22" s="1451">
        <v>4.7</v>
      </c>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2:26">
      <c r="B23" s="1451"/>
      <c r="C23" s="1452">
        <v>40583</v>
      </c>
      <c r="D23" s="1451">
        <v>5.6</v>
      </c>
      <c r="E23" s="1451">
        <v>6.06</v>
      </c>
      <c r="F23" s="1451">
        <v>6.1</v>
      </c>
      <c r="G23" s="1451">
        <v>6.45</v>
      </c>
      <c r="H23" s="1451">
        <v>6.6</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2:26">
      <c r="B24" s="1451"/>
      <c r="C24" s="1452">
        <v>40538</v>
      </c>
      <c r="D24" s="1451">
        <v>5.35</v>
      </c>
      <c r="E24" s="1451">
        <v>5.81</v>
      </c>
      <c r="F24" s="1451">
        <v>5.85</v>
      </c>
      <c r="G24" s="1451">
        <v>6.22</v>
      </c>
      <c r="H24" s="1451">
        <v>6.4</v>
      </c>
      <c r="I24" s="1451">
        <v>3.75</v>
      </c>
      <c r="J24" s="1451">
        <v>4.3</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2:26">
      <c r="B25" s="1451"/>
      <c r="C25" s="1452">
        <v>40471</v>
      </c>
      <c r="D25" s="1451">
        <v>5.0999999999999996</v>
      </c>
      <c r="E25" s="1451">
        <v>5.56</v>
      </c>
      <c r="F25" s="1451">
        <v>5.6</v>
      </c>
      <c r="G25" s="1451">
        <v>5.96</v>
      </c>
      <c r="H25" s="1451">
        <v>6.14</v>
      </c>
      <c r="I25" s="1451">
        <v>3.5</v>
      </c>
      <c r="J25" s="1451">
        <v>4.05</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2:26">
      <c r="B26" s="1451"/>
      <c r="C26" s="1452">
        <v>39805</v>
      </c>
      <c r="D26" s="1451">
        <v>4.8600000000000003</v>
      </c>
      <c r="E26" s="1451">
        <v>5.31</v>
      </c>
      <c r="F26" s="1451">
        <v>5.4</v>
      </c>
      <c r="G26" s="1451">
        <v>5.76</v>
      </c>
      <c r="H26" s="1451">
        <v>5.94</v>
      </c>
      <c r="I26" s="1451">
        <v>3.33</v>
      </c>
      <c r="J26" s="1451">
        <v>3.87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2:26">
      <c r="B27" s="1451"/>
      <c r="C27" s="1452">
        <v>39779</v>
      </c>
      <c r="D27" s="1451">
        <v>5.04</v>
      </c>
      <c r="E27" s="1451">
        <v>5.58</v>
      </c>
      <c r="F27" s="1451">
        <v>5.67</v>
      </c>
      <c r="G27" s="1451">
        <v>5.94</v>
      </c>
      <c r="H27" s="1451">
        <v>6.12</v>
      </c>
      <c r="I27" s="1451">
        <v>3.51</v>
      </c>
      <c r="J27" s="1451">
        <v>4.05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2:26">
      <c r="B28" s="1451"/>
      <c r="C28" s="1452">
        <v>39751</v>
      </c>
      <c r="D28" s="1451">
        <v>6.03</v>
      </c>
      <c r="E28" s="1451">
        <v>6.66</v>
      </c>
      <c r="F28" s="1451">
        <v>6.75</v>
      </c>
      <c r="G28" s="1451">
        <v>7.02</v>
      </c>
      <c r="H28" s="1451">
        <v>7.2</v>
      </c>
      <c r="I28" s="1451">
        <v>4.05</v>
      </c>
      <c r="J28" s="1451">
        <v>4.59</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2:26">
      <c r="B29" s="1451"/>
      <c r="C29" s="1454">
        <v>39748</v>
      </c>
      <c r="D29" s="1451">
        <v>6.12</v>
      </c>
      <c r="E29" s="1451">
        <v>6.93</v>
      </c>
      <c r="F29" s="1451">
        <v>7.02</v>
      </c>
      <c r="G29" s="1451">
        <v>7.29</v>
      </c>
      <c r="H29" s="1451">
        <v>7.47</v>
      </c>
      <c r="I29" s="1451">
        <v>4.05</v>
      </c>
      <c r="J29" s="1451">
        <v>4.59</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2:26">
      <c r="B30" s="1451"/>
      <c r="C30" s="1452">
        <v>39730</v>
      </c>
      <c r="D30" s="1451">
        <v>6.12</v>
      </c>
      <c r="E30" s="1451">
        <v>6.93</v>
      </c>
      <c r="F30" s="1451">
        <v>7.02</v>
      </c>
      <c r="G30" s="1451">
        <v>7.29</v>
      </c>
      <c r="H30" s="1451">
        <v>7.47</v>
      </c>
      <c r="I30" s="1451">
        <v>4.32</v>
      </c>
      <c r="J30" s="1451">
        <v>4.8600000000000003</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2:26">
      <c r="B31" s="1451"/>
      <c r="C31" s="1452">
        <v>39707</v>
      </c>
      <c r="D31" s="1451">
        <v>6.21</v>
      </c>
      <c r="E31" s="1451">
        <v>7.2</v>
      </c>
      <c r="F31" s="1451">
        <v>7.29</v>
      </c>
      <c r="G31" s="1451">
        <v>7.56</v>
      </c>
      <c r="H31" s="1451">
        <v>7.74</v>
      </c>
      <c r="I31" s="1451">
        <v>4.59</v>
      </c>
      <c r="J31" s="1451">
        <v>5.13</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2:26">
      <c r="B32" s="1451"/>
      <c r="C32" s="1452">
        <v>39437</v>
      </c>
      <c r="D32" s="1451">
        <v>6.57</v>
      </c>
      <c r="E32" s="1451">
        <v>7.47</v>
      </c>
      <c r="F32" s="1451">
        <v>7.56</v>
      </c>
      <c r="G32" s="1451">
        <v>7.74</v>
      </c>
      <c r="H32" s="1451">
        <v>7.83</v>
      </c>
      <c r="I32" s="1451">
        <v>4.7699999999999996</v>
      </c>
      <c r="J32" s="1451">
        <v>5.22</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39340</v>
      </c>
      <c r="D33" s="1451">
        <v>6.48</v>
      </c>
      <c r="E33" s="1451">
        <v>7.29</v>
      </c>
      <c r="F33" s="1451">
        <v>7.47</v>
      </c>
      <c r="G33" s="1451">
        <v>7.65</v>
      </c>
      <c r="H33" s="1451">
        <v>7.83</v>
      </c>
      <c r="I33" s="1451">
        <v>4.7699999999999996</v>
      </c>
      <c r="J33" s="1451">
        <v>5.22</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39316</v>
      </c>
      <c r="D34" s="1451">
        <v>6.21</v>
      </c>
      <c r="E34" s="1451">
        <v>7.02</v>
      </c>
      <c r="F34" s="1451">
        <v>7.2</v>
      </c>
      <c r="G34" s="1451">
        <v>7.38</v>
      </c>
      <c r="H34" s="1451">
        <v>7.56</v>
      </c>
      <c r="I34" s="1451">
        <v>4.59</v>
      </c>
      <c r="J34" s="1451">
        <v>5.04</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39284</v>
      </c>
      <c r="D35" s="1451">
        <v>6.03</v>
      </c>
      <c r="E35" s="1451">
        <v>6.84</v>
      </c>
      <c r="F35" s="1451">
        <v>7.02</v>
      </c>
      <c r="G35" s="1451">
        <v>7.2</v>
      </c>
      <c r="H35" s="1451">
        <v>7.38</v>
      </c>
      <c r="I35" s="1451">
        <v>4.5</v>
      </c>
      <c r="J35" s="1451">
        <v>4.95</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39221</v>
      </c>
      <c r="D36" s="1451">
        <v>5.85</v>
      </c>
      <c r="E36" s="1451">
        <v>6.57</v>
      </c>
      <c r="F36" s="1451">
        <v>6.75</v>
      </c>
      <c r="G36" s="1451">
        <v>6.93</v>
      </c>
      <c r="H36" s="1451">
        <v>7.2</v>
      </c>
      <c r="I36" s="1451">
        <v>4.41</v>
      </c>
      <c r="J36" s="1451">
        <v>4.8600000000000003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39159</v>
      </c>
      <c r="D37" s="1451">
        <v>5.67</v>
      </c>
      <c r="E37" s="1451">
        <v>6.39</v>
      </c>
      <c r="F37" s="1451">
        <v>6.57</v>
      </c>
      <c r="G37" s="1451">
        <v>6.75</v>
      </c>
      <c r="H37" s="1451">
        <v>7.11</v>
      </c>
      <c r="I37" s="1451">
        <v>4.32</v>
      </c>
      <c r="J37" s="1451">
        <v>4.7699999999999996</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38948</v>
      </c>
      <c r="D38" s="1451">
        <v>5.58</v>
      </c>
      <c r="E38" s="1451">
        <v>6.12</v>
      </c>
      <c r="F38" s="1451">
        <v>6.3</v>
      </c>
      <c r="G38" s="1451">
        <v>6.48</v>
      </c>
      <c r="H38" s="1451">
        <v>6.84</v>
      </c>
      <c r="I38" s="1451">
        <v>4.1399999999999997</v>
      </c>
      <c r="J38" s="1451">
        <v>4.59</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38835</v>
      </c>
      <c r="D39" s="1451">
        <v>5.4</v>
      </c>
      <c r="E39" s="1451">
        <v>5.85</v>
      </c>
      <c r="F39" s="1451">
        <v>6.03</v>
      </c>
      <c r="G39" s="1451">
        <v>6.12</v>
      </c>
      <c r="H39" s="1451">
        <v>6.39</v>
      </c>
      <c r="I39" s="1451">
        <v>4.1399999999999997</v>
      </c>
      <c r="J39" s="1451">
        <v>4.59</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38428</v>
      </c>
      <c r="D40" s="1451">
        <v>5.22</v>
      </c>
      <c r="E40" s="1451">
        <v>5.58</v>
      </c>
      <c r="F40" s="1451">
        <v>5.76</v>
      </c>
      <c r="G40" s="1451">
        <v>5.85</v>
      </c>
      <c r="H40" s="1451">
        <v>6.12</v>
      </c>
      <c r="I40" s="1451">
        <v>3.96</v>
      </c>
      <c r="J40" s="1451">
        <v>4.41</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38289</v>
      </c>
      <c r="D41" s="1451">
        <v>5.22</v>
      </c>
      <c r="E41" s="1451">
        <v>5.58</v>
      </c>
      <c r="F41" s="1451">
        <v>5.76</v>
      </c>
      <c r="G41" s="1451">
        <v>5.85</v>
      </c>
      <c r="H41" s="1451">
        <v>6.12</v>
      </c>
      <c r="I41" s="1451">
        <v>3.78</v>
      </c>
      <c r="J41" s="1451">
        <v>4.2300000000000004</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37308</v>
      </c>
      <c r="D42" s="1451">
        <v>5.04</v>
      </c>
      <c r="E42" s="1451">
        <v>5.31</v>
      </c>
      <c r="F42" s="1451">
        <v>5.49</v>
      </c>
      <c r="G42" s="1451">
        <v>5.58</v>
      </c>
      <c r="H42" s="1451">
        <v>5.76</v>
      </c>
      <c r="I42" s="1451">
        <v>3.6</v>
      </c>
      <c r="J42" s="1451">
        <v>4.05</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36321</v>
      </c>
      <c r="D43" s="1451">
        <v>5.58</v>
      </c>
      <c r="E43" s="1451">
        <v>5.85</v>
      </c>
      <c r="F43" s="1451">
        <v>5.94</v>
      </c>
      <c r="G43" s="1451">
        <v>6.03</v>
      </c>
      <c r="H43" s="1451">
        <v>6.21</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36136</v>
      </c>
      <c r="D44" s="1451">
        <v>6.12</v>
      </c>
      <c r="E44" s="1451">
        <v>6.39</v>
      </c>
      <c r="F44" s="1451">
        <v>6.66</v>
      </c>
      <c r="G44" s="1451">
        <v>7.2</v>
      </c>
      <c r="H44" s="1451">
        <v>7.56</v>
      </c>
      <c r="I44" s="1451">
        <v>0</v>
      </c>
      <c r="J44" s="1451">
        <v>0</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35977</v>
      </c>
      <c r="D45" s="1451">
        <v>6.57</v>
      </c>
      <c r="E45" s="1451">
        <v>6.93</v>
      </c>
      <c r="F45" s="1451">
        <v>7.11</v>
      </c>
      <c r="G45" s="1451">
        <v>7.65</v>
      </c>
      <c r="H45" s="1451">
        <v>8.01</v>
      </c>
      <c r="I45" s="1451">
        <v>0</v>
      </c>
      <c r="J45" s="1451">
        <v>0</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35879</v>
      </c>
      <c r="D46" s="1451">
        <v>7.02</v>
      </c>
      <c r="E46" s="1451">
        <v>7.92</v>
      </c>
      <c r="F46" s="1451">
        <v>9</v>
      </c>
      <c r="G46" s="1451">
        <v>9.7200000000000006</v>
      </c>
      <c r="H46" s="1451">
        <v>10.35</v>
      </c>
      <c r="I46" s="1451">
        <v>0</v>
      </c>
      <c r="J46" s="1451">
        <v>0</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35726</v>
      </c>
      <c r="D47" s="1451">
        <v>7.65</v>
      </c>
      <c r="E47" s="1451">
        <v>8.64</v>
      </c>
      <c r="F47" s="1451">
        <v>9.36</v>
      </c>
      <c r="G47" s="1451">
        <v>9.9</v>
      </c>
      <c r="H47" s="1451">
        <v>10.53</v>
      </c>
      <c r="I47" s="1451">
        <v>0</v>
      </c>
      <c r="J47" s="1451">
        <v>0</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35300</v>
      </c>
      <c r="D48" s="1451">
        <v>9.18</v>
      </c>
      <c r="E48" s="1451">
        <v>10.08</v>
      </c>
      <c r="F48" s="1451">
        <v>10.98</v>
      </c>
      <c r="G48" s="1451">
        <v>11.7</v>
      </c>
      <c r="H48" s="1451">
        <v>12.42</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35186</v>
      </c>
      <c r="D49" s="1451">
        <v>9.7200000000000006</v>
      </c>
      <c r="E49" s="1451">
        <v>10.98</v>
      </c>
      <c r="F49" s="1451">
        <v>13.14</v>
      </c>
      <c r="G49" s="1451">
        <v>14.94</v>
      </c>
      <c r="H49" s="1451">
        <v>15.12</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34881</v>
      </c>
      <c r="D50" s="1451">
        <v>10.08</v>
      </c>
      <c r="E50" s="1451">
        <v>12.06</v>
      </c>
      <c r="F50" s="1451">
        <v>13.5</v>
      </c>
      <c r="G50" s="1451">
        <v>15.12</v>
      </c>
      <c r="H50" s="1451">
        <v>15.3</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34700</v>
      </c>
      <c r="D51" s="1451">
        <v>9</v>
      </c>
      <c r="E51" s="1451">
        <v>10.98</v>
      </c>
      <c r="F51" s="1451">
        <v>12.96</v>
      </c>
      <c r="G51" s="1451">
        <v>14.58</v>
      </c>
      <c r="H51" s="1451">
        <v>14.76</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34161</v>
      </c>
      <c r="D52" s="1451">
        <v>9</v>
      </c>
      <c r="E52" s="1451">
        <v>10.98</v>
      </c>
      <c r="F52" s="1451">
        <v>12.24</v>
      </c>
      <c r="G52" s="1451">
        <v>13.86</v>
      </c>
      <c r="H52" s="1451">
        <v>14.04</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34104</v>
      </c>
      <c r="D53" s="1451">
        <v>8.82</v>
      </c>
      <c r="E53" s="1451">
        <v>9.36</v>
      </c>
      <c r="F53" s="1451">
        <v>10.8</v>
      </c>
      <c r="G53" s="1451">
        <v>12.06</v>
      </c>
      <c r="H53" s="1451">
        <v>12.24</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33349</v>
      </c>
      <c r="D54" s="1451">
        <v>8.1</v>
      </c>
      <c r="E54" s="1451">
        <v>8.64</v>
      </c>
      <c r="F54" s="1451">
        <v>9</v>
      </c>
      <c r="G54" s="1451">
        <v>9.5399999999999991</v>
      </c>
      <c r="H54" s="1451">
        <v>9.7200000000000006</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33318</v>
      </c>
      <c r="D55" s="1451">
        <v>9</v>
      </c>
      <c r="E55" s="1451">
        <v>10.08</v>
      </c>
      <c r="F55" s="1451">
        <v>10.8</v>
      </c>
      <c r="G55" s="1451">
        <v>11.52</v>
      </c>
      <c r="H55" s="1451">
        <v>11.88</v>
      </c>
      <c r="I55" s="1451" t="s">
        <v>1298</v>
      </c>
      <c r="J55" s="1451" t="s">
        <v>1298</v>
      </c>
      <c r="L55" s="1451"/>
      <c r="M55" s="1452"/>
      <c r="N55" s="1451"/>
      <c r="O55" s="1451"/>
      <c r="P55" s="1451"/>
      <c r="Q55" s="1451"/>
      <c r="R55" s="1451"/>
      <c r="S55" s="1451"/>
      <c r="T55" s="1451"/>
      <c r="U55" s="1451"/>
      <c r="V55" s="1451"/>
      <c r="W55" s="1451"/>
      <c r="X55" s="1451"/>
      <c r="Y55" s="1451"/>
      <c r="Z55" s="1451"/>
    </row>
    <row r="56" spans="2:26">
      <c r="B56" s="1451"/>
      <c r="C56" s="1452">
        <v>33106</v>
      </c>
      <c r="D56" s="1451">
        <v>8.64</v>
      </c>
      <c r="E56" s="1451">
        <v>9.36</v>
      </c>
      <c r="F56" s="1451">
        <v>10.08</v>
      </c>
      <c r="G56" s="1451">
        <v>10.8</v>
      </c>
      <c r="H56" s="1451">
        <v>11.16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32540</v>
      </c>
      <c r="D57" s="1451">
        <v>11.34</v>
      </c>
      <c r="E57" s="1451">
        <v>11.34</v>
      </c>
      <c r="F57" s="1451">
        <v>12.78</v>
      </c>
      <c r="G57" s="1451">
        <v>14.4</v>
      </c>
      <c r="H57" s="1451">
        <v>19.260000000000002</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c r="D58" s="1451"/>
      <c r="E58" s="1451"/>
      <c r="F58" s="1451"/>
      <c r="G58" s="1451"/>
      <c r="H58" s="1451"/>
      <c r="I58" s="1451"/>
      <c r="J58" s="1451"/>
    </row>
    <row r="59" spans="2:26">
      <c r="B59" s="1455"/>
      <c r="C59" s="1456"/>
      <c r="D59" s="1455"/>
      <c r="E59" s="1455"/>
      <c r="F59" s="1455"/>
      <c r="G59" s="1455"/>
      <c r="H59" s="1455"/>
      <c r="I59" s="1455"/>
      <c r="J59" s="1455"/>
    </row>
    <row r="60" spans="2:26">
      <c r="B60" s="1455"/>
      <c r="C60" s="1456"/>
      <c r="D60" s="1455"/>
      <c r="E60" s="1455"/>
      <c r="F60" s="1455"/>
      <c r="G60" s="1455"/>
      <c r="H60" s="1455"/>
      <c r="I60" s="1455"/>
      <c r="J60" s="1455"/>
    </row>
    <row r="61" spans="2:26">
      <c r="B61" s="1455"/>
      <c r="C61" s="1456"/>
      <c r="D61" s="1455"/>
      <c r="E61" s="1455"/>
      <c r="F61" s="1455"/>
      <c r="G61" s="1455"/>
      <c r="H61" s="1455"/>
      <c r="I61" s="1455"/>
      <c r="J61" s="1455"/>
    </row>
    <row r="62" spans="2:26">
      <c r="B62" s="1402"/>
      <c r="C62" s="1402"/>
      <c r="D62" s="1402"/>
      <c r="E62" s="1402"/>
      <c r="F62" s="1402"/>
      <c r="G62" s="1402"/>
      <c r="H62" s="1402"/>
      <c r="I62" s="1402"/>
      <c r="J62" s="1402"/>
    </row>
    <row r="63" spans="2:26">
      <c r="B63" s="1402"/>
      <c r="C63" s="1402"/>
      <c r="D63" s="1402"/>
      <c r="E63" s="1402"/>
      <c r="F63" s="1402"/>
      <c r="G63" s="1402"/>
      <c r="H63" s="1402"/>
      <c r="I63" s="1402"/>
      <c r="J63"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zoomScale="70" zoomScaleNormal="70" workbookViewId="0">
      <selection activeCell="AW10" sqref="AW10"/>
    </sheetView>
  </sheetViews>
  <sheetFormatPr defaultRowHeight="12"/>
  <cols>
    <col min="1" max="1" width="21.625" style="3068" customWidth="1"/>
    <col min="2" max="4" width="0" style="3068" hidden="1" customWidth="1"/>
    <col min="5" max="6" width="9" style="3068"/>
    <col min="7" max="8" width="0" style="3068" hidden="1" customWidth="1"/>
    <col min="9" max="9" width="9" style="3068"/>
    <col min="10" max="10" width="9.125" style="3068" bestFit="1" customWidth="1"/>
    <col min="11" max="11" width="9.375" style="3068" bestFit="1" customWidth="1"/>
    <col min="12" max="12" width="9.125" style="3068" bestFit="1" customWidth="1"/>
    <col min="13" max="16" width="0" style="3068" hidden="1" customWidth="1"/>
    <col min="17" max="17" width="9.125" style="3068" hidden="1" customWidth="1"/>
    <col min="18" max="18" width="0" style="3068" hidden="1" customWidth="1"/>
    <col min="19" max="19" width="17.75" style="3068" customWidth="1"/>
    <col min="20" max="21" width="9" style="3068"/>
    <col min="22" max="22" width="22.375" style="3068" customWidth="1"/>
    <col min="23" max="26" width="0" style="3068" hidden="1" customWidth="1"/>
    <col min="27" max="27" width="9" style="3068"/>
    <col min="28" max="29" width="0" style="3068" hidden="1" customWidth="1"/>
    <col min="30" max="30" width="22.875" style="3068" customWidth="1"/>
    <col min="31" max="31" width="0" style="3068" hidden="1" customWidth="1"/>
    <col min="32" max="35" width="9.125" style="3068" hidden="1" customWidth="1"/>
    <col min="36" max="36" width="9.125" style="3068" bestFit="1" customWidth="1"/>
    <col min="37" max="37" width="9.125" style="3068" hidden="1" customWidth="1"/>
    <col min="38" max="38" width="9.125" style="3068" bestFit="1" customWidth="1"/>
    <col min="39" max="40" width="0" style="3068" hidden="1" customWidth="1"/>
    <col min="41" max="41" width="9.125" style="3068" bestFit="1" customWidth="1"/>
    <col min="42" max="42" width="9" style="3068"/>
    <col min="43" max="43" width="0" style="3068" hidden="1" customWidth="1"/>
    <col min="44" max="44" width="9.125" style="3068" bestFit="1" customWidth="1"/>
    <col min="45" max="16384" width="9" style="3068"/>
  </cols>
  <sheetData>
    <row r="1" spans="1:44" ht="36">
      <c r="A1" s="3067" t="s">
        <v>3185</v>
      </c>
      <c r="B1" s="3067" t="s">
        <v>3186</v>
      </c>
      <c r="C1" s="3067" t="s">
        <v>3187</v>
      </c>
      <c r="D1" s="3067" t="s">
        <v>3188</v>
      </c>
      <c r="E1" s="3067" t="s">
        <v>3189</v>
      </c>
      <c r="F1" s="3067" t="s">
        <v>3190</v>
      </c>
      <c r="G1" s="3067" t="s">
        <v>3191</v>
      </c>
      <c r="H1" s="3067" t="s">
        <v>3192</v>
      </c>
      <c r="I1" s="3067" t="s">
        <v>3193</v>
      </c>
      <c r="J1" s="3067" t="s">
        <v>3194</v>
      </c>
      <c r="K1" s="3067" t="s">
        <v>3195</v>
      </c>
      <c r="L1" s="3067" t="s">
        <v>3196</v>
      </c>
      <c r="M1" s="3067" t="s">
        <v>3197</v>
      </c>
      <c r="N1" s="3067" t="s">
        <v>3198</v>
      </c>
      <c r="O1" s="3067" t="s">
        <v>3199</v>
      </c>
      <c r="P1" s="3067" t="s">
        <v>3200</v>
      </c>
      <c r="Q1" s="3067" t="s">
        <v>3201</v>
      </c>
      <c r="R1" s="3067" t="s">
        <v>3202</v>
      </c>
      <c r="S1" s="3067" t="s">
        <v>3203</v>
      </c>
      <c r="T1" s="3067" t="s">
        <v>3204</v>
      </c>
      <c r="U1" s="3067" t="s">
        <v>3205</v>
      </c>
      <c r="V1" s="3067" t="s">
        <v>3206</v>
      </c>
      <c r="W1" s="3067" t="s">
        <v>3207</v>
      </c>
      <c r="X1" s="3067" t="s">
        <v>3208</v>
      </c>
      <c r="Y1" s="3067" t="s">
        <v>3209</v>
      </c>
      <c r="Z1" s="3067" t="s">
        <v>3210</v>
      </c>
      <c r="AA1" s="3067" t="s">
        <v>3211</v>
      </c>
      <c r="AB1" s="3067" t="s">
        <v>3212</v>
      </c>
      <c r="AC1" s="3067" t="s">
        <v>3213</v>
      </c>
      <c r="AD1" s="3067" t="s">
        <v>3214</v>
      </c>
      <c r="AE1" s="3067" t="s">
        <v>3215</v>
      </c>
      <c r="AF1" s="3067" t="s">
        <v>3216</v>
      </c>
      <c r="AG1" s="3067" t="s">
        <v>3217</v>
      </c>
      <c r="AH1" s="3067" t="s">
        <v>3218</v>
      </c>
      <c r="AI1" s="3067" t="s">
        <v>3219</v>
      </c>
      <c r="AJ1" s="3067" t="s">
        <v>3220</v>
      </c>
      <c r="AK1" s="3067" t="s">
        <v>3221</v>
      </c>
      <c r="AL1" s="3067" t="s">
        <v>3222</v>
      </c>
      <c r="AM1" s="3067" t="s">
        <v>3223</v>
      </c>
      <c r="AN1" s="3067" t="s">
        <v>3224</v>
      </c>
      <c r="AO1" s="3067" t="s">
        <v>3225</v>
      </c>
      <c r="AP1" s="3067" t="s">
        <v>3226</v>
      </c>
      <c r="AQ1" s="3067" t="s">
        <v>3227</v>
      </c>
      <c r="AR1" s="3067" t="s">
        <v>3228</v>
      </c>
    </row>
    <row r="2" spans="1:44" ht="102">
      <c r="A2" s="3066" t="s">
        <v>3229</v>
      </c>
      <c r="B2" s="3066" t="s">
        <v>3063</v>
      </c>
      <c r="C2" s="3066" t="s">
        <v>3230</v>
      </c>
      <c r="D2" s="3066" t="s">
        <v>3231</v>
      </c>
      <c r="E2" s="3066" t="s">
        <v>3232</v>
      </c>
      <c r="F2" s="3066" t="s">
        <v>3233</v>
      </c>
      <c r="G2" s="3066" t="s">
        <v>3234</v>
      </c>
      <c r="H2" s="3066" t="s">
        <v>3235</v>
      </c>
      <c r="I2" s="3066" t="s">
        <v>3236</v>
      </c>
      <c r="J2" s="3066">
        <v>67309.960000000006</v>
      </c>
      <c r="K2" s="3066">
        <v>162845</v>
      </c>
      <c r="L2" s="3066" t="s">
        <v>3237</v>
      </c>
      <c r="M2" s="3066" t="s">
        <v>1298</v>
      </c>
      <c r="N2" s="3066" t="s">
        <v>3238</v>
      </c>
      <c r="O2" s="3066" t="s">
        <v>3239</v>
      </c>
      <c r="P2" s="3066" t="s">
        <v>1298</v>
      </c>
      <c r="Q2" s="3066" t="s">
        <v>1298</v>
      </c>
      <c r="R2" s="3066" t="s">
        <v>1298</v>
      </c>
      <c r="S2" s="3066" t="s">
        <v>1298</v>
      </c>
      <c r="T2" s="3066" t="s">
        <v>3240</v>
      </c>
      <c r="U2" s="3066" t="s">
        <v>3241</v>
      </c>
      <c r="V2" s="3066" t="s">
        <v>3242</v>
      </c>
      <c r="W2" s="3066" t="s">
        <v>3243</v>
      </c>
      <c r="X2" s="3066" t="s">
        <v>3244</v>
      </c>
      <c r="Y2" s="3066" t="s">
        <v>3245</v>
      </c>
      <c r="Z2" s="3066" t="s">
        <v>3246</v>
      </c>
      <c r="AA2" s="3066" t="s">
        <v>3246</v>
      </c>
      <c r="AB2" s="3066" t="s">
        <v>3235</v>
      </c>
      <c r="AC2" s="3066" t="s">
        <v>3247</v>
      </c>
      <c r="AD2" s="3066" t="s">
        <v>3248</v>
      </c>
      <c r="AE2" s="3066" t="s">
        <v>3249</v>
      </c>
      <c r="AF2" s="3066">
        <v>121000</v>
      </c>
      <c r="AG2" s="3066">
        <v>603400</v>
      </c>
      <c r="AH2" s="3066">
        <v>760000</v>
      </c>
      <c r="AI2" s="3066">
        <v>5976.33</v>
      </c>
      <c r="AJ2" s="3066">
        <v>7527.37</v>
      </c>
      <c r="AK2" s="3066">
        <v>37053.629999999997</v>
      </c>
      <c r="AL2" s="3066">
        <v>46670.15</v>
      </c>
      <c r="AM2" s="3066" t="s">
        <v>1298</v>
      </c>
      <c r="AN2" s="3066" t="s">
        <v>1298</v>
      </c>
      <c r="AO2" s="3066">
        <v>25.95</v>
      </c>
      <c r="AP2" s="3066" t="s">
        <v>3250</v>
      </c>
      <c r="AQ2" s="3066" t="s">
        <v>1298</v>
      </c>
      <c r="AR2" s="3066" t="s">
        <v>1298</v>
      </c>
    </row>
    <row r="3" spans="1:44" ht="114.75">
      <c r="A3" s="3066" t="s">
        <v>3251</v>
      </c>
      <c r="B3" s="3066" t="s">
        <v>3063</v>
      </c>
      <c r="C3" s="3066" t="s">
        <v>3230</v>
      </c>
      <c r="D3" s="3066" t="s">
        <v>3231</v>
      </c>
      <c r="E3" s="3066" t="s">
        <v>3232</v>
      </c>
      <c r="F3" s="3066" t="s">
        <v>3233</v>
      </c>
      <c r="G3" s="3066" t="s">
        <v>3234</v>
      </c>
      <c r="H3" s="3066" t="s">
        <v>3252</v>
      </c>
      <c r="I3" s="3066" t="s">
        <v>3253</v>
      </c>
      <c r="J3" s="3066">
        <v>48727.09</v>
      </c>
      <c r="K3" s="3066">
        <v>107538</v>
      </c>
      <c r="L3" s="3066" t="s">
        <v>3254</v>
      </c>
      <c r="M3" s="3066" t="s">
        <v>1298</v>
      </c>
      <c r="N3" s="3066" t="s">
        <v>3255</v>
      </c>
      <c r="O3" s="3066" t="s">
        <v>3256</v>
      </c>
      <c r="P3" s="3066" t="s">
        <v>1298</v>
      </c>
      <c r="Q3" s="3066" t="s">
        <v>1298</v>
      </c>
      <c r="R3" s="3066" t="s">
        <v>1298</v>
      </c>
      <c r="S3" s="3066" t="s">
        <v>1298</v>
      </c>
      <c r="T3" s="3066" t="s">
        <v>3240</v>
      </c>
      <c r="U3" s="3066" t="s">
        <v>3241</v>
      </c>
      <c r="V3" s="3066" t="s">
        <v>1298</v>
      </c>
      <c r="W3" s="3066" t="s">
        <v>3243</v>
      </c>
      <c r="X3" s="3066" t="s">
        <v>3257</v>
      </c>
      <c r="Y3" s="3066" t="s">
        <v>3258</v>
      </c>
      <c r="Z3" s="3066" t="s">
        <v>3259</v>
      </c>
      <c r="AA3" s="3066" t="s">
        <v>3259</v>
      </c>
      <c r="AB3" s="3066" t="s">
        <v>3252</v>
      </c>
      <c r="AC3" s="3066" t="s">
        <v>3247</v>
      </c>
      <c r="AD3" s="3066" t="s">
        <v>3260</v>
      </c>
      <c r="AE3" s="3066" t="s">
        <v>3261</v>
      </c>
      <c r="AF3" s="3066">
        <v>86200</v>
      </c>
      <c r="AG3" s="3066">
        <v>431000</v>
      </c>
      <c r="AH3" s="3066">
        <v>544000</v>
      </c>
      <c r="AI3" s="3066">
        <v>5896.79</v>
      </c>
      <c r="AJ3" s="3066">
        <v>7442.81</v>
      </c>
      <c r="AK3" s="3066">
        <v>40078.85</v>
      </c>
      <c r="AL3" s="3066">
        <v>50586.76</v>
      </c>
      <c r="AM3" s="3066" t="s">
        <v>1298</v>
      </c>
      <c r="AN3" s="3066" t="s">
        <v>1298</v>
      </c>
      <c r="AO3" s="3066">
        <v>26.22</v>
      </c>
      <c r="AP3" s="3066" t="s">
        <v>3250</v>
      </c>
      <c r="AQ3" s="3066" t="s">
        <v>1298</v>
      </c>
      <c r="AR3" s="3066" t="s">
        <v>1298</v>
      </c>
    </row>
    <row r="4" spans="1:44" ht="72">
      <c r="A4" s="3067" t="s">
        <v>3262</v>
      </c>
      <c r="B4" s="3067" t="s">
        <v>3063</v>
      </c>
      <c r="C4" s="3067" t="s">
        <v>3230</v>
      </c>
      <c r="D4" s="3067" t="s">
        <v>3231</v>
      </c>
      <c r="E4" s="3067" t="s">
        <v>3263</v>
      </c>
      <c r="F4" s="3067" t="s">
        <v>3264</v>
      </c>
      <c r="G4" s="3067" t="s">
        <v>3265</v>
      </c>
      <c r="H4" s="3067" t="s">
        <v>3266</v>
      </c>
      <c r="I4" s="3067" t="s">
        <v>3253</v>
      </c>
      <c r="J4" s="3067">
        <v>47115.37</v>
      </c>
      <c r="K4" s="3067">
        <v>99865</v>
      </c>
      <c r="L4" s="3067" t="s">
        <v>3267</v>
      </c>
      <c r="M4" s="3067" t="s">
        <v>1298</v>
      </c>
      <c r="N4" s="3067" t="s">
        <v>3268</v>
      </c>
      <c r="O4" s="3067" t="s">
        <v>3269</v>
      </c>
      <c r="P4" s="3067" t="s">
        <v>1298</v>
      </c>
      <c r="Q4" s="3067" t="s">
        <v>1298</v>
      </c>
      <c r="R4" s="3067" t="s">
        <v>1298</v>
      </c>
      <c r="S4" s="3067" t="s">
        <v>3270</v>
      </c>
      <c r="T4" s="3067" t="s">
        <v>3271</v>
      </c>
      <c r="U4" s="3067" t="s">
        <v>3271</v>
      </c>
      <c r="V4" s="3067" t="s">
        <v>1298</v>
      </c>
      <c r="W4" s="3067" t="s">
        <v>3272</v>
      </c>
      <c r="X4" s="3067" t="s">
        <v>3273</v>
      </c>
      <c r="Y4" s="3067" t="s">
        <v>3244</v>
      </c>
      <c r="Z4" s="3067" t="s">
        <v>3274</v>
      </c>
      <c r="AA4" s="3067" t="s">
        <v>3274</v>
      </c>
      <c r="AB4" s="3067" t="s">
        <v>3266</v>
      </c>
      <c r="AC4" s="3067" t="s">
        <v>3247</v>
      </c>
      <c r="AD4" s="3067" t="s">
        <v>3275</v>
      </c>
      <c r="AE4" s="3067" t="s">
        <v>3276</v>
      </c>
      <c r="AF4" s="3067">
        <v>56500</v>
      </c>
      <c r="AG4" s="3067" t="s">
        <v>1298</v>
      </c>
      <c r="AH4" s="3067">
        <v>278800</v>
      </c>
      <c r="AI4" s="3067" t="s">
        <v>1298</v>
      </c>
      <c r="AJ4" s="3067">
        <v>3944.93</v>
      </c>
      <c r="AK4" s="3067" t="s">
        <v>1298</v>
      </c>
      <c r="AL4" s="3067">
        <v>27917.68</v>
      </c>
      <c r="AM4" s="3067" t="s">
        <v>1298</v>
      </c>
      <c r="AN4" s="3067" t="s">
        <v>1298</v>
      </c>
      <c r="AO4" s="3067" t="s">
        <v>1298</v>
      </c>
      <c r="AP4" s="3067" t="s">
        <v>3250</v>
      </c>
      <c r="AQ4" s="3067" t="s">
        <v>1298</v>
      </c>
      <c r="AR4" s="3067" t="s">
        <v>1298</v>
      </c>
    </row>
    <row r="5" spans="1:44" ht="48">
      <c r="A5" s="3067" t="s">
        <v>3277</v>
      </c>
      <c r="B5" s="3067" t="s">
        <v>3063</v>
      </c>
      <c r="C5" s="3067" t="s">
        <v>3278</v>
      </c>
      <c r="D5" s="3067" t="s">
        <v>3231</v>
      </c>
      <c r="E5" s="3067" t="s">
        <v>3279</v>
      </c>
      <c r="F5" s="3067" t="s">
        <v>3280</v>
      </c>
      <c r="G5" s="3067" t="s">
        <v>3234</v>
      </c>
      <c r="H5" s="3067" t="s">
        <v>3281</v>
      </c>
      <c r="I5" s="3067" t="s">
        <v>3282</v>
      </c>
      <c r="J5" s="3067">
        <v>51339.15</v>
      </c>
      <c r="K5" s="3067">
        <v>77009</v>
      </c>
      <c r="L5" s="3067" t="s">
        <v>3283</v>
      </c>
      <c r="M5" s="3067" t="s">
        <v>1298</v>
      </c>
      <c r="N5" s="3067" t="s">
        <v>1298</v>
      </c>
      <c r="O5" s="3067" t="s">
        <v>3284</v>
      </c>
      <c r="P5" s="3067" t="s">
        <v>1298</v>
      </c>
      <c r="Q5" s="3067" t="s">
        <v>1298</v>
      </c>
      <c r="R5" s="3067" t="s">
        <v>1298</v>
      </c>
      <c r="S5" s="3067" t="s">
        <v>1298</v>
      </c>
      <c r="T5" s="3067" t="s">
        <v>3240</v>
      </c>
      <c r="U5" s="3067" t="s">
        <v>3241</v>
      </c>
      <c r="V5" s="3067" t="s">
        <v>1298</v>
      </c>
      <c r="W5" s="3067" t="s">
        <v>3272</v>
      </c>
      <c r="X5" s="3067" t="s">
        <v>3285</v>
      </c>
      <c r="Y5" s="3067" t="s">
        <v>3286</v>
      </c>
      <c r="Z5" s="3067" t="s">
        <v>3287</v>
      </c>
      <c r="AA5" s="3067" t="s">
        <v>3287</v>
      </c>
      <c r="AB5" s="3067" t="s">
        <v>3281</v>
      </c>
      <c r="AC5" s="3067" t="s">
        <v>3247</v>
      </c>
      <c r="AD5" s="3067" t="s">
        <v>3288</v>
      </c>
      <c r="AE5" s="3067" t="s">
        <v>3289</v>
      </c>
      <c r="AF5" s="3067">
        <v>108000</v>
      </c>
      <c r="AG5" s="3067">
        <v>539600</v>
      </c>
      <c r="AH5" s="3067">
        <v>539600</v>
      </c>
      <c r="AI5" s="3067">
        <v>7007</v>
      </c>
      <c r="AJ5" s="3067">
        <v>7007</v>
      </c>
      <c r="AK5" s="3067">
        <v>70069.73</v>
      </c>
      <c r="AL5" s="3067">
        <v>70069.72</v>
      </c>
      <c r="AM5" s="3067" t="s">
        <v>1298</v>
      </c>
      <c r="AN5" s="3067" t="s">
        <v>1298</v>
      </c>
      <c r="AO5" s="3067">
        <v>0</v>
      </c>
      <c r="AP5" s="3067" t="s">
        <v>3250</v>
      </c>
      <c r="AQ5" s="3067" t="s">
        <v>1298</v>
      </c>
      <c r="AR5" s="3067" t="s">
        <v>1298</v>
      </c>
    </row>
    <row r="6" spans="1:44" ht="60">
      <c r="A6" s="3067" t="s">
        <v>3290</v>
      </c>
      <c r="B6" s="3067" t="s">
        <v>3063</v>
      </c>
      <c r="C6" s="3067" t="s">
        <v>3230</v>
      </c>
      <c r="D6" s="3067" t="s">
        <v>3231</v>
      </c>
      <c r="E6" s="3067" t="s">
        <v>3232</v>
      </c>
      <c r="F6" s="3067" t="s">
        <v>3233</v>
      </c>
      <c r="G6" s="3067" t="s">
        <v>3234</v>
      </c>
      <c r="H6" s="3067" t="s">
        <v>3291</v>
      </c>
      <c r="I6" s="3067" t="s">
        <v>3253</v>
      </c>
      <c r="J6" s="3067">
        <v>65039.11</v>
      </c>
      <c r="K6" s="3067">
        <v>132382.13</v>
      </c>
      <c r="L6" s="3067" t="s">
        <v>3292</v>
      </c>
      <c r="M6" s="3067" t="s">
        <v>1298</v>
      </c>
      <c r="N6" s="3067" t="s">
        <v>1298</v>
      </c>
      <c r="O6" s="3067" t="s">
        <v>3256</v>
      </c>
      <c r="P6" s="3067" t="s">
        <v>1298</v>
      </c>
      <c r="Q6" s="3067" t="s">
        <v>1298</v>
      </c>
      <c r="R6" s="3067" t="s">
        <v>1298</v>
      </c>
      <c r="S6" s="3067" t="s">
        <v>3293</v>
      </c>
      <c r="T6" s="3067" t="s">
        <v>3271</v>
      </c>
      <c r="U6" s="3067" t="s">
        <v>3271</v>
      </c>
      <c r="V6" s="3067" t="s">
        <v>1298</v>
      </c>
      <c r="W6" s="3067" t="s">
        <v>3272</v>
      </c>
      <c r="X6" s="3067" t="s">
        <v>3285</v>
      </c>
      <c r="Y6" s="3067" t="s">
        <v>3286</v>
      </c>
      <c r="Z6" s="3067" t="s">
        <v>3287</v>
      </c>
      <c r="AA6" s="3067" t="s">
        <v>3287</v>
      </c>
      <c r="AB6" s="3067" t="s">
        <v>3291</v>
      </c>
      <c r="AC6" s="3067" t="s">
        <v>3247</v>
      </c>
      <c r="AD6" s="3067" t="s">
        <v>3294</v>
      </c>
      <c r="AE6" s="3067" t="s">
        <v>3295</v>
      </c>
      <c r="AF6" s="3067">
        <v>65800</v>
      </c>
      <c r="AG6" s="3067">
        <v>329000</v>
      </c>
      <c r="AH6" s="3067">
        <v>329000</v>
      </c>
      <c r="AI6" s="3067">
        <v>3372.33</v>
      </c>
      <c r="AJ6" s="3067">
        <v>3372.33</v>
      </c>
      <c r="AK6" s="3067">
        <v>24852.29</v>
      </c>
      <c r="AL6" s="3067">
        <v>24852.29</v>
      </c>
      <c r="AM6" s="3067" t="s">
        <v>1298</v>
      </c>
      <c r="AN6" s="3067" t="s">
        <v>1298</v>
      </c>
      <c r="AO6" s="3067">
        <v>0</v>
      </c>
      <c r="AP6" s="3067" t="s">
        <v>3250</v>
      </c>
      <c r="AQ6" s="3067" t="s">
        <v>1298</v>
      </c>
      <c r="AR6" s="3067" t="s">
        <v>1298</v>
      </c>
    </row>
    <row r="7" spans="1:44" ht="60">
      <c r="A7" s="3067" t="s">
        <v>3296</v>
      </c>
      <c r="B7" s="3067" t="s">
        <v>3063</v>
      </c>
      <c r="C7" s="3067" t="s">
        <v>3278</v>
      </c>
      <c r="D7" s="3067" t="s">
        <v>3231</v>
      </c>
      <c r="E7" s="3067" t="s">
        <v>3279</v>
      </c>
      <c r="F7" s="3067" t="s">
        <v>3280</v>
      </c>
      <c r="G7" s="3067" t="s">
        <v>3234</v>
      </c>
      <c r="H7" s="3067" t="s">
        <v>3297</v>
      </c>
      <c r="I7" s="3067" t="s">
        <v>3282</v>
      </c>
      <c r="J7" s="3067">
        <v>44507.26</v>
      </c>
      <c r="K7" s="3067">
        <v>66760</v>
      </c>
      <c r="L7" s="3067" t="s">
        <v>3283</v>
      </c>
      <c r="M7" s="3067" t="s">
        <v>1298</v>
      </c>
      <c r="N7" s="3067" t="s">
        <v>1298</v>
      </c>
      <c r="O7" s="3067" t="s">
        <v>3284</v>
      </c>
      <c r="P7" s="3067" t="s">
        <v>1298</v>
      </c>
      <c r="Q7" s="3067" t="s">
        <v>1298</v>
      </c>
      <c r="R7" s="3067" t="s">
        <v>1298</v>
      </c>
      <c r="S7" s="3067" t="s">
        <v>1298</v>
      </c>
      <c r="T7" s="3067" t="s">
        <v>3240</v>
      </c>
      <c r="U7" s="3067" t="s">
        <v>3241</v>
      </c>
      <c r="V7" s="3067" t="s">
        <v>1298</v>
      </c>
      <c r="W7" s="3067" t="s">
        <v>3272</v>
      </c>
      <c r="X7" s="3067" t="s">
        <v>3285</v>
      </c>
      <c r="Y7" s="3067" t="s">
        <v>3286</v>
      </c>
      <c r="Z7" s="3067" t="s">
        <v>3287</v>
      </c>
      <c r="AA7" s="3067" t="s">
        <v>3287</v>
      </c>
      <c r="AB7" s="3067" t="s">
        <v>3297</v>
      </c>
      <c r="AC7" s="3067" t="s">
        <v>3247</v>
      </c>
      <c r="AD7" s="3067" t="s">
        <v>3298</v>
      </c>
      <c r="AE7" s="3067" t="s">
        <v>3299</v>
      </c>
      <c r="AF7" s="3067">
        <v>93500</v>
      </c>
      <c r="AG7" s="3067">
        <v>467500</v>
      </c>
      <c r="AH7" s="3067">
        <v>467500</v>
      </c>
      <c r="AI7" s="3067">
        <v>7002.6</v>
      </c>
      <c r="AJ7" s="3067">
        <v>7002.6</v>
      </c>
      <c r="AK7" s="3067">
        <v>70026.960000000006</v>
      </c>
      <c r="AL7" s="3067">
        <v>70026.960000000006</v>
      </c>
      <c r="AM7" s="3067" t="s">
        <v>1298</v>
      </c>
      <c r="AN7" s="3067" t="s">
        <v>1298</v>
      </c>
      <c r="AO7" s="3067">
        <v>0</v>
      </c>
      <c r="AP7" s="3067" t="s">
        <v>3250</v>
      </c>
      <c r="AQ7" s="3067" t="s">
        <v>1298</v>
      </c>
      <c r="AR7" s="3067" t="s">
        <v>1298</v>
      </c>
    </row>
    <row r="8" spans="1:44" ht="72">
      <c r="A8" s="3067" t="s">
        <v>3300</v>
      </c>
      <c r="B8" s="3067" t="s">
        <v>3063</v>
      </c>
      <c r="C8" s="3067" t="s">
        <v>3230</v>
      </c>
      <c r="D8" s="3067" t="s">
        <v>3231</v>
      </c>
      <c r="E8" s="3067" t="s">
        <v>3232</v>
      </c>
      <c r="F8" s="3067" t="s">
        <v>3301</v>
      </c>
      <c r="G8" s="3067" t="s">
        <v>3234</v>
      </c>
      <c r="H8" s="3067" t="s">
        <v>3302</v>
      </c>
      <c r="I8" s="3067" t="s">
        <v>3303</v>
      </c>
      <c r="J8" s="3067">
        <v>34507.51</v>
      </c>
      <c r="K8" s="3067">
        <v>94282.53</v>
      </c>
      <c r="L8" s="3067" t="s">
        <v>3304</v>
      </c>
      <c r="M8" s="3067" t="s">
        <v>1298</v>
      </c>
      <c r="N8" s="3067" t="s">
        <v>3305</v>
      </c>
      <c r="O8" s="3067" t="s">
        <v>3306</v>
      </c>
      <c r="P8" s="3067" t="s">
        <v>1298</v>
      </c>
      <c r="Q8" s="3067" t="s">
        <v>1298</v>
      </c>
      <c r="R8" s="3067" t="s">
        <v>1298</v>
      </c>
      <c r="S8" s="3067" t="s">
        <v>1298</v>
      </c>
      <c r="T8" s="3067" t="s">
        <v>3307</v>
      </c>
      <c r="U8" s="3067" t="s">
        <v>3307</v>
      </c>
      <c r="V8" s="3067" t="s">
        <v>1298</v>
      </c>
      <c r="W8" s="3067" t="s">
        <v>3272</v>
      </c>
      <c r="X8" s="3067" t="s">
        <v>3308</v>
      </c>
      <c r="Y8" s="3067" t="s">
        <v>3309</v>
      </c>
      <c r="Z8" s="3067" t="s">
        <v>3310</v>
      </c>
      <c r="AA8" s="3067" t="s">
        <v>3310</v>
      </c>
      <c r="AB8" s="3067" t="s">
        <v>3302</v>
      </c>
      <c r="AC8" s="3067" t="s">
        <v>3247</v>
      </c>
      <c r="AD8" s="3067" t="s">
        <v>3311</v>
      </c>
      <c r="AE8" s="3067" t="s">
        <v>3311</v>
      </c>
      <c r="AF8" s="3067">
        <v>52000</v>
      </c>
      <c r="AG8" s="3067">
        <v>256450</v>
      </c>
      <c r="AH8" s="3067">
        <v>256450</v>
      </c>
      <c r="AI8" s="3067">
        <v>4954.4799999999996</v>
      </c>
      <c r="AJ8" s="3067">
        <v>4954.4799999999996</v>
      </c>
      <c r="AK8" s="3067">
        <v>27200.15</v>
      </c>
      <c r="AL8" s="3067">
        <v>27200.15</v>
      </c>
      <c r="AM8" s="3067" t="s">
        <v>1298</v>
      </c>
      <c r="AN8" s="3067" t="s">
        <v>1298</v>
      </c>
      <c r="AO8" s="3067">
        <v>0</v>
      </c>
      <c r="AP8" s="3067" t="s">
        <v>3250</v>
      </c>
      <c r="AQ8" s="3067" t="s">
        <v>1298</v>
      </c>
      <c r="AR8" s="3067" t="s">
        <v>1298</v>
      </c>
    </row>
    <row r="9" spans="1:44" ht="60">
      <c r="A9" s="3067" t="s">
        <v>3312</v>
      </c>
      <c r="B9" s="3067" t="s">
        <v>3063</v>
      </c>
      <c r="C9" s="3067" t="s">
        <v>3230</v>
      </c>
      <c r="D9" s="3067" t="s">
        <v>3231</v>
      </c>
      <c r="E9" s="3067" t="s">
        <v>3313</v>
      </c>
      <c r="F9" s="3067" t="s">
        <v>3314</v>
      </c>
      <c r="G9" s="3067" t="s">
        <v>3265</v>
      </c>
      <c r="H9" s="3067" t="s">
        <v>3315</v>
      </c>
      <c r="I9" s="3067" t="s">
        <v>3316</v>
      </c>
      <c r="J9" s="3067">
        <v>14680.08</v>
      </c>
      <c r="K9" s="3067">
        <v>31629</v>
      </c>
      <c r="L9" s="3067">
        <v>2.15</v>
      </c>
      <c r="M9" s="3067" t="s">
        <v>1298</v>
      </c>
      <c r="N9" s="3067" t="s">
        <v>3317</v>
      </c>
      <c r="O9" s="3067" t="s">
        <v>3317</v>
      </c>
      <c r="P9" s="3067" t="s">
        <v>1298</v>
      </c>
      <c r="Q9" s="3067" t="s">
        <v>1298</v>
      </c>
      <c r="R9" s="3067" t="s">
        <v>1298</v>
      </c>
      <c r="S9" s="3067" t="s">
        <v>3318</v>
      </c>
      <c r="T9" s="3067" t="s">
        <v>3271</v>
      </c>
      <c r="U9" s="3067" t="s">
        <v>3271</v>
      </c>
      <c r="V9" s="3067" t="s">
        <v>1298</v>
      </c>
      <c r="W9" s="3067" t="s">
        <v>3272</v>
      </c>
      <c r="X9" s="3067" t="s">
        <v>3319</v>
      </c>
      <c r="Y9" s="3067" t="s">
        <v>3320</v>
      </c>
      <c r="Z9" s="3067" t="s">
        <v>3321</v>
      </c>
      <c r="AA9" s="3067" t="s">
        <v>3321</v>
      </c>
      <c r="AB9" s="3067" t="s">
        <v>3315</v>
      </c>
      <c r="AC9" s="3067" t="s">
        <v>3247</v>
      </c>
      <c r="AD9" s="3067" t="s">
        <v>3275</v>
      </c>
      <c r="AE9" s="3067" t="s">
        <v>3276</v>
      </c>
      <c r="AF9" s="3067">
        <v>15200</v>
      </c>
      <c r="AG9" s="3067" t="s">
        <v>1298</v>
      </c>
      <c r="AH9" s="3067">
        <v>76000</v>
      </c>
      <c r="AI9" s="3067" t="s">
        <v>1298</v>
      </c>
      <c r="AJ9" s="3067">
        <v>3451.39</v>
      </c>
      <c r="AK9" s="3067" t="s">
        <v>1298</v>
      </c>
      <c r="AL9" s="3067">
        <v>24028.58</v>
      </c>
      <c r="AM9" s="3067" t="s">
        <v>1298</v>
      </c>
      <c r="AN9" s="3067" t="s">
        <v>1298</v>
      </c>
      <c r="AO9" s="3067" t="s">
        <v>1298</v>
      </c>
      <c r="AP9" s="3067" t="s">
        <v>3250</v>
      </c>
      <c r="AQ9" s="3067" t="s">
        <v>1298</v>
      </c>
      <c r="AR9" s="3067" t="s">
        <v>1298</v>
      </c>
    </row>
    <row r="10" spans="1:44" ht="72">
      <c r="A10" s="3067" t="s">
        <v>3322</v>
      </c>
      <c r="B10" s="3067" t="s">
        <v>3063</v>
      </c>
      <c r="C10" s="3067" t="s">
        <v>3230</v>
      </c>
      <c r="D10" s="3067" t="s">
        <v>3231</v>
      </c>
      <c r="E10" s="3067" t="s">
        <v>3232</v>
      </c>
      <c r="F10" s="3067" t="s">
        <v>3323</v>
      </c>
      <c r="G10" s="3067" t="s">
        <v>3265</v>
      </c>
      <c r="H10" s="3067" t="s">
        <v>3324</v>
      </c>
      <c r="I10" s="3067" t="s">
        <v>3325</v>
      </c>
      <c r="J10" s="3067">
        <v>239378.2</v>
      </c>
      <c r="K10" s="3067">
        <v>302600</v>
      </c>
      <c r="L10" s="3067">
        <v>1.26</v>
      </c>
      <c r="M10" s="3067" t="s">
        <v>1298</v>
      </c>
      <c r="N10" s="3067" t="s">
        <v>3317</v>
      </c>
      <c r="O10" s="3067" t="s">
        <v>3317</v>
      </c>
      <c r="P10" s="3067" t="s">
        <v>1298</v>
      </c>
      <c r="Q10" s="3067" t="s">
        <v>1298</v>
      </c>
      <c r="R10" s="3067" t="s">
        <v>1298</v>
      </c>
      <c r="S10" s="3067" t="s">
        <v>1298</v>
      </c>
      <c r="T10" s="3067" t="s">
        <v>3326</v>
      </c>
      <c r="U10" s="3067" t="s">
        <v>3326</v>
      </c>
      <c r="V10" s="3067" t="s">
        <v>1298</v>
      </c>
      <c r="W10" s="3067" t="s">
        <v>3272</v>
      </c>
      <c r="X10" s="3067" t="s">
        <v>3327</v>
      </c>
      <c r="Y10" s="3067" t="s">
        <v>3328</v>
      </c>
      <c r="Z10" s="3067" t="s">
        <v>3321</v>
      </c>
      <c r="AA10" s="3067" t="s">
        <v>3321</v>
      </c>
      <c r="AB10" s="3067" t="s">
        <v>3324</v>
      </c>
      <c r="AC10" s="3067" t="s">
        <v>3247</v>
      </c>
      <c r="AD10" s="3067" t="s">
        <v>3329</v>
      </c>
      <c r="AE10" s="3067" t="s">
        <v>3330</v>
      </c>
      <c r="AF10" s="3067">
        <v>130000</v>
      </c>
      <c r="AG10" s="3067" t="s">
        <v>1298</v>
      </c>
      <c r="AH10" s="3067">
        <v>630000</v>
      </c>
      <c r="AI10" s="3067" t="s">
        <v>1298</v>
      </c>
      <c r="AJ10" s="3067">
        <v>1754.55</v>
      </c>
      <c r="AK10" s="3067" t="s">
        <v>1298</v>
      </c>
      <c r="AL10" s="3067">
        <v>20819.560000000001</v>
      </c>
      <c r="AM10" s="3067" t="s">
        <v>1298</v>
      </c>
      <c r="AN10" s="3067" t="s">
        <v>1298</v>
      </c>
      <c r="AO10" s="3067" t="s">
        <v>1298</v>
      </c>
      <c r="AP10" s="3067" t="s">
        <v>3331</v>
      </c>
      <c r="AQ10" s="3067" t="s">
        <v>1298</v>
      </c>
      <c r="AR10" s="3067" t="s">
        <v>1298</v>
      </c>
    </row>
    <row r="11" spans="1:44" ht="96">
      <c r="A11" s="3067" t="s">
        <v>3332</v>
      </c>
      <c r="B11" s="3067" t="s">
        <v>3063</v>
      </c>
      <c r="C11" s="3067" t="s">
        <v>3230</v>
      </c>
      <c r="D11" s="3067" t="s">
        <v>3231</v>
      </c>
      <c r="E11" s="3067" t="s">
        <v>3263</v>
      </c>
      <c r="F11" s="3067" t="s">
        <v>3264</v>
      </c>
      <c r="G11" s="3067" t="s">
        <v>3265</v>
      </c>
      <c r="H11" s="3067" t="s">
        <v>3333</v>
      </c>
      <c r="I11" s="3067" t="s">
        <v>3334</v>
      </c>
      <c r="J11" s="3067">
        <v>68981.53</v>
      </c>
      <c r="K11" s="3067">
        <v>141907</v>
      </c>
      <c r="L11" s="3067">
        <v>2.06</v>
      </c>
      <c r="M11" s="3067" t="s">
        <v>1298</v>
      </c>
      <c r="N11" s="3067" t="s">
        <v>3317</v>
      </c>
      <c r="O11" s="3067" t="s">
        <v>3317</v>
      </c>
      <c r="P11" s="3067" t="s">
        <v>1298</v>
      </c>
      <c r="Q11" s="3067" t="s">
        <v>1298</v>
      </c>
      <c r="R11" s="3067" t="s">
        <v>1298</v>
      </c>
      <c r="S11" s="3067" t="s">
        <v>3335</v>
      </c>
      <c r="T11" s="3067" t="s">
        <v>3271</v>
      </c>
      <c r="U11" s="3067" t="s">
        <v>3271</v>
      </c>
      <c r="V11" s="3067" t="s">
        <v>1298</v>
      </c>
      <c r="W11" s="3067" t="s">
        <v>3272</v>
      </c>
      <c r="X11" s="3067" t="s">
        <v>3319</v>
      </c>
      <c r="Y11" s="3067" t="s">
        <v>3328</v>
      </c>
      <c r="Z11" s="3067" t="s">
        <v>3321</v>
      </c>
      <c r="AA11" s="3067" t="s">
        <v>3321</v>
      </c>
      <c r="AB11" s="3067" t="s">
        <v>3333</v>
      </c>
      <c r="AC11" s="3067" t="s">
        <v>3247</v>
      </c>
      <c r="AD11" s="3067" t="s">
        <v>3275</v>
      </c>
      <c r="AE11" s="3067" t="s">
        <v>3276</v>
      </c>
      <c r="AF11" s="3067">
        <v>77800</v>
      </c>
      <c r="AG11" s="3067" t="s">
        <v>1298</v>
      </c>
      <c r="AH11" s="3067">
        <v>389000</v>
      </c>
      <c r="AI11" s="3067" t="s">
        <v>1298</v>
      </c>
      <c r="AJ11" s="3067">
        <v>3759.46</v>
      </c>
      <c r="AK11" s="3067" t="s">
        <v>1298</v>
      </c>
      <c r="AL11" s="3067">
        <v>27412.31</v>
      </c>
      <c r="AM11" s="3067" t="s">
        <v>1298</v>
      </c>
      <c r="AN11" s="3067" t="s">
        <v>1298</v>
      </c>
      <c r="AO11" s="3067" t="s">
        <v>1298</v>
      </c>
      <c r="AP11" s="3067" t="s">
        <v>3250</v>
      </c>
      <c r="AQ11" s="3067" t="s">
        <v>1298</v>
      </c>
      <c r="AR11" s="3067" t="s">
        <v>1298</v>
      </c>
    </row>
    <row r="12" spans="1:44" ht="76.5">
      <c r="A12" s="3066" t="s">
        <v>3336</v>
      </c>
      <c r="B12" s="3066" t="s">
        <v>3063</v>
      </c>
      <c r="C12" s="3066" t="s">
        <v>3278</v>
      </c>
      <c r="D12" s="3066" t="s">
        <v>3231</v>
      </c>
      <c r="E12" s="3066" t="s">
        <v>3232</v>
      </c>
      <c r="F12" s="3066" t="s">
        <v>3337</v>
      </c>
      <c r="G12" s="3066" t="s">
        <v>3234</v>
      </c>
      <c r="H12" s="3066" t="s">
        <v>3338</v>
      </c>
      <c r="I12" s="3066" t="s">
        <v>3282</v>
      </c>
      <c r="J12" s="3066">
        <v>74772.84</v>
      </c>
      <c r="K12" s="3066">
        <v>134591</v>
      </c>
      <c r="L12" s="3066">
        <v>1.8</v>
      </c>
      <c r="M12" s="3066" t="s">
        <v>1298</v>
      </c>
      <c r="N12" s="3066" t="s">
        <v>3268</v>
      </c>
      <c r="O12" s="3066" t="s">
        <v>3339</v>
      </c>
      <c r="P12" s="3066" t="s">
        <v>1298</v>
      </c>
      <c r="Q12" s="3066" t="s">
        <v>1298</v>
      </c>
      <c r="R12" s="3066" t="s">
        <v>1298</v>
      </c>
      <c r="S12" s="3066" t="s">
        <v>1298</v>
      </c>
      <c r="T12" s="3066" t="s">
        <v>3340</v>
      </c>
      <c r="U12" s="3066" t="s">
        <v>3341</v>
      </c>
      <c r="V12" s="3066" t="s">
        <v>1298</v>
      </c>
      <c r="W12" s="3066" t="s">
        <v>3342</v>
      </c>
      <c r="X12" s="3066" t="s">
        <v>3343</v>
      </c>
      <c r="Y12" s="3066" t="s">
        <v>3344</v>
      </c>
      <c r="Z12" s="3066" t="s">
        <v>3345</v>
      </c>
      <c r="AA12" s="3066" t="s">
        <v>3345</v>
      </c>
      <c r="AB12" s="3066" t="s">
        <v>3338</v>
      </c>
      <c r="AC12" s="3066" t="s">
        <v>3247</v>
      </c>
      <c r="AD12" s="3066" t="s">
        <v>3346</v>
      </c>
      <c r="AE12" s="3066" t="s">
        <v>3347</v>
      </c>
      <c r="AF12" s="3066">
        <v>142000</v>
      </c>
      <c r="AG12" s="3066">
        <v>472300</v>
      </c>
      <c r="AH12" s="3066">
        <v>550000</v>
      </c>
      <c r="AI12" s="3066">
        <v>4210.9799999999996</v>
      </c>
      <c r="AJ12" s="3066">
        <v>4903.74</v>
      </c>
      <c r="AK12" s="3066">
        <v>35091.5</v>
      </c>
      <c r="AL12" s="3066">
        <v>40864.550000000003</v>
      </c>
      <c r="AM12" s="3066" t="s">
        <v>1298</v>
      </c>
      <c r="AN12" s="3066" t="s">
        <v>1298</v>
      </c>
      <c r="AO12" s="3066">
        <v>16.45</v>
      </c>
      <c r="AP12" s="3066" t="s">
        <v>3250</v>
      </c>
      <c r="AQ12" s="3066" t="s">
        <v>1298</v>
      </c>
      <c r="AR12" s="3066" t="s">
        <v>1298</v>
      </c>
    </row>
    <row r="13" spans="1:44" ht="96">
      <c r="A13" s="3067" t="s">
        <v>3348</v>
      </c>
      <c r="B13" s="3067" t="s">
        <v>3063</v>
      </c>
      <c r="C13" s="3067" t="s">
        <v>3278</v>
      </c>
      <c r="D13" s="3067" t="s">
        <v>3231</v>
      </c>
      <c r="E13" s="3067" t="s">
        <v>3349</v>
      </c>
      <c r="F13" s="3067" t="s">
        <v>3350</v>
      </c>
      <c r="G13" s="3067" t="s">
        <v>3265</v>
      </c>
      <c r="H13" s="3067" t="s">
        <v>3351</v>
      </c>
      <c r="I13" s="3067" t="s">
        <v>3282</v>
      </c>
      <c r="J13" s="3067">
        <v>6180.98</v>
      </c>
      <c r="K13" s="3067">
        <v>32400</v>
      </c>
      <c r="L13" s="3067">
        <v>5.24</v>
      </c>
      <c r="M13" s="3067" t="s">
        <v>1298</v>
      </c>
      <c r="N13" s="3067" t="s">
        <v>1298</v>
      </c>
      <c r="O13" s="3067" t="s">
        <v>1298</v>
      </c>
      <c r="P13" s="3067" t="s">
        <v>3352</v>
      </c>
      <c r="Q13" s="3067">
        <v>13920.98</v>
      </c>
      <c r="R13" s="3067" t="s">
        <v>1298</v>
      </c>
      <c r="S13" s="3067" t="s">
        <v>1298</v>
      </c>
      <c r="T13" s="3067" t="s">
        <v>3353</v>
      </c>
      <c r="U13" s="3067" t="s">
        <v>3353</v>
      </c>
      <c r="V13" s="3067" t="s">
        <v>1298</v>
      </c>
      <c r="W13" s="3067" t="s">
        <v>3342</v>
      </c>
      <c r="X13" s="3067" t="s">
        <v>3354</v>
      </c>
      <c r="Y13" s="3067" t="s">
        <v>3355</v>
      </c>
      <c r="Z13" s="3067" t="s">
        <v>3355</v>
      </c>
      <c r="AA13" s="3067" t="s">
        <v>3355</v>
      </c>
      <c r="AB13" s="3067" t="s">
        <v>3351</v>
      </c>
      <c r="AC13" s="3067" t="s">
        <v>3247</v>
      </c>
      <c r="AD13" s="3067" t="s">
        <v>3356</v>
      </c>
      <c r="AE13" s="3067" t="s">
        <v>1298</v>
      </c>
      <c r="AF13" s="3067">
        <v>2400</v>
      </c>
      <c r="AG13" s="3067" t="s">
        <v>1298</v>
      </c>
      <c r="AH13" s="3067" t="s">
        <v>1298</v>
      </c>
      <c r="AI13" s="3067" t="s">
        <v>1298</v>
      </c>
      <c r="AJ13" s="3067" t="s">
        <v>1298</v>
      </c>
      <c r="AK13" s="3067" t="s">
        <v>1298</v>
      </c>
      <c r="AL13" s="3067" t="s">
        <v>1298</v>
      </c>
      <c r="AM13" s="3067" t="s">
        <v>1298</v>
      </c>
      <c r="AN13" s="3067" t="s">
        <v>1298</v>
      </c>
      <c r="AO13" s="3067" t="s">
        <v>1298</v>
      </c>
      <c r="AP13" s="3067" t="s">
        <v>3250</v>
      </c>
      <c r="AQ13" s="3067" t="s">
        <v>1298</v>
      </c>
      <c r="AR13" s="3067" t="s">
        <v>1298</v>
      </c>
    </row>
    <row r="14" spans="1:44" ht="72">
      <c r="A14" s="3067" t="s">
        <v>3357</v>
      </c>
      <c r="B14" s="3067" t="s">
        <v>3063</v>
      </c>
      <c r="C14" s="3067" t="s">
        <v>3230</v>
      </c>
      <c r="D14" s="3067" t="s">
        <v>3231</v>
      </c>
      <c r="E14" s="3067" t="s">
        <v>3232</v>
      </c>
      <c r="F14" s="3067" t="s">
        <v>3358</v>
      </c>
      <c r="G14" s="3067" t="s">
        <v>3234</v>
      </c>
      <c r="H14" s="3067" t="s">
        <v>3359</v>
      </c>
      <c r="I14" s="3067" t="s">
        <v>3360</v>
      </c>
      <c r="J14" s="3067">
        <v>105309.9</v>
      </c>
      <c r="K14" s="3067">
        <v>201320</v>
      </c>
      <c r="L14" s="3067">
        <v>1.9116899999999999</v>
      </c>
      <c r="M14" s="3067" t="s">
        <v>1298</v>
      </c>
      <c r="N14" s="3067" t="s">
        <v>3268</v>
      </c>
      <c r="O14" s="3067" t="s">
        <v>3361</v>
      </c>
      <c r="P14" s="3067" t="s">
        <v>1298</v>
      </c>
      <c r="Q14" s="3067" t="s">
        <v>1298</v>
      </c>
      <c r="R14" s="3067" t="s">
        <v>1298</v>
      </c>
      <c r="S14" s="3067" t="s">
        <v>1298</v>
      </c>
      <c r="T14" s="3067" t="s">
        <v>3340</v>
      </c>
      <c r="U14" s="3067" t="s">
        <v>3341</v>
      </c>
      <c r="V14" s="3067" t="s">
        <v>1298</v>
      </c>
      <c r="W14" s="3067" t="s">
        <v>3342</v>
      </c>
      <c r="X14" s="3067" t="s">
        <v>3362</v>
      </c>
      <c r="Y14" s="3067" t="s">
        <v>3363</v>
      </c>
      <c r="Z14" s="3067" t="s">
        <v>3364</v>
      </c>
      <c r="AA14" s="3067" t="s">
        <v>3364</v>
      </c>
      <c r="AB14" s="3067" t="s">
        <v>3359</v>
      </c>
      <c r="AC14" s="3067" t="s">
        <v>3247</v>
      </c>
      <c r="AD14" s="3067" t="s">
        <v>3365</v>
      </c>
      <c r="AE14" s="3067" t="s">
        <v>3366</v>
      </c>
      <c r="AF14" s="3067">
        <v>210000</v>
      </c>
      <c r="AG14" s="3067">
        <v>692500</v>
      </c>
      <c r="AH14" s="3067">
        <v>762000</v>
      </c>
      <c r="AI14" s="3067">
        <v>4383.8900000000003</v>
      </c>
      <c r="AJ14" s="3067">
        <v>4823.8599999999997</v>
      </c>
      <c r="AK14" s="3067">
        <v>34397.97</v>
      </c>
      <c r="AL14" s="3067">
        <v>37850.19</v>
      </c>
      <c r="AM14" s="3067" t="s">
        <v>1298</v>
      </c>
      <c r="AN14" s="3067" t="s">
        <v>1298</v>
      </c>
      <c r="AO14" s="3067">
        <v>10.039999999999999</v>
      </c>
      <c r="AP14" s="3067" t="s">
        <v>3250</v>
      </c>
      <c r="AQ14" s="3067" t="s">
        <v>1298</v>
      </c>
      <c r="AR14" s="3067" t="s">
        <v>1298</v>
      </c>
    </row>
    <row r="15" spans="1:44" ht="48">
      <c r="A15" s="3067" t="s">
        <v>3367</v>
      </c>
      <c r="B15" s="3067" t="s">
        <v>3063</v>
      </c>
      <c r="C15" s="3067" t="s">
        <v>3278</v>
      </c>
      <c r="D15" s="3067" t="s">
        <v>3231</v>
      </c>
      <c r="E15" s="3067" t="s">
        <v>3232</v>
      </c>
      <c r="F15" s="3067" t="s">
        <v>3358</v>
      </c>
      <c r="G15" s="3067" t="s">
        <v>3234</v>
      </c>
      <c r="H15" s="3067" t="s">
        <v>3368</v>
      </c>
      <c r="I15" s="3067" t="s">
        <v>3282</v>
      </c>
      <c r="J15" s="3067">
        <v>84786.55</v>
      </c>
      <c r="K15" s="3067">
        <v>186530</v>
      </c>
      <c r="L15" s="3067">
        <v>2.2000000000000002</v>
      </c>
      <c r="M15" s="3067" t="s">
        <v>1298</v>
      </c>
      <c r="N15" s="3067" t="s">
        <v>3268</v>
      </c>
      <c r="O15" s="3067" t="s">
        <v>3369</v>
      </c>
      <c r="P15" s="3067" t="s">
        <v>1298</v>
      </c>
      <c r="Q15" s="3067" t="s">
        <v>1298</v>
      </c>
      <c r="R15" s="3067" t="s">
        <v>1298</v>
      </c>
      <c r="S15" s="3067" t="s">
        <v>3370</v>
      </c>
      <c r="T15" s="3067" t="s">
        <v>3271</v>
      </c>
      <c r="U15" s="3067" t="s">
        <v>3271</v>
      </c>
      <c r="V15" s="3067" t="s">
        <v>1298</v>
      </c>
      <c r="W15" s="3067" t="s">
        <v>3342</v>
      </c>
      <c r="X15" s="3067" t="s">
        <v>3371</v>
      </c>
      <c r="Y15" s="3067" t="s">
        <v>3372</v>
      </c>
      <c r="Z15" s="3067" t="s">
        <v>3373</v>
      </c>
      <c r="AA15" s="3067" t="s">
        <v>3373</v>
      </c>
      <c r="AB15" s="3067" t="s">
        <v>3368</v>
      </c>
      <c r="AC15" s="3067" t="s">
        <v>3247</v>
      </c>
      <c r="AD15" s="3067" t="s">
        <v>3374</v>
      </c>
      <c r="AE15" s="3067" t="s">
        <v>3375</v>
      </c>
      <c r="AF15" s="3067">
        <v>160000</v>
      </c>
      <c r="AG15" s="3067">
        <v>532800</v>
      </c>
      <c r="AH15" s="3067">
        <v>535500</v>
      </c>
      <c r="AI15" s="3067">
        <v>4189.34</v>
      </c>
      <c r="AJ15" s="3067">
        <v>4210.57</v>
      </c>
      <c r="AK15" s="3067">
        <v>28563.77</v>
      </c>
      <c r="AL15" s="3067">
        <v>28708.52</v>
      </c>
      <c r="AM15" s="3067" t="s">
        <v>1298</v>
      </c>
      <c r="AN15" s="3067" t="s">
        <v>1298</v>
      </c>
      <c r="AO15" s="3067">
        <v>0.51</v>
      </c>
      <c r="AP15" s="3067" t="s">
        <v>3250</v>
      </c>
      <c r="AQ15" s="3067" t="s">
        <v>1298</v>
      </c>
      <c r="AR15" s="3067" t="s">
        <v>1298</v>
      </c>
    </row>
    <row r="16" spans="1:44" ht="72">
      <c r="A16" s="3067" t="s">
        <v>3376</v>
      </c>
      <c r="B16" s="3067" t="s">
        <v>3063</v>
      </c>
      <c r="C16" s="3067" t="s">
        <v>3278</v>
      </c>
      <c r="D16" s="3067" t="s">
        <v>3231</v>
      </c>
      <c r="E16" s="3067" t="s">
        <v>3377</v>
      </c>
      <c r="F16" s="3067" t="s">
        <v>3378</v>
      </c>
      <c r="G16" s="3067" t="s">
        <v>3234</v>
      </c>
      <c r="H16" s="3067" t="s">
        <v>3379</v>
      </c>
      <c r="I16" s="3067" t="s">
        <v>3380</v>
      </c>
      <c r="J16" s="3067">
        <v>10423.85</v>
      </c>
      <c r="K16" s="3067">
        <v>31272</v>
      </c>
      <c r="L16" s="3067">
        <v>3</v>
      </c>
      <c r="M16" s="3067" t="s">
        <v>1298</v>
      </c>
      <c r="N16" s="3067" t="s">
        <v>1298</v>
      </c>
      <c r="O16" s="3067" t="s">
        <v>3381</v>
      </c>
      <c r="P16" s="3067" t="s">
        <v>1298</v>
      </c>
      <c r="Q16" s="3067" t="s">
        <v>1298</v>
      </c>
      <c r="R16" s="3067" t="s">
        <v>1298</v>
      </c>
      <c r="S16" s="3067" t="s">
        <v>1298</v>
      </c>
      <c r="T16" s="3067" t="s">
        <v>3340</v>
      </c>
      <c r="U16" s="3067" t="s">
        <v>3382</v>
      </c>
      <c r="V16" s="3067" t="s">
        <v>1298</v>
      </c>
      <c r="W16" s="3067" t="s">
        <v>3342</v>
      </c>
      <c r="X16" s="3067" t="s">
        <v>3383</v>
      </c>
      <c r="Y16" s="3067" t="s">
        <v>3384</v>
      </c>
      <c r="Z16" s="3067" t="s">
        <v>3385</v>
      </c>
      <c r="AA16" s="3067" t="s">
        <v>3385</v>
      </c>
      <c r="AB16" s="3067" t="s">
        <v>3379</v>
      </c>
      <c r="AC16" s="3067" t="s">
        <v>3247</v>
      </c>
      <c r="AD16" s="3067" t="s">
        <v>3386</v>
      </c>
      <c r="AE16" s="3067" t="s">
        <v>3387</v>
      </c>
      <c r="AF16" s="3067">
        <v>37100</v>
      </c>
      <c r="AG16" s="3067">
        <v>123600</v>
      </c>
      <c r="AH16" s="3067">
        <v>165000</v>
      </c>
      <c r="AI16" s="3067">
        <v>7904.95</v>
      </c>
      <c r="AJ16" s="3067">
        <v>10552.72</v>
      </c>
      <c r="AK16" s="3067">
        <v>39524.17</v>
      </c>
      <c r="AL16" s="3067">
        <v>52762.84</v>
      </c>
      <c r="AM16" s="3067" t="s">
        <v>1298</v>
      </c>
      <c r="AN16" s="3067" t="s">
        <v>1298</v>
      </c>
      <c r="AO16" s="3067">
        <v>33.5</v>
      </c>
      <c r="AP16" s="3067" t="s">
        <v>3250</v>
      </c>
      <c r="AQ16" s="3067" t="s">
        <v>1298</v>
      </c>
      <c r="AR16" s="3067">
        <v>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7"/>
      <c r="B3" s="3107"/>
      <c r="C3" s="3107"/>
      <c r="D3" s="956" t="s">
        <v>1603</v>
      </c>
      <c r="E3" s="956" t="s">
        <v>1609</v>
      </c>
      <c r="F3" s="956" t="s">
        <v>1603</v>
      </c>
      <c r="G3" s="956" t="s">
        <v>1604</v>
      </c>
      <c r="H3" s="956" t="s">
        <v>1603</v>
      </c>
      <c r="I3" s="956" t="s">
        <v>1604</v>
      </c>
    </row>
    <row r="4" spans="1:9" ht="75">
      <c r="A4" s="1684" t="str">
        <f>项目基本情况!S2</f>
        <v>北京市海淀区“海淀北部地区整体开发”永丰产业基地（新）HD00-0401-0158地块出让国有建设用地使用权及在建建筑物房地产</v>
      </c>
      <c r="B4" s="956">
        <f>项目基本情况!C17</f>
        <v>101912.04000000001</v>
      </c>
      <c r="C4" s="956">
        <f>项目基本情况!C18</f>
        <v>31970</v>
      </c>
      <c r="D4" s="956">
        <f ca="1">结果表!D118</f>
        <v>236629</v>
      </c>
      <c r="E4" s="956">
        <f ca="1">结果表!E118</f>
        <v>23219</v>
      </c>
      <c r="F4" s="956">
        <f ca="1">结果表!F118</f>
        <v>25129</v>
      </c>
      <c r="G4" s="956">
        <f ca="1">结果表!G118</f>
        <v>2466</v>
      </c>
      <c r="H4" s="956">
        <f ca="1">结果表!H118</f>
        <v>261758</v>
      </c>
      <c r="I4" s="956">
        <f ca="1">结果表!I118</f>
        <v>25685</v>
      </c>
    </row>
    <row r="5" spans="1:9" ht="30" customHeight="1">
      <c r="A5" s="3107" t="s">
        <v>1605</v>
      </c>
      <c r="B5" s="3107"/>
      <c r="C5" s="3107"/>
      <c r="D5" s="3108" t="str">
        <f ca="1">结果表!D119</f>
        <v>贰拾叁亿陆仟陆佰贰拾玖万元整</v>
      </c>
      <c r="E5" s="3108"/>
      <c r="F5" s="3108" t="str">
        <f ca="1">结果表!F119</f>
        <v>贰亿伍仟壹佰贰拾玖万元整</v>
      </c>
      <c r="G5" s="3108"/>
      <c r="H5" s="3108" t="str">
        <f ca="1">结果表!H119</f>
        <v>贰拾陆亿壹仟柒佰伍拾捌万元整</v>
      </c>
      <c r="I5" s="3108"/>
    </row>
    <row r="6" spans="1:9" ht="15.75">
      <c r="A6" s="3109" t="str">
        <f>结果表!A120</f>
        <v>估价师知悉的法定优先受偿款</v>
      </c>
      <c r="B6" s="3109"/>
      <c r="C6" s="3109"/>
      <c r="D6" s="3109">
        <f>结果表!D120</f>
        <v>0</v>
      </c>
      <c r="E6" s="3109"/>
      <c r="F6" s="3109"/>
      <c r="G6" s="3109"/>
      <c r="H6" s="3109"/>
      <c r="I6" s="3109"/>
    </row>
    <row r="7" spans="1:9" ht="15">
      <c r="A7" s="3107" t="s">
        <v>1605</v>
      </c>
      <c r="B7" s="3107"/>
      <c r="C7" s="3107"/>
      <c r="D7" s="3110" t="str">
        <f>结果表!D121</f>
        <v>零元整</v>
      </c>
      <c r="E7" s="3111"/>
      <c r="F7" s="3111"/>
      <c r="G7" s="3111"/>
      <c r="H7" s="3111"/>
      <c r="I7" s="3112"/>
    </row>
    <row r="8" spans="1:9" ht="15.75">
      <c r="A8" s="3109" t="str">
        <f>结果表!A122</f>
        <v>房地产抵押价值</v>
      </c>
      <c r="B8" s="3109"/>
      <c r="C8" s="3109"/>
      <c r="D8" s="3109">
        <f ca="1">结果表!D122</f>
        <v>261758</v>
      </c>
      <c r="E8" s="3109"/>
      <c r="F8" s="3109"/>
      <c r="G8" s="3109"/>
      <c r="H8" s="3109"/>
      <c r="I8" s="3109"/>
    </row>
    <row r="9" spans="1:9" ht="15">
      <c r="A9" s="3107" t="s">
        <v>1605</v>
      </c>
      <c r="B9" s="3107"/>
      <c r="C9" s="3107"/>
      <c r="D9" s="3108" t="str">
        <f ca="1">结果表!D123</f>
        <v>贰拾陆亿壹仟柒佰伍拾捌万元整</v>
      </c>
      <c r="E9" s="3108"/>
      <c r="F9" s="3108"/>
      <c r="G9" s="3108"/>
      <c r="H9" s="3108"/>
      <c r="I9" s="3108"/>
    </row>
    <row r="10" spans="1:9" ht="15.75">
      <c r="A10" s="3109" t="str">
        <f>结果表!A124</f>
        <v/>
      </c>
      <c r="B10" s="3109"/>
      <c r="C10" s="3109"/>
      <c r="D10" s="3109" t="str">
        <f>结果表!D124</f>
        <v>——</v>
      </c>
      <c r="E10" s="3109"/>
      <c r="F10" s="3109"/>
      <c r="G10" s="3109"/>
      <c r="H10" s="3109"/>
      <c r="I10" s="3109"/>
    </row>
    <row r="11" spans="1:9" ht="15">
      <c r="A11" s="3107" t="s">
        <v>1605</v>
      </c>
      <c r="B11" s="3107"/>
      <c r="C11" s="3107"/>
      <c r="D11" s="3108" t="e">
        <f>结果表!D125</f>
        <v>#VALUE!</v>
      </c>
      <c r="E11" s="3108"/>
      <c r="F11" s="3108"/>
      <c r="G11" s="3108"/>
      <c r="H11" s="3108"/>
      <c r="I11" s="3108"/>
    </row>
    <row r="12" spans="1:9" ht="15.75">
      <c r="A12" s="3109" t="str">
        <f>结果表!A126</f>
        <v/>
      </c>
      <c r="B12" s="3109"/>
      <c r="C12" s="3109"/>
      <c r="D12" s="3109" t="str">
        <f>结果表!D126</f>
        <v>——</v>
      </c>
      <c r="E12" s="3109"/>
      <c r="F12" s="3109"/>
      <c r="G12" s="3109"/>
      <c r="H12" s="3109"/>
      <c r="I12" s="3109"/>
    </row>
    <row r="13" spans="1:9" ht="15.75" thickBot="1">
      <c r="A13" s="3113" t="s">
        <v>1605</v>
      </c>
      <c r="B13" s="3113"/>
      <c r="C13" s="3113"/>
      <c r="D13" s="3114" t="e">
        <f>结果表!D127</f>
        <v>#VALUE!</v>
      </c>
      <c r="E13" s="3114"/>
      <c r="F13" s="3114"/>
      <c r="G13" s="3114"/>
      <c r="H13" s="3114"/>
      <c r="I13" s="3114"/>
    </row>
    <row r="14" spans="1:9" ht="15" thickTop="1">
      <c r="A14" s="3115" t="s">
        <v>1610</v>
      </c>
      <c r="B14" s="3115"/>
      <c r="C14" s="3115"/>
      <c r="D14" s="3115"/>
      <c r="E14" s="3115"/>
      <c r="F14" s="3115"/>
      <c r="G14" s="3115"/>
      <c r="H14" s="3115"/>
      <c r="I14" s="3115"/>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1"/>
  <sheetViews>
    <sheetView tabSelected="1" workbookViewId="0">
      <selection activeCell="P25" sqref="P25"/>
    </sheetView>
  </sheetViews>
  <sheetFormatPr defaultRowHeight="13.5"/>
  <cols>
    <col min="6" max="6" width="8" customWidth="1"/>
  </cols>
  <sheetData>
    <row r="2" spans="2:17" ht="14.25">
      <c r="B2" s="3171" t="s">
        <v>3079</v>
      </c>
      <c r="C2" s="3175" t="s">
        <v>3080</v>
      </c>
      <c r="D2" s="3175" t="s">
        <v>3442</v>
      </c>
      <c r="E2" s="3175" t="s">
        <v>3441</v>
      </c>
      <c r="F2" s="3175" t="s">
        <v>3440</v>
      </c>
      <c r="G2" s="3171" t="s">
        <v>3084</v>
      </c>
      <c r="H2" s="3171" t="s">
        <v>3085</v>
      </c>
      <c r="I2" s="3172" t="s">
        <v>3086</v>
      </c>
      <c r="J2" s="3173"/>
      <c r="K2" s="3173"/>
      <c r="L2" s="3173"/>
      <c r="M2" s="3172" t="s">
        <v>3087</v>
      </c>
      <c r="N2" s="3173"/>
      <c r="O2" s="3174"/>
      <c r="P2" s="3049"/>
      <c r="Q2" s="3447" t="s">
        <v>3437</v>
      </c>
    </row>
    <row r="3" spans="2:17" ht="14.25">
      <c r="B3" s="3171"/>
      <c r="C3" s="3175"/>
      <c r="D3" s="3175"/>
      <c r="E3" s="3175"/>
      <c r="F3" s="3175"/>
      <c r="G3" s="3171"/>
      <c r="H3" s="3171"/>
      <c r="I3" s="3175" t="s">
        <v>40</v>
      </c>
      <c r="J3" s="3050" t="s">
        <v>3088</v>
      </c>
      <c r="K3" s="3172" t="s">
        <v>3089</v>
      </c>
      <c r="L3" s="3173"/>
      <c r="M3" s="3176" t="s">
        <v>40</v>
      </c>
      <c r="N3" s="3178"/>
      <c r="O3" s="3178"/>
      <c r="P3" s="3049"/>
      <c r="Q3" s="3447"/>
    </row>
    <row r="4" spans="2:17" ht="28.5">
      <c r="B4" s="3171"/>
      <c r="C4" s="3175"/>
      <c r="D4" s="3175"/>
      <c r="E4" s="3175"/>
      <c r="F4" s="3175"/>
      <c r="G4" s="3171"/>
      <c r="H4" s="3171"/>
      <c r="I4" s="3175"/>
      <c r="J4" s="3050" t="s">
        <v>3090</v>
      </c>
      <c r="K4" s="3050" t="s">
        <v>3091</v>
      </c>
      <c r="L4" s="3050" t="s">
        <v>3092</v>
      </c>
      <c r="M4" s="3177"/>
      <c r="N4" s="3450" t="s">
        <v>3095</v>
      </c>
      <c r="O4" s="3450" t="s">
        <v>3096</v>
      </c>
      <c r="P4" s="3091" t="s">
        <v>3098</v>
      </c>
      <c r="Q4" s="3447"/>
    </row>
    <row r="5" spans="2:17" ht="48" customHeight="1">
      <c r="B5" s="3167" t="s">
        <v>3103</v>
      </c>
      <c r="C5" s="3167" t="s">
        <v>3104</v>
      </c>
      <c r="D5" s="3167" t="s">
        <v>3105</v>
      </c>
      <c r="E5" s="3168" t="s">
        <v>3106</v>
      </c>
      <c r="F5" s="3167">
        <v>31970</v>
      </c>
      <c r="G5" s="3091" t="s">
        <v>3107</v>
      </c>
      <c r="H5" s="3058">
        <f>I5+M5</f>
        <v>4321.8500000000004</v>
      </c>
      <c r="I5" s="3092">
        <f>SUM(J5:L5)</f>
        <v>4321.8500000000004</v>
      </c>
      <c r="J5" s="3092">
        <v>2856.85</v>
      </c>
      <c r="K5" s="3092">
        <v>1465</v>
      </c>
      <c r="L5" s="3092" t="s">
        <v>70</v>
      </c>
      <c r="M5" s="3092">
        <f>SUM(N5:O5)</f>
        <v>0</v>
      </c>
      <c r="N5" s="3092" t="s">
        <v>70</v>
      </c>
      <c r="O5" s="3092" t="s">
        <v>70</v>
      </c>
      <c r="P5" s="3092" t="s">
        <v>3102</v>
      </c>
      <c r="Q5" s="3448" t="s">
        <v>3438</v>
      </c>
    </row>
    <row r="6" spans="2:17" ht="28.5">
      <c r="B6" s="3167"/>
      <c r="C6" s="3167"/>
      <c r="D6" s="3167"/>
      <c r="E6" s="3169"/>
      <c r="F6" s="3167"/>
      <c r="G6" s="3091" t="s">
        <v>3108</v>
      </c>
      <c r="H6" s="3058">
        <f t="shared" ref="H6:H19" si="0">I6+M6</f>
        <v>6395.55</v>
      </c>
      <c r="I6" s="3092">
        <f t="shared" ref="I6:I19" si="1">SUM(J6:L6)</f>
        <v>6395.55</v>
      </c>
      <c r="J6" s="3092">
        <v>4640.55</v>
      </c>
      <c r="K6" s="3092">
        <v>1755</v>
      </c>
      <c r="L6" s="3092" t="s">
        <v>70</v>
      </c>
      <c r="M6" s="3092">
        <f>SUM(N6:O6)</f>
        <v>0</v>
      </c>
      <c r="N6" s="3092" t="s">
        <v>70</v>
      </c>
      <c r="O6" s="3092" t="s">
        <v>70</v>
      </c>
      <c r="P6" s="3092" t="s">
        <v>3101</v>
      </c>
      <c r="Q6" s="3448"/>
    </row>
    <row r="7" spans="2:17" ht="28.5">
      <c r="B7" s="3167"/>
      <c r="C7" s="3167"/>
      <c r="D7" s="3167"/>
      <c r="E7" s="3169"/>
      <c r="F7" s="3167"/>
      <c r="G7" s="3091" t="s">
        <v>3109</v>
      </c>
      <c r="H7" s="3058">
        <f t="shared" si="0"/>
        <v>3942.06</v>
      </c>
      <c r="I7" s="3092">
        <f t="shared" si="1"/>
        <v>3942.06</v>
      </c>
      <c r="J7" s="3092">
        <v>2638.06</v>
      </c>
      <c r="K7" s="3092">
        <v>1304</v>
      </c>
      <c r="L7" s="3092" t="s">
        <v>70</v>
      </c>
      <c r="M7" s="3092">
        <f>SUM(N7:O7)</f>
        <v>0</v>
      </c>
      <c r="N7" s="3092" t="s">
        <v>70</v>
      </c>
      <c r="O7" s="3092" t="s">
        <v>70</v>
      </c>
      <c r="P7" s="3092" t="s">
        <v>3102</v>
      </c>
      <c r="Q7" s="3448"/>
    </row>
    <row r="8" spans="2:17" ht="28.5">
      <c r="B8" s="3167"/>
      <c r="C8" s="3167"/>
      <c r="D8" s="3167"/>
      <c r="E8" s="3169"/>
      <c r="F8" s="3167"/>
      <c r="G8" s="3091" t="s">
        <v>3110</v>
      </c>
      <c r="H8" s="3058">
        <f t="shared" si="0"/>
        <v>5272.41</v>
      </c>
      <c r="I8" s="3092">
        <f t="shared" si="1"/>
        <v>5272.41</v>
      </c>
      <c r="J8" s="3092">
        <v>3517.41</v>
      </c>
      <c r="K8" s="3092">
        <v>1755</v>
      </c>
      <c r="L8" s="3092" t="s">
        <v>70</v>
      </c>
      <c r="M8" s="3092">
        <f>SUM(N8:O8)</f>
        <v>0</v>
      </c>
      <c r="N8" s="3092" t="s">
        <v>70</v>
      </c>
      <c r="O8" s="3092" t="s">
        <v>70</v>
      </c>
      <c r="P8" s="3092" t="s">
        <v>3102</v>
      </c>
      <c r="Q8" s="3448"/>
    </row>
    <row r="9" spans="2:17" ht="28.5">
      <c r="B9" s="3167"/>
      <c r="C9" s="3167"/>
      <c r="D9" s="3167"/>
      <c r="E9" s="3169"/>
      <c r="F9" s="3167"/>
      <c r="G9" s="3091" t="s">
        <v>3111</v>
      </c>
      <c r="H9" s="3058">
        <f t="shared" si="0"/>
        <v>6395.55</v>
      </c>
      <c r="I9" s="3092">
        <f t="shared" si="1"/>
        <v>6395.55</v>
      </c>
      <c r="J9" s="3092">
        <v>4640.55</v>
      </c>
      <c r="K9" s="3092">
        <v>1755</v>
      </c>
      <c r="L9" s="3092" t="s">
        <v>70</v>
      </c>
      <c r="M9" s="3092">
        <f>SUM(N9:O9)</f>
        <v>0</v>
      </c>
      <c r="N9" s="3092" t="s">
        <v>70</v>
      </c>
      <c r="O9" s="3092" t="s">
        <v>70</v>
      </c>
      <c r="P9" s="3092" t="s">
        <v>3101</v>
      </c>
      <c r="Q9" s="3448"/>
    </row>
    <row r="10" spans="2:17" ht="28.5">
      <c r="B10" s="3167"/>
      <c r="C10" s="3167"/>
      <c r="D10" s="3167"/>
      <c r="E10" s="3169"/>
      <c r="F10" s="3167"/>
      <c r="G10" s="3091" t="s">
        <v>3112</v>
      </c>
      <c r="H10" s="3058">
        <f t="shared" si="0"/>
        <v>5272.41</v>
      </c>
      <c r="I10" s="3092">
        <f t="shared" si="1"/>
        <v>5272.41</v>
      </c>
      <c r="J10" s="3092">
        <v>3517.41</v>
      </c>
      <c r="K10" s="3092">
        <v>1755</v>
      </c>
      <c r="L10" s="3092" t="s">
        <v>70</v>
      </c>
      <c r="M10" s="3092">
        <f>SUM(N10:O10)</f>
        <v>0</v>
      </c>
      <c r="N10" s="3092" t="s">
        <v>70</v>
      </c>
      <c r="O10" s="3092" t="s">
        <v>70</v>
      </c>
      <c r="P10" s="3092" t="s">
        <v>3102</v>
      </c>
      <c r="Q10" s="3448"/>
    </row>
    <row r="11" spans="2:17" ht="28.5">
      <c r="B11" s="3167"/>
      <c r="C11" s="3167"/>
      <c r="D11" s="3167"/>
      <c r="E11" s="3169"/>
      <c r="F11" s="3167"/>
      <c r="G11" s="3091" t="s">
        <v>3113</v>
      </c>
      <c r="H11" s="3058">
        <f t="shared" si="0"/>
        <v>5272.41</v>
      </c>
      <c r="I11" s="3092">
        <f t="shared" si="1"/>
        <v>5272.41</v>
      </c>
      <c r="J11" s="3092">
        <v>3517.41</v>
      </c>
      <c r="K11" s="3092">
        <v>1755</v>
      </c>
      <c r="L11" s="3092" t="s">
        <v>70</v>
      </c>
      <c r="M11" s="3092">
        <f>SUM(N11:O11)</f>
        <v>0</v>
      </c>
      <c r="N11" s="3092" t="s">
        <v>70</v>
      </c>
      <c r="O11" s="3092" t="s">
        <v>70</v>
      </c>
      <c r="P11" s="3092" t="s">
        <v>3102</v>
      </c>
      <c r="Q11" s="3448"/>
    </row>
    <row r="12" spans="2:17" ht="28.5">
      <c r="B12" s="3167"/>
      <c r="C12" s="3167"/>
      <c r="D12" s="3167"/>
      <c r="E12" s="3169"/>
      <c r="F12" s="3167"/>
      <c r="G12" s="3091" t="s">
        <v>3114</v>
      </c>
      <c r="H12" s="3058">
        <f t="shared" si="0"/>
        <v>8328.2799999999988</v>
      </c>
      <c r="I12" s="3092">
        <f t="shared" si="1"/>
        <v>8328.2799999999988</v>
      </c>
      <c r="J12" s="3092">
        <v>5693.28</v>
      </c>
      <c r="K12" s="3092">
        <v>2635</v>
      </c>
      <c r="L12" s="3092" t="s">
        <v>70</v>
      </c>
      <c r="M12" s="3092">
        <f>SUM(N12:O12)</f>
        <v>0</v>
      </c>
      <c r="N12" s="3092" t="s">
        <v>70</v>
      </c>
      <c r="O12" s="3092" t="s">
        <v>70</v>
      </c>
      <c r="P12" s="3092" t="s">
        <v>3115</v>
      </c>
      <c r="Q12" s="3448"/>
    </row>
    <row r="13" spans="2:17" ht="28.5">
      <c r="B13" s="3167"/>
      <c r="C13" s="3167"/>
      <c r="D13" s="3167"/>
      <c r="E13" s="3169"/>
      <c r="F13" s="3167"/>
      <c r="G13" s="3091" t="s">
        <v>3116</v>
      </c>
      <c r="H13" s="3058">
        <f t="shared" si="0"/>
        <v>5272.41</v>
      </c>
      <c r="I13" s="3092">
        <f t="shared" si="1"/>
        <v>5272.41</v>
      </c>
      <c r="J13" s="3092">
        <v>3517.41</v>
      </c>
      <c r="K13" s="3092">
        <v>1755</v>
      </c>
      <c r="L13" s="3092" t="s">
        <v>70</v>
      </c>
      <c r="M13" s="3092">
        <f>SUM(N13:O13)</f>
        <v>0</v>
      </c>
      <c r="N13" s="3092" t="s">
        <v>70</v>
      </c>
      <c r="O13" s="3092" t="s">
        <v>70</v>
      </c>
      <c r="P13" s="3092" t="s">
        <v>3102</v>
      </c>
      <c r="Q13" s="3448"/>
    </row>
    <row r="14" spans="2:17" ht="28.5">
      <c r="B14" s="3167"/>
      <c r="C14" s="3167"/>
      <c r="D14" s="3167"/>
      <c r="E14" s="3169"/>
      <c r="F14" s="3167"/>
      <c r="G14" s="3091" t="s">
        <v>3118</v>
      </c>
      <c r="H14" s="3058">
        <f t="shared" si="0"/>
        <v>6122.41</v>
      </c>
      <c r="I14" s="3092">
        <f t="shared" si="1"/>
        <v>6122.41</v>
      </c>
      <c r="J14" s="3092">
        <v>3517.41</v>
      </c>
      <c r="K14" s="3092">
        <v>2605</v>
      </c>
      <c r="L14" s="3092" t="s">
        <v>70</v>
      </c>
      <c r="M14" s="3092">
        <f>SUM(N14:O14)</f>
        <v>0</v>
      </c>
      <c r="N14" s="3092" t="s">
        <v>70</v>
      </c>
      <c r="O14" s="3092" t="s">
        <v>70</v>
      </c>
      <c r="P14" s="3092" t="s">
        <v>3119</v>
      </c>
      <c r="Q14" s="3448"/>
    </row>
    <row r="15" spans="2:17" ht="28.5">
      <c r="B15" s="3167"/>
      <c r="C15" s="3167"/>
      <c r="D15" s="3167"/>
      <c r="E15" s="3169"/>
      <c r="F15" s="3167"/>
      <c r="G15" s="3091" t="s">
        <v>3120</v>
      </c>
      <c r="H15" s="3058">
        <f t="shared" si="0"/>
        <v>6178.41</v>
      </c>
      <c r="I15" s="3092">
        <f t="shared" si="1"/>
        <v>5278.41</v>
      </c>
      <c r="J15" s="3092">
        <v>3517.41</v>
      </c>
      <c r="K15" s="3092">
        <v>1761</v>
      </c>
      <c r="L15" s="3092" t="s">
        <v>70</v>
      </c>
      <c r="M15" s="3092">
        <f>SUM(N15:O15)</f>
        <v>900</v>
      </c>
      <c r="N15" s="3092" t="s">
        <v>70</v>
      </c>
      <c r="O15" s="3092">
        <v>900</v>
      </c>
      <c r="P15" s="3092" t="s">
        <v>3119</v>
      </c>
      <c r="Q15" s="3448"/>
    </row>
    <row r="16" spans="2:17" ht="28.5">
      <c r="B16" s="3167"/>
      <c r="C16" s="3167"/>
      <c r="D16" s="3167"/>
      <c r="E16" s="3169"/>
      <c r="F16" s="3167"/>
      <c r="G16" s="3091" t="s">
        <v>3121</v>
      </c>
      <c r="H16" s="3058">
        <f t="shared" si="0"/>
        <v>6824.77</v>
      </c>
      <c r="I16" s="3092">
        <f t="shared" si="1"/>
        <v>6824.77</v>
      </c>
      <c r="J16" s="3092">
        <v>5004.7700000000004</v>
      </c>
      <c r="K16" s="3092">
        <v>1820</v>
      </c>
      <c r="L16" s="3092" t="s">
        <v>70</v>
      </c>
      <c r="M16" s="3092">
        <f>SUM(N16:O16)</f>
        <v>0</v>
      </c>
      <c r="N16" s="3092" t="s">
        <v>70</v>
      </c>
      <c r="O16" s="3092" t="s">
        <v>70</v>
      </c>
      <c r="P16" s="3092" t="s">
        <v>3101</v>
      </c>
      <c r="Q16" s="3448"/>
    </row>
    <row r="17" spans="2:17" ht="28.5">
      <c r="B17" s="3167"/>
      <c r="C17" s="3167"/>
      <c r="D17" s="3167"/>
      <c r="E17" s="3169"/>
      <c r="F17" s="3167"/>
      <c r="G17" s="3091" t="s">
        <v>3123</v>
      </c>
      <c r="H17" s="3058">
        <f t="shared" si="0"/>
        <v>8401.76</v>
      </c>
      <c r="I17" s="3092">
        <f t="shared" si="1"/>
        <v>8401.76</v>
      </c>
      <c r="J17" s="3092">
        <v>5696.76</v>
      </c>
      <c r="K17" s="3092">
        <v>2705</v>
      </c>
      <c r="L17" s="3092" t="s">
        <v>70</v>
      </c>
      <c r="M17" s="3092">
        <f>SUM(N17:O17)</f>
        <v>0</v>
      </c>
      <c r="N17" s="3092" t="s">
        <v>70</v>
      </c>
      <c r="O17" s="3092" t="s">
        <v>70</v>
      </c>
      <c r="P17" s="3092" t="s">
        <v>3115</v>
      </c>
      <c r="Q17" s="3448"/>
    </row>
    <row r="18" spans="2:17" ht="28.5">
      <c r="B18" s="3167"/>
      <c r="C18" s="3167"/>
      <c r="D18" s="3167"/>
      <c r="E18" s="3169"/>
      <c r="F18" s="3167"/>
      <c r="G18" s="3091" t="s">
        <v>3124</v>
      </c>
      <c r="H18" s="3058">
        <f t="shared" si="0"/>
        <v>8401.76</v>
      </c>
      <c r="I18" s="3092">
        <f t="shared" si="1"/>
        <v>8401.76</v>
      </c>
      <c r="J18" s="3092">
        <v>5696.76</v>
      </c>
      <c r="K18" s="3092">
        <v>2705</v>
      </c>
      <c r="L18" s="3092" t="s">
        <v>70</v>
      </c>
      <c r="M18" s="3092">
        <f>SUM(N18:O18)</f>
        <v>0</v>
      </c>
      <c r="N18" s="3092" t="s">
        <v>70</v>
      </c>
      <c r="O18" s="3092" t="s">
        <v>70</v>
      </c>
      <c r="P18" s="3092" t="s">
        <v>3115</v>
      </c>
      <c r="Q18" s="3448"/>
    </row>
    <row r="19" spans="2:17" ht="28.5">
      <c r="B19" s="3167"/>
      <c r="C19" s="3167"/>
      <c r="D19" s="3167"/>
      <c r="E19" s="3169"/>
      <c r="F19" s="3167"/>
      <c r="G19" s="3091" t="s">
        <v>3436</v>
      </c>
      <c r="H19" s="3058">
        <v>10</v>
      </c>
      <c r="I19" s="3092" t="s">
        <v>70</v>
      </c>
      <c r="J19" s="3092" t="s">
        <v>70</v>
      </c>
      <c r="K19" s="3092" t="s">
        <v>70</v>
      </c>
      <c r="L19" s="3092" t="s">
        <v>70</v>
      </c>
      <c r="M19" s="3092">
        <f>SUM(N19:O19)</f>
        <v>10</v>
      </c>
      <c r="N19" s="3092" t="s">
        <v>3127</v>
      </c>
      <c r="O19" s="3092">
        <v>10</v>
      </c>
      <c r="P19" s="3092" t="s">
        <v>3439</v>
      </c>
      <c r="Q19" s="3448"/>
    </row>
    <row r="20" spans="2:17" ht="14.25">
      <c r="B20" s="3167"/>
      <c r="C20" s="3167"/>
      <c r="D20" s="3167"/>
      <c r="E20" s="3169"/>
      <c r="F20" s="3167"/>
      <c r="G20" s="3091" t="s">
        <v>3125</v>
      </c>
      <c r="H20" s="3058">
        <f>I20+M20</f>
        <v>15500</v>
      </c>
      <c r="I20" s="3092">
        <f>SUM(J20:L20)</f>
        <v>14500</v>
      </c>
      <c r="J20" s="3092" t="s">
        <v>70</v>
      </c>
      <c r="K20" s="3092" t="s">
        <v>70</v>
      </c>
      <c r="L20" s="3092">
        <v>14500</v>
      </c>
      <c r="M20" s="3092">
        <f>SUM(N20:O20)</f>
        <v>1000</v>
      </c>
      <c r="N20" s="3092">
        <v>1000</v>
      </c>
      <c r="O20" s="3092" t="s">
        <v>70</v>
      </c>
      <c r="P20" s="3092" t="s">
        <v>3126</v>
      </c>
      <c r="Q20" s="3448"/>
    </row>
    <row r="21" spans="2:17" ht="14.25">
      <c r="B21" s="3167"/>
      <c r="C21" s="3167"/>
      <c r="D21" s="3167"/>
      <c r="E21" s="3170"/>
      <c r="F21" s="3167"/>
      <c r="G21" s="3056" t="s">
        <v>40</v>
      </c>
      <c r="H21" s="3057">
        <f>SUM(H5:H20)</f>
        <v>101912.04000000001</v>
      </c>
      <c r="I21" s="3057">
        <f>SUM(I5:I20)</f>
        <v>100002.04000000001</v>
      </c>
      <c r="J21" s="3057">
        <f t="shared" ref="I21:M21" si="2">SUM(J5:J20)</f>
        <v>57972.040000000008</v>
      </c>
      <c r="K21" s="3057">
        <f t="shared" si="2"/>
        <v>27530</v>
      </c>
      <c r="L21" s="3057">
        <f t="shared" si="2"/>
        <v>14500</v>
      </c>
      <c r="M21" s="3057">
        <f t="shared" si="2"/>
        <v>1910</v>
      </c>
      <c r="N21" s="3057">
        <f>SUM(N5:N20)</f>
        <v>1000</v>
      </c>
      <c r="O21" s="3057">
        <f>SUM(O5:O20)</f>
        <v>910</v>
      </c>
      <c r="P21" s="3057" t="s">
        <v>3127</v>
      </c>
      <c r="Q21" s="3449" t="s">
        <v>3127</v>
      </c>
    </row>
  </sheetData>
  <mergeCells count="20">
    <mergeCell ref="B5:B21"/>
    <mergeCell ref="C5:C21"/>
    <mergeCell ref="D5:D21"/>
    <mergeCell ref="E5:E21"/>
    <mergeCell ref="F5:F21"/>
    <mergeCell ref="Q2:Q4"/>
    <mergeCell ref="Q5:Q20"/>
    <mergeCell ref="H2:H4"/>
    <mergeCell ref="I2:L2"/>
    <mergeCell ref="M2:O2"/>
    <mergeCell ref="I3:I4"/>
    <mergeCell ref="K3:L3"/>
    <mergeCell ref="M3:M4"/>
    <mergeCell ref="N3:O3"/>
    <mergeCell ref="B2:B4"/>
    <mergeCell ref="C2:C4"/>
    <mergeCell ref="D2:D4"/>
    <mergeCell ref="E2:E4"/>
    <mergeCell ref="F2:F4"/>
    <mergeCell ref="G2:G4"/>
  </mergeCells>
  <phoneticPr fontId="1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16" t="s">
        <v>1627</v>
      </c>
      <c r="B1" s="3116"/>
      <c r="C1" s="3116"/>
      <c r="D1" s="3116"/>
    </row>
    <row r="2" spans="1:4" ht="18">
      <c r="A2" s="3117" t="s">
        <v>1611</v>
      </c>
      <c r="B2" s="3117"/>
      <c r="C2" s="3117"/>
      <c r="D2" s="3117"/>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117" t="s">
        <v>1617</v>
      </c>
      <c r="B6" s="3117"/>
      <c r="C6" s="3117"/>
      <c r="D6" s="3117"/>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18"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1621</v>
      </c>
      <c r="B16" s="3122"/>
      <c r="C16" s="3122"/>
      <c r="D16" s="3122"/>
    </row>
    <row r="17" spans="1:4" ht="144" customHeight="1">
      <c r="A17" s="3122" t="s">
        <v>1622</v>
      </c>
      <c r="B17" s="3122"/>
      <c r="C17" s="3122"/>
      <c r="D17" s="3122"/>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9"/>
      <c r="C20" s="3119"/>
      <c r="D20" s="3119"/>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3"/>
      <c r="C21" s="3123"/>
      <c r="D21" s="3123"/>
    </row>
    <row r="22" spans="1:4" ht="18.75" customHeight="1">
      <c r="A22" s="3124" t="s">
        <v>1623</v>
      </c>
      <c r="B22" s="3124"/>
      <c r="C22" s="3124"/>
      <c r="D22" s="3124"/>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30" t="s">
        <v>1634</v>
      </c>
      <c r="B15" s="3125" t="s">
        <v>136</v>
      </c>
      <c r="C15" s="3126"/>
    </row>
    <row r="16" spans="1:7" ht="13.5">
      <c r="A16" s="3131"/>
      <c r="B16" s="3125" t="s">
        <v>69</v>
      </c>
      <c r="C16" s="3126"/>
    </row>
    <row r="17" spans="1:3" ht="13.5">
      <c r="A17" s="3131"/>
      <c r="B17" s="3128" t="s">
        <v>1635</v>
      </c>
      <c r="C17" s="1711" t="s">
        <v>1634</v>
      </c>
    </row>
    <row r="18" spans="1:3" ht="13.5">
      <c r="A18" s="3131"/>
      <c r="B18" s="3128"/>
      <c r="C18" s="1711" t="s">
        <v>1636</v>
      </c>
    </row>
    <row r="19" spans="1:3" ht="13.5">
      <c r="A19" s="3131"/>
      <c r="B19" s="3128"/>
      <c r="C19" s="1711" t="s">
        <v>1637</v>
      </c>
    </row>
    <row r="20" spans="1:3" ht="13.5">
      <c r="A20" s="3132"/>
      <c r="B20" s="3127" t="s">
        <v>1638</v>
      </c>
      <c r="C20" s="3126"/>
    </row>
    <row r="21" spans="1:3" ht="13.5">
      <c r="A21" s="1712" t="s">
        <v>1639</v>
      </c>
      <c r="B21" s="1713"/>
      <c r="C21" s="1714"/>
    </row>
    <row r="22" spans="1:3" ht="13.5">
      <c r="A22" s="3129" t="s">
        <v>1640</v>
      </c>
      <c r="B22" s="3127" t="s">
        <v>1641</v>
      </c>
      <c r="C22" s="3126"/>
    </row>
    <row r="23" spans="1:3" ht="13.5">
      <c r="A23" s="3129"/>
      <c r="B23" s="3127" t="s">
        <v>1642</v>
      </c>
      <c r="C23" s="3126"/>
    </row>
    <row r="24" spans="1:3" ht="13.5">
      <c r="A24" s="3129"/>
      <c r="B24" s="3127" t="s">
        <v>1643</v>
      </c>
      <c r="C24" s="3126"/>
    </row>
    <row r="25" spans="1:3" ht="13.5">
      <c r="A25" s="3129"/>
      <c r="B25" s="3128" t="s">
        <v>1644</v>
      </c>
      <c r="C25" s="1711" t="s">
        <v>1645</v>
      </c>
    </row>
    <row r="26" spans="1:3" ht="13.5">
      <c r="A26" s="3129"/>
      <c r="B26" s="3128"/>
      <c r="C26" s="1711" t="s">
        <v>1646</v>
      </c>
    </row>
    <row r="27" spans="1:3" ht="13.5">
      <c r="A27" s="3129"/>
      <c r="B27" s="3128"/>
      <c r="C27" s="1711" t="s">
        <v>1647</v>
      </c>
    </row>
    <row r="28" spans="1:3" ht="13.5">
      <c r="A28" s="3129"/>
      <c r="B28" s="3128"/>
      <c r="C28" s="1711" t="s">
        <v>1648</v>
      </c>
    </row>
    <row r="29" spans="1:3" ht="13.5">
      <c r="A29" s="3129"/>
      <c r="B29" s="3128"/>
      <c r="C29" s="1711" t="s">
        <v>1649</v>
      </c>
    </row>
    <row r="30" spans="1:3" ht="13.5">
      <c r="A30" s="3129"/>
      <c r="B30" s="3128"/>
      <c r="C30" s="1711" t="s">
        <v>1650</v>
      </c>
    </row>
    <row r="31" spans="1:3" ht="13.5">
      <c r="A31" s="3129"/>
      <c r="B31" s="3128"/>
      <c r="C31" s="1711" t="s">
        <v>1651</v>
      </c>
    </row>
    <row r="32" spans="1:3" ht="13.5">
      <c r="A32" s="3129"/>
      <c r="B32" s="3128"/>
      <c r="C32" s="1711" t="s">
        <v>1652</v>
      </c>
    </row>
    <row r="33" spans="1:3" ht="13.5">
      <c r="A33" s="3129"/>
      <c r="B33" s="3128"/>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44189</v>
      </c>
      <c r="C2" s="2556" t="s">
        <v>2880</v>
      </c>
      <c r="D2" s="2556"/>
      <c r="E2" s="2556"/>
      <c r="F2" s="2552"/>
      <c r="G2" s="2552"/>
      <c r="H2" s="2552"/>
    </row>
    <row r="3" spans="1:8" ht="24" customHeight="1">
      <c r="A3" s="2557" t="s">
        <v>2881</v>
      </c>
      <c r="B3" s="2558" t="s">
        <v>2882</v>
      </c>
      <c r="C3" s="2558" t="s">
        <v>2883</v>
      </c>
      <c r="D3" s="2559" t="s">
        <v>2884</v>
      </c>
      <c r="E3" s="2560" t="s">
        <v>2885</v>
      </c>
      <c r="F3" s="1466" t="s">
        <v>2886</v>
      </c>
      <c r="G3" s="2558" t="s">
        <v>2883</v>
      </c>
      <c r="H3" s="2559" t="s">
        <v>2887</v>
      </c>
    </row>
    <row r="4" spans="1:8" ht="24" customHeight="1">
      <c r="A4" s="1466" t="s">
        <v>2888</v>
      </c>
      <c r="B4" s="1466">
        <f ca="1">IF(C4&lt;B2,"已过期",1119970066)</f>
        <v>1119970066</v>
      </c>
      <c r="C4" s="2561">
        <v>44876</v>
      </c>
      <c r="D4" s="2562" t="str">
        <f ca="1">A4&amp;"（注册号："&amp;B4&amp;"）"</f>
        <v>梁津（注册号：1119970066）</v>
      </c>
      <c r="E4" s="2563" t="s">
        <v>2888</v>
      </c>
      <c r="F4" s="1466">
        <f ca="1">IF(G4&lt;B2,"已过期",96010014)</f>
        <v>96010014</v>
      </c>
      <c r="G4" s="2564">
        <v>47118</v>
      </c>
      <c r="H4" s="2565" t="str">
        <f ca="1">E4&amp;"（注册号："&amp;F4&amp;"）"</f>
        <v>梁津（注册号：96010014）</v>
      </c>
    </row>
    <row r="5" spans="1:8" ht="24" customHeight="1">
      <c r="A5" s="1466" t="s">
        <v>2889</v>
      </c>
      <c r="B5" s="1466">
        <f ca="1">IF(C5&lt;B2,"已过期",1119970111)</f>
        <v>1119970111</v>
      </c>
      <c r="C5" s="2561">
        <v>44876</v>
      </c>
      <c r="D5" s="2562" t="str">
        <f t="shared" ref="D5:D15" ca="1" si="0">A5&amp;"（注册号："&amp;B5&amp;"）"</f>
        <v>叶凌（注册号：1119970111）</v>
      </c>
      <c r="E5" s="2563" t="s">
        <v>2889</v>
      </c>
      <c r="F5" s="1466">
        <f ca="1">IF(G5&lt;B2,"已过期",94010078)</f>
        <v>94010078</v>
      </c>
      <c r="G5" s="2564">
        <v>46387</v>
      </c>
      <c r="H5" s="2565" t="str">
        <f t="shared" ref="H5:H16" ca="1" si="1">E5&amp;"（注册号："&amp;F5&amp;"）"</f>
        <v>叶凌（注册号：94010078）</v>
      </c>
    </row>
    <row r="6" spans="1:8" ht="24" customHeight="1">
      <c r="A6" s="1466" t="s">
        <v>2890</v>
      </c>
      <c r="B6" s="1466">
        <f ca="1">IF(C6&lt;B2,"已过期",1120050019)</f>
        <v>1120050019</v>
      </c>
      <c r="C6" s="2561">
        <v>44395</v>
      </c>
      <c r="D6" s="2562" t="str">
        <f t="shared" ca="1" si="0"/>
        <v>王鹏（注册号：1120050019）</v>
      </c>
      <c r="E6" s="2563" t="s">
        <v>2890</v>
      </c>
      <c r="F6" s="1466">
        <f ca="1">IF(G6&lt;B2,"已过期",2002110030)</f>
        <v>2002110030</v>
      </c>
      <c r="G6" s="2564">
        <v>46387</v>
      </c>
      <c r="H6" s="2565" t="str">
        <f t="shared" ca="1" si="1"/>
        <v>王鹏（注册号：2002110030）</v>
      </c>
    </row>
    <row r="7" spans="1:8" ht="24" customHeight="1">
      <c r="A7" s="1466" t="s">
        <v>2891</v>
      </c>
      <c r="B7" s="1466">
        <f ca="1">IF(C7&lt;B2,"已过期",1120000080)</f>
        <v>1120000080</v>
      </c>
      <c r="C7" s="2561">
        <v>44876</v>
      </c>
      <c r="D7" s="2562" t="str">
        <f t="shared" ca="1" si="0"/>
        <v>欧红伟（注册号：1120000080）</v>
      </c>
      <c r="E7" s="2563" t="s">
        <v>2891</v>
      </c>
      <c r="F7" s="1466">
        <f ca="1">IF(G7&lt;B2,"已过期",2000110082)</f>
        <v>2000110082</v>
      </c>
      <c r="G7" s="2564">
        <v>46387</v>
      </c>
      <c r="H7" s="2565" t="str">
        <f t="shared" ca="1" si="1"/>
        <v>欧红伟（注册号：2000110082）</v>
      </c>
    </row>
    <row r="8" spans="1:8" ht="24" customHeight="1">
      <c r="A8" s="1466" t="s">
        <v>2892</v>
      </c>
      <c r="B8" s="1466">
        <f ca="1">IF(C8&lt;B2,"已过期",1419970001)</f>
        <v>1419970001</v>
      </c>
      <c r="C8" s="2561">
        <v>44899</v>
      </c>
      <c r="D8" s="2562" t="str">
        <f t="shared" ca="1" si="0"/>
        <v>吴薇（注册号：1419970001）</v>
      </c>
      <c r="E8" s="2563" t="s">
        <v>2892</v>
      </c>
      <c r="F8" s="1466">
        <f ca="1">IF(G8&lt;B2,"已过期",2002110125)</f>
        <v>2002110125</v>
      </c>
      <c r="G8" s="2564">
        <v>47118</v>
      </c>
      <c r="H8" s="2565" t="str">
        <f t="shared" ca="1" si="1"/>
        <v>吴薇（注册号：2002110125）</v>
      </c>
    </row>
    <row r="9" spans="1:8" ht="24" customHeight="1">
      <c r="A9" s="1466" t="s">
        <v>2893</v>
      </c>
      <c r="B9" s="1466">
        <f ca="1">IF(C9&lt;B2,"已过期",1120060040)</f>
        <v>1120060040</v>
      </c>
      <c r="C9" s="2566">
        <v>44554</v>
      </c>
      <c r="D9" s="2562" t="str">
        <f t="shared" ca="1" si="0"/>
        <v>陈颖（注册号：1120060040）</v>
      </c>
      <c r="E9" s="2563" t="s">
        <v>2893</v>
      </c>
      <c r="F9" s="1466">
        <f ca="1">IF(G9&lt;B2,"已过期",2004110096)</f>
        <v>2004110096</v>
      </c>
      <c r="G9" s="2564">
        <v>47118</v>
      </c>
      <c r="H9" s="2565" t="str">
        <f t="shared" ca="1" si="1"/>
        <v>陈颖（注册号：2004110096）</v>
      </c>
    </row>
    <row r="10" spans="1:8" ht="24" customHeight="1">
      <c r="A10" s="1466" t="s">
        <v>2894</v>
      </c>
      <c r="B10" s="1466">
        <f ca="1">IF(C10&lt;B2,"已过期",1120100036)</f>
        <v>1120100036</v>
      </c>
      <c r="C10" s="2566">
        <v>44675</v>
      </c>
      <c r="D10" s="2562" t="str">
        <f t="shared" ca="1" si="0"/>
        <v>崔锴（注册号：1120100036）</v>
      </c>
      <c r="E10" s="2563" t="s">
        <v>2894</v>
      </c>
      <c r="F10" s="1466">
        <f ca="1">IF(G10&lt;B2,"已过期",2010110070)</f>
        <v>2010110070</v>
      </c>
      <c r="G10" s="2564">
        <v>47907</v>
      </c>
      <c r="H10" s="2565" t="str">
        <f t="shared" ca="1" si="1"/>
        <v>崔锴（注册号：2010110070）</v>
      </c>
    </row>
    <row r="11" spans="1:8" ht="24" customHeight="1">
      <c r="A11" s="1466" t="s">
        <v>2895</v>
      </c>
      <c r="B11" s="1466">
        <f ca="1">IF(C11&lt;B2,"已过期",1120070131)</f>
        <v>1120070131</v>
      </c>
      <c r="C11" s="2561">
        <v>44849</v>
      </c>
      <c r="D11" s="2562" t="str">
        <f t="shared" ca="1" si="0"/>
        <v>郑燚（注册号：1120070131）</v>
      </c>
      <c r="E11" s="2563" t="s">
        <v>2895</v>
      </c>
      <c r="F11" s="1466">
        <f ca="1">IF(G11&lt;B2,"已过期",2014110011)</f>
        <v>2014110011</v>
      </c>
      <c r="G11" s="2564">
        <v>49302</v>
      </c>
      <c r="H11" s="2565" t="str">
        <f t="shared" ca="1" si="1"/>
        <v>郑燚（注册号：2014110011）</v>
      </c>
    </row>
    <row r="12" spans="1:8" ht="24" customHeight="1">
      <c r="A12" s="1466" t="s">
        <v>2896</v>
      </c>
      <c r="B12" s="1466">
        <f ca="1">IF(C12&lt;B2,"已过期",1120040230)</f>
        <v>1120040230</v>
      </c>
      <c r="C12" s="2566">
        <v>44864</v>
      </c>
      <c r="D12" s="2562" t="str">
        <f t="shared" ca="1" si="0"/>
        <v>苏海（注册号：1120040230）</v>
      </c>
      <c r="E12" s="2563" t="s">
        <v>2896</v>
      </c>
      <c r="F12" s="1466">
        <f ca="1">IF(G12&lt;B2,"已过期",98030020)</f>
        <v>98030020</v>
      </c>
      <c r="G12" s="2564">
        <v>47118</v>
      </c>
      <c r="H12" s="2565" t="str">
        <f t="shared" ca="1" si="1"/>
        <v>苏海（注册号：98030020）</v>
      </c>
    </row>
    <row r="13" spans="1:8" ht="24" customHeight="1">
      <c r="A13" s="1466" t="s">
        <v>2897</v>
      </c>
      <c r="B13" s="1466">
        <f ca="1">IF(C13&lt;B2,"已过期",1120020033)</f>
        <v>1120020033</v>
      </c>
      <c r="C13" s="2561">
        <v>44339</v>
      </c>
      <c r="D13" s="2562" t="str">
        <f t="shared" ca="1" si="0"/>
        <v>刘敬东（注册号：1120020033）</v>
      </c>
      <c r="E13" s="2563" t="s">
        <v>2897</v>
      </c>
      <c r="F13" s="1466">
        <f ca="1">IF(G13&lt;B2,"已过期",2000110137)</f>
        <v>2000110137</v>
      </c>
      <c r="G13" s="2564">
        <v>46387</v>
      </c>
      <c r="H13" s="2565" t="str">
        <f t="shared" ca="1" si="1"/>
        <v>刘敬东（注册号：2000110137）</v>
      </c>
    </row>
    <row r="14" spans="1:8" ht="24" customHeight="1">
      <c r="A14" s="1466" t="s">
        <v>2898</v>
      </c>
      <c r="B14" s="1466">
        <f ca="1">IF(C14&lt;B2,"已过期",1119980106)</f>
        <v>1119980106</v>
      </c>
      <c r="C14" s="2566">
        <v>44969</v>
      </c>
      <c r="D14" s="2562" t="str">
        <f t="shared" ca="1" si="0"/>
        <v>刘俊财（注册号：1119980106）</v>
      </c>
      <c r="E14" s="2563" t="s">
        <v>2898</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2899</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33" t="s">
        <v>2900</v>
      </c>
      <c r="B17" s="3133"/>
      <c r="C17" s="3133"/>
      <c r="D17" s="3133"/>
      <c r="E17" s="3133"/>
      <c r="F17" s="3133"/>
      <c r="G17" s="3133"/>
      <c r="H17" s="3133"/>
    </row>
    <row r="18" spans="1:8" ht="24" customHeight="1">
      <c r="A18" s="3134" t="s">
        <v>2901</v>
      </c>
      <c r="B18" s="3134"/>
      <c r="C18" s="3134"/>
      <c r="D18" s="2559"/>
      <c r="E18" s="3135" t="s">
        <v>2902</v>
      </c>
      <c r="F18" s="3134"/>
      <c r="G18" s="3134"/>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收益法-车库</vt:lpstr>
      <vt:lpstr>收益法-仓储</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'收益法-机械车位'!Print_Area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2020-12-24T03:27:34Z</dcterms:modified>
</cp:coreProperties>
</file>