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480" yWindow="210" windowWidth="12120" windowHeight="7620" tabRatio="875" firstSheet="8" activeTab="13"/>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Sheet1" sheetId="68"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 sheetId="15"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calcMode="manual"/>
</workbook>
</file>

<file path=xl/calcChain.xml><?xml version="1.0" encoding="utf-8"?>
<calcChain xmlns="http://schemas.openxmlformats.org/spreadsheetml/2006/main">
  <c r="D170" i="68"/>
  <c r="H169"/>
  <c r="F169"/>
  <c r="D169"/>
  <c r="H168"/>
  <c r="F168"/>
  <c r="D168"/>
  <c r="I149"/>
  <c r="I150"/>
  <c r="I151"/>
  <c r="I152"/>
  <c r="I153"/>
  <c r="I154"/>
  <c r="I155"/>
  <c r="I156"/>
  <c r="I157"/>
  <c r="I158"/>
  <c r="I159"/>
  <c r="I160"/>
  <c r="I161"/>
  <c r="I162"/>
  <c r="I163"/>
  <c r="I164"/>
  <c r="I165"/>
  <c r="I166"/>
  <c r="I167"/>
  <c r="I148"/>
  <c r="G149"/>
  <c r="G150"/>
  <c r="G151"/>
  <c r="G152"/>
  <c r="G153"/>
  <c r="G154"/>
  <c r="G155"/>
  <c r="G156"/>
  <c r="G157"/>
  <c r="G158"/>
  <c r="G159"/>
  <c r="G160"/>
  <c r="G161"/>
  <c r="G162"/>
  <c r="G163"/>
  <c r="G164"/>
  <c r="G165"/>
  <c r="G166"/>
  <c r="G167"/>
  <c r="G148"/>
  <c r="E149"/>
  <c r="E150"/>
  <c r="E151"/>
  <c r="E152"/>
  <c r="E153"/>
  <c r="E154"/>
  <c r="E155"/>
  <c r="E156"/>
  <c r="E157"/>
  <c r="E158"/>
  <c r="E159"/>
  <c r="E160"/>
  <c r="E161"/>
  <c r="E162"/>
  <c r="E163"/>
  <c r="E164"/>
  <c r="E165"/>
  <c r="E166"/>
  <c r="E167"/>
  <c r="E148"/>
  <c r="C162"/>
  <c r="C163"/>
  <c r="C164"/>
  <c r="C165"/>
  <c r="C166"/>
  <c r="C167"/>
  <c r="C161"/>
  <c r="C160"/>
  <c r="C158"/>
  <c r="J138"/>
  <c r="J137"/>
  <c r="J136"/>
  <c r="J135"/>
  <c r="J134"/>
  <c r="J133"/>
  <c r="J132"/>
  <c r="J131"/>
  <c r="J130"/>
  <c r="J129"/>
  <c r="I128"/>
  <c r="J128"/>
  <c r="I138"/>
  <c r="H138"/>
  <c r="I131"/>
  <c r="H137"/>
  <c r="H136"/>
  <c r="H135"/>
  <c r="H134"/>
  <c r="H133"/>
  <c r="H132"/>
  <c r="H131"/>
  <c r="H130"/>
  <c r="H129"/>
  <c r="G138"/>
  <c r="G131"/>
  <c r="G128"/>
  <c r="H128"/>
  <c r="J143"/>
  <c r="J142"/>
  <c r="J141"/>
  <c r="J140"/>
  <c r="J139"/>
  <c r="H143"/>
  <c r="H142"/>
  <c r="H141"/>
  <c r="H140"/>
  <c r="H139"/>
  <c r="F143"/>
  <c r="F142"/>
  <c r="F141"/>
  <c r="F140"/>
  <c r="F139"/>
  <c r="F138"/>
  <c r="F137"/>
  <c r="F136"/>
  <c r="F135"/>
  <c r="F134"/>
  <c r="F133"/>
  <c r="F132"/>
  <c r="F131"/>
  <c r="F130"/>
  <c r="F129"/>
  <c r="F128"/>
  <c r="K127"/>
  <c r="I127"/>
  <c r="G127"/>
  <c r="J127"/>
  <c r="H127"/>
  <c r="F127"/>
  <c r="J126"/>
  <c r="H126"/>
  <c r="F126"/>
  <c r="D143"/>
  <c r="D142"/>
  <c r="D141"/>
  <c r="D140"/>
  <c r="D139"/>
  <c r="D138"/>
  <c r="D137"/>
  <c r="D136"/>
  <c r="D135"/>
  <c r="D134"/>
  <c r="D133"/>
  <c r="D132"/>
  <c r="D131"/>
  <c r="D130"/>
  <c r="D129"/>
  <c r="D128"/>
  <c r="D127"/>
  <c r="D126"/>
  <c r="C143"/>
  <c r="C142"/>
  <c r="C141"/>
  <c r="C140"/>
  <c r="C139"/>
  <c r="C138"/>
  <c r="C137"/>
  <c r="C136"/>
  <c r="C135"/>
  <c r="C159" s="1"/>
  <c r="C133"/>
  <c r="C157" s="1"/>
  <c r="C132"/>
  <c r="C156" s="1"/>
  <c r="C131"/>
  <c r="C155" s="1"/>
  <c r="C130"/>
  <c r="C154" s="1"/>
  <c r="C129"/>
  <c r="C153" s="1"/>
  <c r="J124"/>
  <c r="H124"/>
  <c r="F124"/>
  <c r="D124"/>
  <c r="D117" l="1"/>
  <c r="H116"/>
  <c r="F116"/>
  <c r="D116"/>
  <c r="H115"/>
  <c r="F115"/>
  <c r="D115"/>
  <c r="I96"/>
  <c r="I97"/>
  <c r="I101"/>
  <c r="I102"/>
  <c r="I103"/>
  <c r="I104"/>
  <c r="I105"/>
  <c r="I106"/>
  <c r="I107"/>
  <c r="I110"/>
  <c r="I111"/>
  <c r="I113"/>
  <c r="I95"/>
  <c r="G96"/>
  <c r="G97"/>
  <c r="G101"/>
  <c r="G103"/>
  <c r="G104"/>
  <c r="G105"/>
  <c r="G107"/>
  <c r="G110"/>
  <c r="G111"/>
  <c r="G113"/>
  <c r="G95"/>
  <c r="E96"/>
  <c r="E97"/>
  <c r="E101"/>
  <c r="E103"/>
  <c r="E104"/>
  <c r="E105"/>
  <c r="E107"/>
  <c r="E110"/>
  <c r="E111"/>
  <c r="E113"/>
  <c r="E114"/>
  <c r="E95"/>
  <c r="C112"/>
  <c r="K90"/>
  <c r="I114" s="1"/>
  <c r="I90"/>
  <c r="G114" s="1"/>
  <c r="K88"/>
  <c r="I112" s="1"/>
  <c r="I88"/>
  <c r="G112" s="1"/>
  <c r="G88"/>
  <c r="E112" s="1"/>
  <c r="K85"/>
  <c r="I109" s="1"/>
  <c r="I85"/>
  <c r="G109" s="1"/>
  <c r="G85"/>
  <c r="E109" s="1"/>
  <c r="K84"/>
  <c r="I108" s="1"/>
  <c r="I84"/>
  <c r="G108" s="1"/>
  <c r="G84"/>
  <c r="E108" s="1"/>
  <c r="I82"/>
  <c r="G106" s="1"/>
  <c r="G82"/>
  <c r="E106" s="1"/>
  <c r="I78"/>
  <c r="G102" s="1"/>
  <c r="G78"/>
  <c r="E102" s="1"/>
  <c r="K76"/>
  <c r="I100" s="1"/>
  <c r="I76"/>
  <c r="G100" s="1"/>
  <c r="G76"/>
  <c r="E100" s="1"/>
  <c r="K75"/>
  <c r="I99" s="1"/>
  <c r="I75"/>
  <c r="G99" s="1"/>
  <c r="G75"/>
  <c r="E99" s="1"/>
  <c r="K74"/>
  <c r="I98" s="1"/>
  <c r="I74"/>
  <c r="G98" s="1"/>
  <c r="G74"/>
  <c r="E98" s="1"/>
  <c r="J90"/>
  <c r="H90"/>
  <c r="F90"/>
  <c r="J89"/>
  <c r="H89"/>
  <c r="F89"/>
  <c r="J88"/>
  <c r="H88"/>
  <c r="F88"/>
  <c r="J87"/>
  <c r="H87"/>
  <c r="F87"/>
  <c r="J86"/>
  <c r="H86"/>
  <c r="F86"/>
  <c r="J85"/>
  <c r="H85"/>
  <c r="F85"/>
  <c r="J84"/>
  <c r="H84"/>
  <c r="F84"/>
  <c r="J83"/>
  <c r="H83"/>
  <c r="F83"/>
  <c r="J82"/>
  <c r="H82"/>
  <c r="F82"/>
  <c r="J81"/>
  <c r="H81"/>
  <c r="F81"/>
  <c r="J80"/>
  <c r="H80"/>
  <c r="F80"/>
  <c r="J79"/>
  <c r="H79"/>
  <c r="F79"/>
  <c r="J78"/>
  <c r="H78"/>
  <c r="F78"/>
  <c r="J77"/>
  <c r="H77"/>
  <c r="F77"/>
  <c r="J76"/>
  <c r="H76"/>
  <c r="F76"/>
  <c r="J75"/>
  <c r="H75"/>
  <c r="F75"/>
  <c r="J74"/>
  <c r="H74"/>
  <c r="F74"/>
  <c r="J73"/>
  <c r="H73"/>
  <c r="F73"/>
  <c r="D90"/>
  <c r="D89"/>
  <c r="D88"/>
  <c r="D87"/>
  <c r="D86"/>
  <c r="D85"/>
  <c r="D84"/>
  <c r="D83"/>
  <c r="D82"/>
  <c r="D81"/>
  <c r="D80"/>
  <c r="D79"/>
  <c r="D78"/>
  <c r="D77"/>
  <c r="D76"/>
  <c r="D75"/>
  <c r="D74"/>
  <c r="D73"/>
  <c r="C90"/>
  <c r="C114" s="1"/>
  <c r="C89"/>
  <c r="C113" s="1"/>
  <c r="C87"/>
  <c r="C111" s="1"/>
  <c r="C86"/>
  <c r="C110" s="1"/>
  <c r="C85"/>
  <c r="C109" s="1"/>
  <c r="C84"/>
  <c r="C108" s="1"/>
  <c r="C83"/>
  <c r="C107" s="1"/>
  <c r="C82"/>
  <c r="C106" s="1"/>
  <c r="C81"/>
  <c r="C105" s="1"/>
  <c r="C80"/>
  <c r="C104" s="1"/>
  <c r="C79"/>
  <c r="C103" s="1"/>
  <c r="C78"/>
  <c r="C102" s="1"/>
  <c r="C77"/>
  <c r="C101" s="1"/>
  <c r="C76"/>
  <c r="C100" s="1"/>
  <c r="B72"/>
  <c r="B96" s="1"/>
  <c r="B125" s="1"/>
  <c r="B149" s="1"/>
  <c r="B73"/>
  <c r="B97" s="1"/>
  <c r="B126" s="1"/>
  <c r="B150" s="1"/>
  <c r="B74"/>
  <c r="B98" s="1"/>
  <c r="B127" s="1"/>
  <c r="B151" s="1"/>
  <c r="B75"/>
  <c r="B99" s="1"/>
  <c r="B128" s="1"/>
  <c r="B152" s="1"/>
  <c r="B71"/>
  <c r="B95" s="1"/>
  <c r="B124" s="1"/>
  <c r="B148" s="1"/>
  <c r="H62"/>
  <c r="F62"/>
  <c r="D62"/>
  <c r="H61"/>
  <c r="F61"/>
  <c r="D61"/>
  <c r="I44"/>
  <c r="I45"/>
  <c r="I48"/>
  <c r="I49"/>
  <c r="I50"/>
  <c r="I51"/>
  <c r="I52"/>
  <c r="I53"/>
  <c r="I54"/>
  <c r="I58"/>
  <c r="I43"/>
  <c r="G44"/>
  <c r="G45"/>
  <c r="G50"/>
  <c r="G51"/>
  <c r="G52"/>
  <c r="G54"/>
  <c r="G58"/>
  <c r="E44"/>
  <c r="E45"/>
  <c r="E50"/>
  <c r="E51"/>
  <c r="E52"/>
  <c r="E54"/>
  <c r="E58"/>
  <c r="B45"/>
  <c r="B46"/>
  <c r="B47"/>
  <c r="K36"/>
  <c r="I60" s="1"/>
  <c r="I36"/>
  <c r="G60" s="1"/>
  <c r="G36"/>
  <c r="E60" s="1"/>
  <c r="K35"/>
  <c r="I59" s="1"/>
  <c r="I35"/>
  <c r="G59" s="1"/>
  <c r="G35"/>
  <c r="E59" s="1"/>
  <c r="K33"/>
  <c r="I57" s="1"/>
  <c r="I33"/>
  <c r="G57" s="1"/>
  <c r="G33"/>
  <c r="E57" s="1"/>
  <c r="K32"/>
  <c r="I56" s="1"/>
  <c r="I32"/>
  <c r="G56" s="1"/>
  <c r="G32"/>
  <c r="E56" s="1"/>
  <c r="K31"/>
  <c r="I55" s="1"/>
  <c r="I31"/>
  <c r="G55" s="1"/>
  <c r="G31"/>
  <c r="E55" s="1"/>
  <c r="I29"/>
  <c r="G53" s="1"/>
  <c r="G29"/>
  <c r="E53" s="1"/>
  <c r="I25"/>
  <c r="G49" s="1"/>
  <c r="G25"/>
  <c r="E49" s="1"/>
  <c r="I24"/>
  <c r="G48" s="1"/>
  <c r="G24"/>
  <c r="E48" s="1"/>
  <c r="I19"/>
  <c r="G43" s="1"/>
  <c r="K23"/>
  <c r="I47" s="1"/>
  <c r="I23"/>
  <c r="G47" s="1"/>
  <c r="G23"/>
  <c r="E47" s="1"/>
  <c r="K22"/>
  <c r="I46" s="1"/>
  <c r="I22"/>
  <c r="G46" s="1"/>
  <c r="G22"/>
  <c r="E46" s="1"/>
  <c r="G19"/>
  <c r="E43" s="1"/>
  <c r="J36"/>
  <c r="J35"/>
  <c r="J33"/>
  <c r="J32"/>
  <c r="J31"/>
  <c r="J29"/>
  <c r="J28"/>
  <c r="J27"/>
  <c r="J26"/>
  <c r="J25"/>
  <c r="J24"/>
  <c r="J23"/>
  <c r="H36"/>
  <c r="H35"/>
  <c r="H33"/>
  <c r="H32"/>
  <c r="H31"/>
  <c r="H29"/>
  <c r="H28"/>
  <c r="H27"/>
  <c r="H26"/>
  <c r="H25"/>
  <c r="H24"/>
  <c r="H23"/>
  <c r="F32"/>
  <c r="F36"/>
  <c r="F35"/>
  <c r="J34"/>
  <c r="H34"/>
  <c r="F34"/>
  <c r="F33"/>
  <c r="F31"/>
  <c r="J30"/>
  <c r="H30"/>
  <c r="F30"/>
  <c r="F29"/>
  <c r="F28"/>
  <c r="F27"/>
  <c r="F26"/>
  <c r="F25"/>
  <c r="F24"/>
  <c r="F23"/>
  <c r="J22"/>
  <c r="H22"/>
  <c r="F22"/>
  <c r="J21"/>
  <c r="H21"/>
  <c r="F21"/>
  <c r="J20"/>
  <c r="H20"/>
  <c r="F20"/>
  <c r="D36"/>
  <c r="D35"/>
  <c r="D34"/>
  <c r="D33"/>
  <c r="D32"/>
  <c r="D31"/>
  <c r="D30"/>
  <c r="D29"/>
  <c r="D28"/>
  <c r="D27"/>
  <c r="D26"/>
  <c r="D25"/>
  <c r="D24"/>
  <c r="D23"/>
  <c r="D21"/>
  <c r="B20"/>
  <c r="B44" s="1"/>
  <c r="D20"/>
  <c r="C36"/>
  <c r="C60" s="1"/>
  <c r="C35"/>
  <c r="C59" s="1"/>
  <c r="C34"/>
  <c r="C58" s="1"/>
  <c r="C33"/>
  <c r="C57" s="1"/>
  <c r="C32"/>
  <c r="C56" s="1"/>
  <c r="C31"/>
  <c r="C55" s="1"/>
  <c r="C30"/>
  <c r="C54" s="1"/>
  <c r="C29"/>
  <c r="C53" s="1"/>
  <c r="C28"/>
  <c r="C52" s="1"/>
  <c r="C27"/>
  <c r="C51" s="1"/>
  <c r="C26"/>
  <c r="C50" s="1"/>
  <c r="C25"/>
  <c r="C49" s="1"/>
  <c r="C24"/>
  <c r="C48" s="1"/>
  <c r="B19"/>
  <c r="B43" s="1"/>
  <c r="C106" i="9"/>
  <c r="C15" i="66" l="1"/>
  <c r="B15"/>
  <c r="K23" i="33" l="1"/>
  <c r="K19"/>
  <c r="K17"/>
  <c r="K15"/>
  <c r="K23" i="21"/>
  <c r="K19"/>
  <c r="K17"/>
  <c r="K15"/>
  <c r="C40" i="39" l="1"/>
  <c r="C13"/>
  <c r="I20" i="33"/>
  <c r="G20"/>
  <c r="E20"/>
  <c r="I20" i="21"/>
  <c r="G20"/>
  <c r="E20"/>
  <c r="G16"/>
  <c r="E16"/>
  <c r="E47" i="33" l="1"/>
  <c r="I47"/>
  <c r="G47"/>
  <c r="C33"/>
  <c r="C24"/>
  <c r="C22"/>
  <c r="C20"/>
  <c r="C18"/>
  <c r="C16"/>
  <c r="K11"/>
  <c r="C11"/>
  <c r="B44" i="21"/>
  <c r="C24"/>
  <c r="C22"/>
  <c r="C20"/>
  <c r="C18"/>
  <c r="C16"/>
  <c r="F20" i="6"/>
  <c r="F19"/>
  <c r="AL13" i="3"/>
  <c r="M13"/>
  <c r="G21" i="6" s="1"/>
  <c r="D73" i="39"/>
  <c r="E73" s="1"/>
  <c r="F73" s="1"/>
  <c r="G73" s="1"/>
  <c r="H73" s="1"/>
  <c r="I73" s="1"/>
  <c r="D10" i="68"/>
  <c r="C12" i="39"/>
  <c r="D22" i="68" s="1"/>
  <c r="B27" i="1"/>
  <c r="B28" s="1"/>
  <c r="C3" i="65" l="1"/>
  <c r="R524" i="31"/>
  <c r="S524" s="1"/>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S29"/>
  <c r="R29"/>
  <c r="Q29"/>
  <c r="O29"/>
  <c r="M29"/>
  <c r="K29"/>
  <c r="I29"/>
  <c r="G29"/>
  <c r="E29"/>
  <c r="C29"/>
  <c r="S28"/>
  <c r="R28"/>
  <c r="Q28"/>
  <c r="O28"/>
  <c r="M28"/>
  <c r="K28"/>
  <c r="I28"/>
  <c r="G28"/>
  <c r="E28"/>
  <c r="C28"/>
  <c r="S27"/>
  <c r="R27"/>
  <c r="Q27"/>
  <c r="O27"/>
  <c r="M27"/>
  <c r="K27"/>
  <c r="I27"/>
  <c r="G27"/>
  <c r="E27"/>
  <c r="C27"/>
  <c r="S26"/>
  <c r="R26"/>
  <c r="Q26"/>
  <c r="O26"/>
  <c r="M26"/>
  <c r="K26"/>
  <c r="I26"/>
  <c r="G26"/>
  <c r="E26"/>
  <c r="C26"/>
  <c r="S25"/>
  <c r="R25"/>
  <c r="Q25"/>
  <c r="O25"/>
  <c r="M25"/>
  <c r="K25"/>
  <c r="I25"/>
  <c r="G25"/>
  <c r="E25"/>
  <c r="C25"/>
  <c r="S24"/>
  <c r="P23"/>
  <c r="N23"/>
  <c r="L23"/>
  <c r="J23"/>
  <c r="H23"/>
  <c r="F23"/>
  <c r="D23"/>
  <c r="S22"/>
  <c r="R22" s="1"/>
  <c r="B21" s="1"/>
  <c r="B22"/>
  <c r="B20"/>
  <c r="D12"/>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S2"/>
  <c r="R2"/>
  <c r="Q2"/>
  <c r="P2"/>
  <c r="O2"/>
  <c r="N2"/>
  <c r="M2"/>
  <c r="L2"/>
  <c r="K2"/>
  <c r="J2"/>
  <c r="I2"/>
  <c r="H2"/>
  <c r="G2"/>
  <c r="F2"/>
  <c r="E2"/>
  <c r="D2"/>
  <c r="C2"/>
  <c r="B95" i="36"/>
  <c r="B93"/>
  <c r="B91"/>
  <c r="H32" s="1"/>
  <c r="M86"/>
  <c r="L86"/>
  <c r="K86"/>
  <c r="J86"/>
  <c r="I86"/>
  <c r="H86"/>
  <c r="G86"/>
  <c r="F86"/>
  <c r="E86"/>
  <c r="D86"/>
  <c r="C86"/>
  <c r="E85"/>
  <c r="F85" s="1"/>
  <c r="G85" s="1"/>
  <c r="H85" s="1"/>
  <c r="I85" s="1"/>
  <c r="J85" s="1"/>
  <c r="K85" s="1"/>
  <c r="L85" s="1"/>
  <c r="M85" s="1"/>
  <c r="D85"/>
  <c r="E83"/>
  <c r="F83" s="1"/>
  <c r="G83" s="1"/>
  <c r="H83" s="1"/>
  <c r="I83" s="1"/>
  <c r="J83" s="1"/>
  <c r="K83" s="1"/>
  <c r="L83" s="1"/>
  <c r="M83" s="1"/>
  <c r="D83"/>
  <c r="E81"/>
  <c r="F81" s="1"/>
  <c r="G81" s="1"/>
  <c r="H81" s="1"/>
  <c r="I81" s="1"/>
  <c r="J81" s="1"/>
  <c r="K81" s="1"/>
  <c r="L81" s="1"/>
  <c r="M81" s="1"/>
  <c r="D81"/>
  <c r="G79"/>
  <c r="F79"/>
  <c r="E79"/>
  <c r="D79"/>
  <c r="C79"/>
  <c r="F78"/>
  <c r="G78" s="1"/>
  <c r="H78" s="1"/>
  <c r="I78" s="1"/>
  <c r="J78" s="1"/>
  <c r="K78" s="1"/>
  <c r="L78" s="1"/>
  <c r="M78" s="1"/>
  <c r="D78"/>
  <c r="E78" s="1"/>
  <c r="B75"/>
  <c r="B73"/>
  <c r="B71"/>
  <c r="D70"/>
  <c r="F68"/>
  <c r="G68" s="1"/>
  <c r="D68"/>
  <c r="E68" s="1"/>
  <c r="F66"/>
  <c r="G66" s="1"/>
  <c r="D66"/>
  <c r="E66" s="1"/>
  <c r="F64"/>
  <c r="G64" s="1"/>
  <c r="D64"/>
  <c r="E64" s="1"/>
  <c r="F62"/>
  <c r="G62" s="1"/>
  <c r="D62"/>
  <c r="E62" s="1"/>
  <c r="B59"/>
  <c r="B57"/>
  <c r="B55"/>
  <c r="G54"/>
  <c r="H54" s="1"/>
  <c r="I54" s="1"/>
  <c r="F54"/>
  <c r="C51"/>
  <c r="H9" s="1"/>
  <c r="I42"/>
  <c r="J42" s="1"/>
  <c r="G42"/>
  <c r="H42" s="1"/>
  <c r="E42"/>
  <c r="F42" s="1"/>
  <c r="P37"/>
  <c r="P36"/>
  <c r="V35"/>
  <c r="T35"/>
  <c r="R35"/>
  <c r="P35"/>
  <c r="Q34"/>
  <c r="Z34" s="1"/>
  <c r="H34"/>
  <c r="AB34" s="1"/>
  <c r="Q33"/>
  <c r="Z33" s="1"/>
  <c r="J33"/>
  <c r="AC33" s="1"/>
  <c r="H33"/>
  <c r="AB33" s="1"/>
  <c r="F33"/>
  <c r="AA33" s="1"/>
  <c r="Q32"/>
  <c r="Z32" s="1"/>
  <c r="AC31"/>
  <c r="W31"/>
  <c r="Q31"/>
  <c r="Z31" s="1"/>
  <c r="J31"/>
  <c r="H31"/>
  <c r="AB31" s="1"/>
  <c r="F31"/>
  <c r="AA31" s="1"/>
  <c r="AB30"/>
  <c r="U30"/>
  <c r="Q30"/>
  <c r="Z30" s="1"/>
  <c r="J30"/>
  <c r="AC30" s="1"/>
  <c r="H30"/>
  <c r="F30"/>
  <c r="AA30" s="1"/>
  <c r="Q29"/>
  <c r="Z29" s="1"/>
  <c r="J29"/>
  <c r="AC29" s="1"/>
  <c r="H29"/>
  <c r="AB29" s="1"/>
  <c r="F29"/>
  <c r="AA29" s="1"/>
  <c r="Q28"/>
  <c r="Z28" s="1"/>
  <c r="J28"/>
  <c r="AC28" s="1"/>
  <c r="H28"/>
  <c r="AB28" s="1"/>
  <c r="F28"/>
  <c r="AA28" s="1"/>
  <c r="AC27"/>
  <c r="W27"/>
  <c r="Q27"/>
  <c r="Z27" s="1"/>
  <c r="J27"/>
  <c r="H27"/>
  <c r="AB27" s="1"/>
  <c r="F27"/>
  <c r="AA27" s="1"/>
  <c r="AB26"/>
  <c r="U26"/>
  <c r="Q26"/>
  <c r="Z26" s="1"/>
  <c r="J26"/>
  <c r="AC26" s="1"/>
  <c r="H26"/>
  <c r="F26"/>
  <c r="AA26" s="1"/>
  <c r="Q25"/>
  <c r="Z25" s="1"/>
  <c r="J25"/>
  <c r="AC25" s="1"/>
  <c r="H25"/>
  <c r="AB25" s="1"/>
  <c r="F25"/>
  <c r="AA25" s="1"/>
  <c r="Q24"/>
  <c r="Z24" s="1"/>
  <c r="H24"/>
  <c r="AB24" s="1"/>
  <c r="AC23"/>
  <c r="W23"/>
  <c r="Q23"/>
  <c r="Z23" s="1"/>
  <c r="J23"/>
  <c r="H23"/>
  <c r="AB23" s="1"/>
  <c r="F23"/>
  <c r="AA23" s="1"/>
  <c r="AB22"/>
  <c r="U22"/>
  <c r="Q22"/>
  <c r="Z22" s="1"/>
  <c r="J22"/>
  <c r="AC22" s="1"/>
  <c r="H22"/>
  <c r="F22"/>
  <c r="AA22" s="1"/>
  <c r="Q20"/>
  <c r="Z20" s="1"/>
  <c r="J20"/>
  <c r="AC20" s="1"/>
  <c r="H20"/>
  <c r="AB20" s="1"/>
  <c r="F20"/>
  <c r="AA20" s="1"/>
  <c r="C20"/>
  <c r="AC18"/>
  <c r="W18"/>
  <c r="Q18"/>
  <c r="Z18" s="1"/>
  <c r="J18"/>
  <c r="H18"/>
  <c r="AB18" s="1"/>
  <c r="F18"/>
  <c r="AA18" s="1"/>
  <c r="C18"/>
  <c r="Q16"/>
  <c r="Z16" s="1"/>
  <c r="J16"/>
  <c r="AC16" s="1"/>
  <c r="H16"/>
  <c r="AB16" s="1"/>
  <c r="F16"/>
  <c r="AA16" s="1"/>
  <c r="C16"/>
  <c r="AC14"/>
  <c r="W14"/>
  <c r="Q14"/>
  <c r="Z14" s="1"/>
  <c r="J14"/>
  <c r="H14"/>
  <c r="AB14" s="1"/>
  <c r="F14"/>
  <c r="AA14" s="1"/>
  <c r="C14"/>
  <c r="Q13"/>
  <c r="Z13" s="1"/>
  <c r="J13"/>
  <c r="AC13" s="1"/>
  <c r="H13"/>
  <c r="AB13" s="1"/>
  <c r="F13"/>
  <c r="AA13" s="1"/>
  <c r="Q12"/>
  <c r="Z12" s="1"/>
  <c r="H12"/>
  <c r="AB12" s="1"/>
  <c r="AC11"/>
  <c r="W11"/>
  <c r="Q11"/>
  <c r="Z11" s="1"/>
  <c r="J11"/>
  <c r="H11"/>
  <c r="AB11" s="1"/>
  <c r="F11"/>
  <c r="AA11" s="1"/>
  <c r="AB10"/>
  <c r="U10"/>
  <c r="Q10"/>
  <c r="Z10" s="1"/>
  <c r="J10"/>
  <c r="AC10" s="1"/>
  <c r="H10"/>
  <c r="F10"/>
  <c r="AA10" s="1"/>
  <c r="Q9"/>
  <c r="Z9" s="1"/>
  <c r="J9"/>
  <c r="AC9" s="1"/>
  <c r="W8"/>
  <c r="S8"/>
  <c r="J8"/>
  <c r="AC8" s="1"/>
  <c r="H8"/>
  <c r="U8" s="1"/>
  <c r="F8"/>
  <c r="AA8" s="1"/>
  <c r="D3"/>
  <c r="B101" i="35"/>
  <c r="B99"/>
  <c r="B97"/>
  <c r="G96"/>
  <c r="E96"/>
  <c r="F96" s="1"/>
  <c r="D96"/>
  <c r="G94"/>
  <c r="H94" s="1"/>
  <c r="I94" s="1"/>
  <c r="J94" s="1"/>
  <c r="K94" s="1"/>
  <c r="L94" s="1"/>
  <c r="M94" s="1"/>
  <c r="E94"/>
  <c r="F94" s="1"/>
  <c r="D94"/>
  <c r="M90"/>
  <c r="L90"/>
  <c r="K90"/>
  <c r="J90"/>
  <c r="I90"/>
  <c r="H90"/>
  <c r="G90"/>
  <c r="F90"/>
  <c r="E90"/>
  <c r="D90"/>
  <c r="C90"/>
  <c r="D89"/>
  <c r="E89" s="1"/>
  <c r="F89" s="1"/>
  <c r="G89" s="1"/>
  <c r="H89" s="1"/>
  <c r="I89" s="1"/>
  <c r="J89" s="1"/>
  <c r="K89" s="1"/>
  <c r="L89" s="1"/>
  <c r="M89" s="1"/>
  <c r="F87"/>
  <c r="G87" s="1"/>
  <c r="H87" s="1"/>
  <c r="I87" s="1"/>
  <c r="J87" s="1"/>
  <c r="K87" s="1"/>
  <c r="L87" s="1"/>
  <c r="M87" s="1"/>
  <c r="D87"/>
  <c r="E87" s="1"/>
  <c r="G85"/>
  <c r="F85"/>
  <c r="E85"/>
  <c r="D85"/>
  <c r="C85"/>
  <c r="G84"/>
  <c r="H84" s="1"/>
  <c r="I84" s="1"/>
  <c r="J84" s="1"/>
  <c r="K84" s="1"/>
  <c r="L84" s="1"/>
  <c r="M84" s="1"/>
  <c r="E84"/>
  <c r="F84" s="1"/>
  <c r="D84"/>
  <c r="G80"/>
  <c r="H80" s="1"/>
  <c r="I80" s="1"/>
  <c r="J80" s="1"/>
  <c r="K80" s="1"/>
  <c r="L80" s="1"/>
  <c r="M80" s="1"/>
  <c r="E80"/>
  <c r="F80" s="1"/>
  <c r="D80"/>
  <c r="C79"/>
  <c r="B77"/>
  <c r="B75"/>
  <c r="B73"/>
  <c r="E72"/>
  <c r="F72" s="1"/>
  <c r="G72" s="1"/>
  <c r="D72"/>
  <c r="G70"/>
  <c r="E70"/>
  <c r="F70" s="1"/>
  <c r="D70"/>
  <c r="E68"/>
  <c r="F68" s="1"/>
  <c r="G68" s="1"/>
  <c r="D68"/>
  <c r="G66"/>
  <c r="E66"/>
  <c r="F66" s="1"/>
  <c r="D66"/>
  <c r="E64"/>
  <c r="F64" s="1"/>
  <c r="G64" s="1"/>
  <c r="D64"/>
  <c r="B61"/>
  <c r="H13" s="1"/>
  <c r="B59"/>
  <c r="B57"/>
  <c r="H11" s="1"/>
  <c r="F56"/>
  <c r="G56" s="1"/>
  <c r="H56" s="1"/>
  <c r="I56" s="1"/>
  <c r="C53"/>
  <c r="J44"/>
  <c r="I44"/>
  <c r="H44"/>
  <c r="G44"/>
  <c r="F44"/>
  <c r="E44"/>
  <c r="P39"/>
  <c r="P38"/>
  <c r="V37"/>
  <c r="T37"/>
  <c r="R37"/>
  <c r="P37"/>
  <c r="AC36"/>
  <c r="W36"/>
  <c r="Q36"/>
  <c r="Z36" s="1"/>
  <c r="J36"/>
  <c r="H36"/>
  <c r="AB36" s="1"/>
  <c r="F36"/>
  <c r="AA36" s="1"/>
  <c r="Q35"/>
  <c r="Z35" s="1"/>
  <c r="H35"/>
  <c r="AB35" s="1"/>
  <c r="Q34"/>
  <c r="Z34" s="1"/>
  <c r="J34"/>
  <c r="AC34" s="1"/>
  <c r="H34"/>
  <c r="AB34" s="1"/>
  <c r="F34"/>
  <c r="AA34" s="1"/>
  <c r="Q33"/>
  <c r="Z33" s="1"/>
  <c r="J33"/>
  <c r="AC33" s="1"/>
  <c r="H33"/>
  <c r="AB33" s="1"/>
  <c r="F33"/>
  <c r="AA33" s="1"/>
  <c r="AC32"/>
  <c r="W32"/>
  <c r="Q32"/>
  <c r="Z32" s="1"/>
  <c r="J32"/>
  <c r="H32"/>
  <c r="AB32" s="1"/>
  <c r="F32"/>
  <c r="AA32" s="1"/>
  <c r="AB31"/>
  <c r="U31"/>
  <c r="Q31"/>
  <c r="Z31" s="1"/>
  <c r="J31"/>
  <c r="AC31" s="1"/>
  <c r="H31"/>
  <c r="F31"/>
  <c r="AA31" s="1"/>
  <c r="Q30"/>
  <c r="Z30" s="1"/>
  <c r="J30"/>
  <c r="AC30" s="1"/>
  <c r="H30"/>
  <c r="AB30" s="1"/>
  <c r="F30"/>
  <c r="Z29"/>
  <c r="Q29"/>
  <c r="J29"/>
  <c r="AC29" s="1"/>
  <c r="H29"/>
  <c r="F29"/>
  <c r="AA29" s="1"/>
  <c r="AC28"/>
  <c r="W28"/>
  <c r="Q28"/>
  <c r="Z28" s="1"/>
  <c r="J28"/>
  <c r="H28"/>
  <c r="AB28" s="1"/>
  <c r="F28"/>
  <c r="AA28" s="1"/>
  <c r="AB27"/>
  <c r="U27"/>
  <c r="Q27"/>
  <c r="Z27" s="1"/>
  <c r="J27"/>
  <c r="AC27" s="1"/>
  <c r="H27"/>
  <c r="F27"/>
  <c r="AA27" s="1"/>
  <c r="AA26"/>
  <c r="S26"/>
  <c r="Q26"/>
  <c r="Z26" s="1"/>
  <c r="J26"/>
  <c r="F26"/>
  <c r="C26"/>
  <c r="H26" s="1"/>
  <c r="Q25"/>
  <c r="Z25" s="1"/>
  <c r="J25"/>
  <c r="H25"/>
  <c r="AB25" s="1"/>
  <c r="F25"/>
  <c r="S25" s="1"/>
  <c r="Q24"/>
  <c r="Z24" s="1"/>
  <c r="H24"/>
  <c r="AB24" s="1"/>
  <c r="AC23"/>
  <c r="W23"/>
  <c r="Q23"/>
  <c r="Z23" s="1"/>
  <c r="J23"/>
  <c r="H23"/>
  <c r="AB23" s="1"/>
  <c r="F23"/>
  <c r="AA23" s="1"/>
  <c r="AB22"/>
  <c r="U22"/>
  <c r="Q22"/>
  <c r="Z22" s="1"/>
  <c r="J22"/>
  <c r="AC22" s="1"/>
  <c r="H22"/>
  <c r="F22"/>
  <c r="AA22" s="1"/>
  <c r="Q20"/>
  <c r="Z20" s="1"/>
  <c r="J20"/>
  <c r="H20"/>
  <c r="AB20" s="1"/>
  <c r="F20"/>
  <c r="AA20" s="1"/>
  <c r="C20"/>
  <c r="AC18"/>
  <c r="W18"/>
  <c r="Q18"/>
  <c r="Z18" s="1"/>
  <c r="J18"/>
  <c r="H18"/>
  <c r="AB18" s="1"/>
  <c r="F18"/>
  <c r="AA18" s="1"/>
  <c r="C18"/>
  <c r="Q16"/>
  <c r="Z16" s="1"/>
  <c r="J16"/>
  <c r="H16"/>
  <c r="AB16" s="1"/>
  <c r="F16"/>
  <c r="AA16" s="1"/>
  <c r="C16"/>
  <c r="AC14"/>
  <c r="W14"/>
  <c r="Q14"/>
  <c r="Z14" s="1"/>
  <c r="J14"/>
  <c r="H14"/>
  <c r="AB14" s="1"/>
  <c r="F14"/>
  <c r="AA14" s="1"/>
  <c r="C14"/>
  <c r="Q13"/>
  <c r="Z13" s="1"/>
  <c r="J13"/>
  <c r="AB12"/>
  <c r="U12"/>
  <c r="Q12"/>
  <c r="Z12" s="1"/>
  <c r="J12"/>
  <c r="AC12" s="1"/>
  <c r="H12"/>
  <c r="F12"/>
  <c r="AA12" s="1"/>
  <c r="Q11"/>
  <c r="Z11" s="1"/>
  <c r="J11"/>
  <c r="AB10"/>
  <c r="U10"/>
  <c r="Q10"/>
  <c r="Z10" s="1"/>
  <c r="J10"/>
  <c r="AC10" s="1"/>
  <c r="H10"/>
  <c r="F10"/>
  <c r="AA10" s="1"/>
  <c r="Q9"/>
  <c r="Z9" s="1"/>
  <c r="J9"/>
  <c r="H9"/>
  <c r="AB9" s="1"/>
  <c r="F9"/>
  <c r="AA9" s="1"/>
  <c r="W8"/>
  <c r="S8"/>
  <c r="J8"/>
  <c r="AC8" s="1"/>
  <c r="H8"/>
  <c r="U8" s="1"/>
  <c r="F8"/>
  <c r="AA8" s="1"/>
  <c r="D3"/>
  <c r="B112" i="37"/>
  <c r="B110"/>
  <c r="H39" s="1"/>
  <c r="B108"/>
  <c r="K107"/>
  <c r="L107" s="1"/>
  <c r="M107" s="1"/>
  <c r="G107"/>
  <c r="H107" s="1"/>
  <c r="I107" s="1"/>
  <c r="J107" s="1"/>
  <c r="E107"/>
  <c r="F107" s="1"/>
  <c r="D107"/>
  <c r="E105"/>
  <c r="F105" s="1"/>
  <c r="G105" s="1"/>
  <c r="D105"/>
  <c r="E103"/>
  <c r="F103" s="1"/>
  <c r="G103" s="1"/>
  <c r="H103" s="1"/>
  <c r="I103" s="1"/>
  <c r="J103" s="1"/>
  <c r="K103" s="1"/>
  <c r="L103" s="1"/>
  <c r="M103" s="1"/>
  <c r="D103"/>
  <c r="E101"/>
  <c r="F101" s="1"/>
  <c r="G101" s="1"/>
  <c r="H101" s="1"/>
  <c r="I101" s="1"/>
  <c r="J101" s="1"/>
  <c r="K101" s="1"/>
  <c r="L101" s="1"/>
  <c r="M101" s="1"/>
  <c r="D101"/>
  <c r="E99"/>
  <c r="F99" s="1"/>
  <c r="G99" s="1"/>
  <c r="H99" s="1"/>
  <c r="I99" s="1"/>
  <c r="J99" s="1"/>
  <c r="K99" s="1"/>
  <c r="L99" s="1"/>
  <c r="M99" s="1"/>
  <c r="D99"/>
  <c r="G97"/>
  <c r="F97"/>
  <c r="E97"/>
  <c r="D97"/>
  <c r="C97"/>
  <c r="F96"/>
  <c r="G96" s="1"/>
  <c r="H96" s="1"/>
  <c r="I96" s="1"/>
  <c r="J96" s="1"/>
  <c r="K96" s="1"/>
  <c r="L96" s="1"/>
  <c r="M96" s="1"/>
  <c r="D96"/>
  <c r="E96" s="1"/>
  <c r="D94"/>
  <c r="E94" s="1"/>
  <c r="F94" s="1"/>
  <c r="G94" s="1"/>
  <c r="H94" s="1"/>
  <c r="I94" s="1"/>
  <c r="J94" s="1"/>
  <c r="K94" s="1"/>
  <c r="L94" s="1"/>
  <c r="M94" s="1"/>
  <c r="M90"/>
  <c r="L90"/>
  <c r="K90"/>
  <c r="J90"/>
  <c r="I90"/>
  <c r="H90"/>
  <c r="G90"/>
  <c r="F90"/>
  <c r="E90"/>
  <c r="D90"/>
  <c r="C90"/>
  <c r="E89"/>
  <c r="F89" s="1"/>
  <c r="G89" s="1"/>
  <c r="H89" s="1"/>
  <c r="I89" s="1"/>
  <c r="J89" s="1"/>
  <c r="K89" s="1"/>
  <c r="L89" s="1"/>
  <c r="M89" s="1"/>
  <c r="D89"/>
  <c r="B86"/>
  <c r="B84"/>
  <c r="B82"/>
  <c r="B80"/>
  <c r="G79"/>
  <c r="E79"/>
  <c r="F79" s="1"/>
  <c r="D79"/>
  <c r="E77"/>
  <c r="F77" s="1"/>
  <c r="G77" s="1"/>
  <c r="D77"/>
  <c r="G75"/>
  <c r="E75"/>
  <c r="F75" s="1"/>
  <c r="D75"/>
  <c r="E73"/>
  <c r="F73" s="1"/>
  <c r="G73" s="1"/>
  <c r="D73"/>
  <c r="G71"/>
  <c r="E71"/>
  <c r="F71" s="1"/>
  <c r="D71"/>
  <c r="B68"/>
  <c r="B66"/>
  <c r="B64"/>
  <c r="D63"/>
  <c r="E63" s="1"/>
  <c r="F63" s="1"/>
  <c r="G63" s="1"/>
  <c r="H63" s="1"/>
  <c r="I63" s="1"/>
  <c r="J63" s="1"/>
  <c r="K63" s="1"/>
  <c r="L63" s="1"/>
  <c r="M63" s="1"/>
  <c r="M61"/>
  <c r="L61"/>
  <c r="K61"/>
  <c r="J61"/>
  <c r="I61"/>
  <c r="H61"/>
  <c r="G61"/>
  <c r="F61"/>
  <c r="E61"/>
  <c r="D61"/>
  <c r="C61"/>
  <c r="I60"/>
  <c r="G60"/>
  <c r="H60" s="1"/>
  <c r="F60"/>
  <c r="C57"/>
  <c r="H9" s="1"/>
  <c r="I48"/>
  <c r="J48" s="1"/>
  <c r="G48"/>
  <c r="H48" s="1"/>
  <c r="E48"/>
  <c r="F48" s="1"/>
  <c r="P43"/>
  <c r="P42"/>
  <c r="V41"/>
  <c r="T41"/>
  <c r="R41"/>
  <c r="P41"/>
  <c r="Q40"/>
  <c r="Z40" s="1"/>
  <c r="J40"/>
  <c r="AC40" s="1"/>
  <c r="H40"/>
  <c r="F40"/>
  <c r="AA40" s="1"/>
  <c r="AC39"/>
  <c r="W39"/>
  <c r="Q39"/>
  <c r="Z39" s="1"/>
  <c r="J39"/>
  <c r="F39"/>
  <c r="Q38"/>
  <c r="Z38" s="1"/>
  <c r="J38"/>
  <c r="AC38" s="1"/>
  <c r="H38"/>
  <c r="F38"/>
  <c r="AA38" s="1"/>
  <c r="AC37"/>
  <c r="W37"/>
  <c r="Q37"/>
  <c r="Z37" s="1"/>
  <c r="J37"/>
  <c r="H37"/>
  <c r="AB37" s="1"/>
  <c r="F37"/>
  <c r="AA37" s="1"/>
  <c r="AB36"/>
  <c r="U36"/>
  <c r="Q36"/>
  <c r="Z36" s="1"/>
  <c r="J36"/>
  <c r="AC36" s="1"/>
  <c r="H36"/>
  <c r="F36"/>
  <c r="AA36" s="1"/>
  <c r="AA35"/>
  <c r="Q35"/>
  <c r="Z35" s="1"/>
  <c r="J35"/>
  <c r="H35"/>
  <c r="AB35" s="1"/>
  <c r="F35"/>
  <c r="S35" s="1"/>
  <c r="Z34"/>
  <c r="Q34"/>
  <c r="J34"/>
  <c r="AC34" s="1"/>
  <c r="H34"/>
  <c r="F34"/>
  <c r="AA34" s="1"/>
  <c r="AC33"/>
  <c r="W33"/>
  <c r="Q33"/>
  <c r="Z33" s="1"/>
  <c r="J33"/>
  <c r="H33"/>
  <c r="AB33" s="1"/>
  <c r="F33"/>
  <c r="AA33" s="1"/>
  <c r="AB32"/>
  <c r="U32"/>
  <c r="Q32"/>
  <c r="Z32" s="1"/>
  <c r="J32"/>
  <c r="AC32" s="1"/>
  <c r="H32"/>
  <c r="F32"/>
  <c r="AA32" s="1"/>
  <c r="Q31"/>
  <c r="Z31" s="1"/>
  <c r="J31"/>
  <c r="H31"/>
  <c r="AB31" s="1"/>
  <c r="F31"/>
  <c r="AA31" s="1"/>
  <c r="Q30"/>
  <c r="Z30" s="1"/>
  <c r="J30"/>
  <c r="AC30" s="1"/>
  <c r="H30"/>
  <c r="F30"/>
  <c r="AA30" s="1"/>
  <c r="AC29"/>
  <c r="W29"/>
  <c r="Q29"/>
  <c r="Z29" s="1"/>
  <c r="J29"/>
  <c r="H29"/>
  <c r="AB29" s="1"/>
  <c r="F29"/>
  <c r="AA29" s="1"/>
  <c r="Q28"/>
  <c r="Z28" s="1"/>
  <c r="AA27"/>
  <c r="Q27"/>
  <c r="Z27" s="1"/>
  <c r="J27"/>
  <c r="H27"/>
  <c r="AB27" s="1"/>
  <c r="F27"/>
  <c r="S27" s="1"/>
  <c r="Z26"/>
  <c r="Q26"/>
  <c r="AC25"/>
  <c r="W25"/>
  <c r="Q25"/>
  <c r="Z25" s="1"/>
  <c r="J25"/>
  <c r="H25"/>
  <c r="AB25" s="1"/>
  <c r="F25"/>
  <c r="AA25" s="1"/>
  <c r="AB23"/>
  <c r="U23"/>
  <c r="Q23"/>
  <c r="Z23" s="1"/>
  <c r="J23"/>
  <c r="AC23" s="1"/>
  <c r="H23"/>
  <c r="F23"/>
  <c r="AA23" s="1"/>
  <c r="C23"/>
  <c r="AB21"/>
  <c r="U21"/>
  <c r="Q21"/>
  <c r="Z21" s="1"/>
  <c r="J21"/>
  <c r="AC21" s="1"/>
  <c r="H21"/>
  <c r="F21"/>
  <c r="AA21" s="1"/>
  <c r="C21"/>
  <c r="AB19"/>
  <c r="U19"/>
  <c r="Q19"/>
  <c r="Z19" s="1"/>
  <c r="J19"/>
  <c r="AC19" s="1"/>
  <c r="H19"/>
  <c r="F19"/>
  <c r="AA19" s="1"/>
  <c r="C19"/>
  <c r="AB17"/>
  <c r="U17"/>
  <c r="Q17"/>
  <c r="Z17" s="1"/>
  <c r="J17"/>
  <c r="AC17" s="1"/>
  <c r="H17"/>
  <c r="F17"/>
  <c r="AA17" s="1"/>
  <c r="C17"/>
  <c r="AB15"/>
  <c r="U15"/>
  <c r="Q15"/>
  <c r="Z15" s="1"/>
  <c r="J15"/>
  <c r="AC15" s="1"/>
  <c r="H15"/>
  <c r="F15"/>
  <c r="AA15" s="1"/>
  <c r="C15"/>
  <c r="Q14"/>
  <c r="Z14" s="1"/>
  <c r="H14"/>
  <c r="AB14" s="1"/>
  <c r="Q13"/>
  <c r="Z13" s="1"/>
  <c r="J13"/>
  <c r="H13"/>
  <c r="AB13" s="1"/>
  <c r="F13"/>
  <c r="AA13" s="1"/>
  <c r="Q12"/>
  <c r="Z12" s="1"/>
  <c r="H12"/>
  <c r="AB12" s="1"/>
  <c r="AC11"/>
  <c r="W11"/>
  <c r="Q11"/>
  <c r="Z11" s="1"/>
  <c r="J11"/>
  <c r="H11"/>
  <c r="AB11" s="1"/>
  <c r="F11"/>
  <c r="AA11" s="1"/>
  <c r="AB10"/>
  <c r="U10"/>
  <c r="Q10"/>
  <c r="Z10" s="1"/>
  <c r="J10"/>
  <c r="AC10" s="1"/>
  <c r="H10"/>
  <c r="F10"/>
  <c r="AA10" s="1"/>
  <c r="AA9"/>
  <c r="S9"/>
  <c r="Q9"/>
  <c r="Z9" s="1"/>
  <c r="J9"/>
  <c r="F9"/>
  <c r="W8"/>
  <c r="S8"/>
  <c r="J8"/>
  <c r="AC8" s="1"/>
  <c r="H8"/>
  <c r="U8" s="1"/>
  <c r="F8"/>
  <c r="AA8" s="1"/>
  <c r="D3"/>
  <c r="B131" i="34"/>
  <c r="B129"/>
  <c r="B127"/>
  <c r="G126"/>
  <c r="E126"/>
  <c r="F126" s="1"/>
  <c r="D126"/>
  <c r="K124"/>
  <c r="L124" s="1"/>
  <c r="M124" s="1"/>
  <c r="G124"/>
  <c r="H124" s="1"/>
  <c r="I124" s="1"/>
  <c r="J124" s="1"/>
  <c r="E124"/>
  <c r="F124" s="1"/>
  <c r="D124"/>
  <c r="K120"/>
  <c r="L120" s="1"/>
  <c r="M120" s="1"/>
  <c r="G120"/>
  <c r="H120" s="1"/>
  <c r="I120" s="1"/>
  <c r="J120" s="1"/>
  <c r="E120"/>
  <c r="F120" s="1"/>
  <c r="D120"/>
  <c r="E118"/>
  <c r="F118" s="1"/>
  <c r="G118" s="1"/>
  <c r="D118"/>
  <c r="E116"/>
  <c r="F116" s="1"/>
  <c r="G116" s="1"/>
  <c r="H116" s="1"/>
  <c r="I116" s="1"/>
  <c r="J116" s="1"/>
  <c r="K116" s="1"/>
  <c r="L116" s="1"/>
  <c r="M116" s="1"/>
  <c r="D116"/>
  <c r="E114"/>
  <c r="F114" s="1"/>
  <c r="G114" s="1"/>
  <c r="H114" s="1"/>
  <c r="I114" s="1"/>
  <c r="J114" s="1"/>
  <c r="K114" s="1"/>
  <c r="L114" s="1"/>
  <c r="M114" s="1"/>
  <c r="D114"/>
  <c r="E112"/>
  <c r="F112" s="1"/>
  <c r="G112" s="1"/>
  <c r="H112" s="1"/>
  <c r="I112" s="1"/>
  <c r="J112" s="1"/>
  <c r="K112" s="1"/>
  <c r="L112" s="1"/>
  <c r="M112" s="1"/>
  <c r="D112"/>
  <c r="G110"/>
  <c r="F110"/>
  <c r="E110"/>
  <c r="D110"/>
  <c r="C110"/>
  <c r="F109"/>
  <c r="G109" s="1"/>
  <c r="H109" s="1"/>
  <c r="I109" s="1"/>
  <c r="J109" s="1"/>
  <c r="K109" s="1"/>
  <c r="L109" s="1"/>
  <c r="M109" s="1"/>
  <c r="D109"/>
  <c r="E109" s="1"/>
  <c r="D107"/>
  <c r="E107" s="1"/>
  <c r="F107" s="1"/>
  <c r="G107" s="1"/>
  <c r="H107" s="1"/>
  <c r="I107" s="1"/>
  <c r="J107" s="1"/>
  <c r="K107" s="1"/>
  <c r="L107" s="1"/>
  <c r="M107" s="1"/>
  <c r="M103"/>
  <c r="L103"/>
  <c r="K103"/>
  <c r="J103"/>
  <c r="I103"/>
  <c r="H103"/>
  <c r="G103"/>
  <c r="F103"/>
  <c r="E103"/>
  <c r="D103"/>
  <c r="C103"/>
  <c r="E102"/>
  <c r="F102" s="1"/>
  <c r="G102" s="1"/>
  <c r="H102" s="1"/>
  <c r="I102" s="1"/>
  <c r="J102" s="1"/>
  <c r="K102" s="1"/>
  <c r="L102" s="1"/>
  <c r="M102" s="1"/>
  <c r="D102"/>
  <c r="B99"/>
  <c r="B97"/>
  <c r="B95"/>
  <c r="B93"/>
  <c r="E92"/>
  <c r="F92" s="1"/>
  <c r="G92" s="1"/>
  <c r="H92" s="1"/>
  <c r="I92" s="1"/>
  <c r="J92" s="1"/>
  <c r="K92" s="1"/>
  <c r="L92" s="1"/>
  <c r="M92" s="1"/>
  <c r="D92"/>
  <c r="B91"/>
  <c r="F90"/>
  <c r="G90" s="1"/>
  <c r="H90" s="1"/>
  <c r="I90" s="1"/>
  <c r="J90" s="1"/>
  <c r="K90" s="1"/>
  <c r="L90" s="1"/>
  <c r="M90" s="1"/>
  <c r="D90"/>
  <c r="E90" s="1"/>
  <c r="B89"/>
  <c r="G88"/>
  <c r="H88" s="1"/>
  <c r="I88" s="1"/>
  <c r="J88" s="1"/>
  <c r="K88" s="1"/>
  <c r="L88" s="1"/>
  <c r="M88" s="1"/>
  <c r="E88"/>
  <c r="F88" s="1"/>
  <c r="D88"/>
  <c r="E86"/>
  <c r="F86" s="1"/>
  <c r="G86" s="1"/>
  <c r="D86"/>
  <c r="G84"/>
  <c r="E84"/>
  <c r="F84" s="1"/>
  <c r="D84"/>
  <c r="E82"/>
  <c r="F82" s="1"/>
  <c r="G82" s="1"/>
  <c r="D82"/>
  <c r="G80"/>
  <c r="E80"/>
  <c r="F80" s="1"/>
  <c r="D80"/>
  <c r="E78"/>
  <c r="F78" s="1"/>
  <c r="G78" s="1"/>
  <c r="D78"/>
  <c r="B75"/>
  <c r="B73"/>
  <c r="B71"/>
  <c r="J70"/>
  <c r="K70" s="1"/>
  <c r="L70" s="1"/>
  <c r="M70" s="1"/>
  <c r="F70"/>
  <c r="G70" s="1"/>
  <c r="H70" s="1"/>
  <c r="I70" s="1"/>
  <c r="D70"/>
  <c r="E70" s="1"/>
  <c r="M68"/>
  <c r="L68"/>
  <c r="K68"/>
  <c r="J68"/>
  <c r="I68"/>
  <c r="H68"/>
  <c r="G68"/>
  <c r="F68"/>
  <c r="E68"/>
  <c r="D68"/>
  <c r="C68"/>
  <c r="G67"/>
  <c r="H67" s="1"/>
  <c r="I67" s="1"/>
  <c r="F67"/>
  <c r="C64"/>
  <c r="I55"/>
  <c r="J55" s="1"/>
  <c r="G55"/>
  <c r="H55" s="1"/>
  <c r="E55"/>
  <c r="F55" s="1"/>
  <c r="P50"/>
  <c r="P49"/>
  <c r="V48"/>
  <c r="T48"/>
  <c r="R48"/>
  <c r="P48"/>
  <c r="AB47"/>
  <c r="U47"/>
  <c r="Q47"/>
  <c r="Z47" s="1"/>
  <c r="J47"/>
  <c r="AC47" s="1"/>
  <c r="H47"/>
  <c r="F47"/>
  <c r="AA47" s="1"/>
  <c r="Q46"/>
  <c r="Z46" s="1"/>
  <c r="J46"/>
  <c r="AB45"/>
  <c r="U45"/>
  <c r="Q45"/>
  <c r="Z45" s="1"/>
  <c r="J45"/>
  <c r="AC45" s="1"/>
  <c r="H45"/>
  <c r="F45"/>
  <c r="AA45" s="1"/>
  <c r="AA44"/>
  <c r="Q44"/>
  <c r="Z44" s="1"/>
  <c r="J44"/>
  <c r="H44"/>
  <c r="AB44" s="1"/>
  <c r="F44"/>
  <c r="S44" s="1"/>
  <c r="Z43"/>
  <c r="Q43"/>
  <c r="J43"/>
  <c r="AC43" s="1"/>
  <c r="H43"/>
  <c r="F43"/>
  <c r="AA43" s="1"/>
  <c r="AC42"/>
  <c r="W42"/>
  <c r="Q42"/>
  <c r="Z42" s="1"/>
  <c r="J42"/>
  <c r="H42"/>
  <c r="AB42" s="1"/>
  <c r="F42"/>
  <c r="AA42" s="1"/>
  <c r="AB41"/>
  <c r="U41"/>
  <c r="Q41"/>
  <c r="Z41" s="1"/>
  <c r="J41"/>
  <c r="AC41" s="1"/>
  <c r="H41"/>
  <c r="F41"/>
  <c r="AA41" s="1"/>
  <c r="Q40"/>
  <c r="Z40" s="1"/>
  <c r="J40"/>
  <c r="H40"/>
  <c r="AB40" s="1"/>
  <c r="F40"/>
  <c r="AA40" s="1"/>
  <c r="Q39"/>
  <c r="Z39" s="1"/>
  <c r="J39"/>
  <c r="AC39" s="1"/>
  <c r="H39"/>
  <c r="F39"/>
  <c r="AA39" s="1"/>
  <c r="AC38"/>
  <c r="W38"/>
  <c r="Q38"/>
  <c r="Z38" s="1"/>
  <c r="J38"/>
  <c r="H38"/>
  <c r="AB38" s="1"/>
  <c r="F38"/>
  <c r="AA38" s="1"/>
  <c r="AB37"/>
  <c r="U37"/>
  <c r="Q37"/>
  <c r="Z37" s="1"/>
  <c r="J37"/>
  <c r="AC37" s="1"/>
  <c r="H37"/>
  <c r="F37"/>
  <c r="AA37" s="1"/>
  <c r="AA36"/>
  <c r="Q36"/>
  <c r="Z36" s="1"/>
  <c r="J36"/>
  <c r="H36"/>
  <c r="AB36" s="1"/>
  <c r="F36"/>
  <c r="S36" s="1"/>
  <c r="Z35"/>
  <c r="Q35"/>
  <c r="J35"/>
  <c r="AC35" s="1"/>
  <c r="H35"/>
  <c r="F35"/>
  <c r="AA35" s="1"/>
  <c r="AC34"/>
  <c r="W34"/>
  <c r="Q34"/>
  <c r="Z34" s="1"/>
  <c r="J34"/>
  <c r="H34"/>
  <c r="AB34" s="1"/>
  <c r="F34"/>
  <c r="AA34" s="1"/>
  <c r="AB33"/>
  <c r="U33"/>
  <c r="Q33"/>
  <c r="Z33" s="1"/>
  <c r="J33"/>
  <c r="AC33" s="1"/>
  <c r="H33"/>
  <c r="F33"/>
  <c r="AA33" s="1"/>
  <c r="Q32"/>
  <c r="Z32" s="1"/>
  <c r="J32"/>
  <c r="AB31"/>
  <c r="U31"/>
  <c r="Q31"/>
  <c r="Z31" s="1"/>
  <c r="J31"/>
  <c r="AC31" s="1"/>
  <c r="H31"/>
  <c r="F31"/>
  <c r="AA31" s="1"/>
  <c r="Q30"/>
  <c r="Z30" s="1"/>
  <c r="J30"/>
  <c r="AB29"/>
  <c r="U29"/>
  <c r="Q29"/>
  <c r="Z29" s="1"/>
  <c r="J29"/>
  <c r="AC29" s="1"/>
  <c r="H29"/>
  <c r="F29"/>
  <c r="AA29" s="1"/>
  <c r="Q28"/>
  <c r="Z28" s="1"/>
  <c r="J28"/>
  <c r="AB27"/>
  <c r="U27"/>
  <c r="Q27"/>
  <c r="Z27" s="1"/>
  <c r="J27"/>
  <c r="AC27" s="1"/>
  <c r="H27"/>
  <c r="F27"/>
  <c r="AA27" s="1"/>
  <c r="Q25"/>
  <c r="Z25" s="1"/>
  <c r="J25"/>
  <c r="H25"/>
  <c r="AB25" s="1"/>
  <c r="F25"/>
  <c r="AA25" s="1"/>
  <c r="Q23"/>
  <c r="Z23" s="1"/>
  <c r="J23"/>
  <c r="AC23" s="1"/>
  <c r="H23"/>
  <c r="F23"/>
  <c r="AA23" s="1"/>
  <c r="C23"/>
  <c r="Q21"/>
  <c r="Z21" s="1"/>
  <c r="J21"/>
  <c r="AC21" s="1"/>
  <c r="H21"/>
  <c r="F21"/>
  <c r="AA21" s="1"/>
  <c r="C21"/>
  <c r="Q19"/>
  <c r="Z19" s="1"/>
  <c r="J19"/>
  <c r="AC19" s="1"/>
  <c r="H19"/>
  <c r="F19"/>
  <c r="AA19" s="1"/>
  <c r="C19"/>
  <c r="Q17"/>
  <c r="Z17" s="1"/>
  <c r="J17"/>
  <c r="AC17" s="1"/>
  <c r="H17"/>
  <c r="F17"/>
  <c r="AA17" s="1"/>
  <c r="C17"/>
  <c r="Q15"/>
  <c r="Z15" s="1"/>
  <c r="J15"/>
  <c r="AC15" s="1"/>
  <c r="H15"/>
  <c r="F15"/>
  <c r="AA15" s="1"/>
  <c r="C15"/>
  <c r="Q14"/>
  <c r="Z14" s="1"/>
  <c r="AC13"/>
  <c r="W13"/>
  <c r="Q13"/>
  <c r="Z13" s="1"/>
  <c r="J13"/>
  <c r="H13"/>
  <c r="AB13" s="1"/>
  <c r="F13"/>
  <c r="AA13" s="1"/>
  <c r="Q12"/>
  <c r="Z12" s="1"/>
  <c r="H12"/>
  <c r="AB12" s="1"/>
  <c r="Q11"/>
  <c r="Z11" s="1"/>
  <c r="J11"/>
  <c r="H11"/>
  <c r="AB11" s="1"/>
  <c r="F11"/>
  <c r="AA11" s="1"/>
  <c r="Q10"/>
  <c r="Z10" s="1"/>
  <c r="J10"/>
  <c r="AC10" s="1"/>
  <c r="H10"/>
  <c r="F10"/>
  <c r="AA10" s="1"/>
  <c r="Q9"/>
  <c r="Z9" s="1"/>
  <c r="F9"/>
  <c r="W8"/>
  <c r="S8"/>
  <c r="J8"/>
  <c r="AC8" s="1"/>
  <c r="H8"/>
  <c r="U8" s="1"/>
  <c r="F8"/>
  <c r="AA8" s="1"/>
  <c r="D3"/>
  <c r="B130" i="33"/>
  <c r="B128"/>
  <c r="H45" s="1"/>
  <c r="AB45" s="1"/>
  <c r="B126"/>
  <c r="D125"/>
  <c r="E125" s="1"/>
  <c r="F125" s="1"/>
  <c r="G125" s="1"/>
  <c r="D123"/>
  <c r="E123" s="1"/>
  <c r="F123" s="1"/>
  <c r="D121"/>
  <c r="E121" s="1"/>
  <c r="F121" s="1"/>
  <c r="G121" s="1"/>
  <c r="H121" s="1"/>
  <c r="I121" s="1"/>
  <c r="J121" s="1"/>
  <c r="K121" s="1"/>
  <c r="L121" s="1"/>
  <c r="M121" s="1"/>
  <c r="G117"/>
  <c r="E117"/>
  <c r="F117" s="1"/>
  <c r="D117"/>
  <c r="D115"/>
  <c r="E115" s="1"/>
  <c r="F115" s="1"/>
  <c r="G115" s="1"/>
  <c r="H115" s="1"/>
  <c r="I115" s="1"/>
  <c r="J115" s="1"/>
  <c r="K115" s="1"/>
  <c r="L115" s="1"/>
  <c r="M115" s="1"/>
  <c r="D113"/>
  <c r="D111"/>
  <c r="E111" s="1"/>
  <c r="F111" s="1"/>
  <c r="G111" s="1"/>
  <c r="G109"/>
  <c r="F109"/>
  <c r="E109"/>
  <c r="D109"/>
  <c r="C109"/>
  <c r="D108"/>
  <c r="D106"/>
  <c r="M102"/>
  <c r="L102"/>
  <c r="K102"/>
  <c r="J102"/>
  <c r="I102"/>
  <c r="H102"/>
  <c r="G102"/>
  <c r="F102"/>
  <c r="E102"/>
  <c r="D102"/>
  <c r="C102"/>
  <c r="E101"/>
  <c r="D101"/>
  <c r="B98"/>
  <c r="B96"/>
  <c r="B94"/>
  <c r="B92"/>
  <c r="E91"/>
  <c r="F91" s="1"/>
  <c r="G91" s="1"/>
  <c r="H91" s="1"/>
  <c r="I91" s="1"/>
  <c r="J91" s="1"/>
  <c r="K91" s="1"/>
  <c r="L91" s="1"/>
  <c r="M91" s="1"/>
  <c r="D91"/>
  <c r="B90"/>
  <c r="B88"/>
  <c r="D87"/>
  <c r="E87" s="1"/>
  <c r="F87" s="1"/>
  <c r="G87" s="1"/>
  <c r="H87" s="1"/>
  <c r="I87" s="1"/>
  <c r="J87" s="1"/>
  <c r="K87" s="1"/>
  <c r="L87" s="1"/>
  <c r="M87" s="1"/>
  <c r="D85"/>
  <c r="E85" s="1"/>
  <c r="F85" s="1"/>
  <c r="G85" s="1"/>
  <c r="D83"/>
  <c r="D81"/>
  <c r="E81" s="1"/>
  <c r="D79"/>
  <c r="E79" s="1"/>
  <c r="D77"/>
  <c r="E77" s="1"/>
  <c r="B74"/>
  <c r="B72"/>
  <c r="B70"/>
  <c r="D69"/>
  <c r="M67"/>
  <c r="L67"/>
  <c r="K67"/>
  <c r="J67"/>
  <c r="I67"/>
  <c r="H67"/>
  <c r="G67"/>
  <c r="F67"/>
  <c r="E67"/>
  <c r="D67"/>
  <c r="C67"/>
  <c r="G66"/>
  <c r="C63"/>
  <c r="I54"/>
  <c r="J54" s="1"/>
  <c r="G54"/>
  <c r="H54" s="1"/>
  <c r="E54"/>
  <c r="F54" s="1"/>
  <c r="P49"/>
  <c r="P48"/>
  <c r="V47"/>
  <c r="T47"/>
  <c r="R47"/>
  <c r="P47"/>
  <c r="Q46"/>
  <c r="Z46" s="1"/>
  <c r="J46"/>
  <c r="AC46" s="1"/>
  <c r="H46"/>
  <c r="AB46" s="1"/>
  <c r="F46"/>
  <c r="AA46" s="1"/>
  <c r="Q45"/>
  <c r="Z45" s="1"/>
  <c r="J45"/>
  <c r="AC45" s="1"/>
  <c r="F45"/>
  <c r="AA45" s="1"/>
  <c r="Q44"/>
  <c r="Z44" s="1"/>
  <c r="J44"/>
  <c r="AC44" s="1"/>
  <c r="H44"/>
  <c r="AB44" s="1"/>
  <c r="F44"/>
  <c r="AA44" s="1"/>
  <c r="Q43"/>
  <c r="Z43" s="1"/>
  <c r="J43"/>
  <c r="AC43" s="1"/>
  <c r="H43"/>
  <c r="AB43" s="1"/>
  <c r="F43"/>
  <c r="AA43" s="1"/>
  <c r="Q42"/>
  <c r="Z42" s="1"/>
  <c r="Q41"/>
  <c r="Z41" s="1"/>
  <c r="J41"/>
  <c r="AC41" s="1"/>
  <c r="H41"/>
  <c r="AB41" s="1"/>
  <c r="F41"/>
  <c r="AA41" s="1"/>
  <c r="Q40"/>
  <c r="Z40" s="1"/>
  <c r="J40"/>
  <c r="AC40" s="1"/>
  <c r="H40"/>
  <c r="AB40" s="1"/>
  <c r="F40"/>
  <c r="AA40" s="1"/>
  <c r="Z39"/>
  <c r="Q39"/>
  <c r="J39"/>
  <c r="AC39" s="1"/>
  <c r="H39"/>
  <c r="AB39" s="1"/>
  <c r="F39"/>
  <c r="AA39" s="1"/>
  <c r="Q38"/>
  <c r="Z38" s="1"/>
  <c r="J38"/>
  <c r="AC38" s="1"/>
  <c r="H38"/>
  <c r="AB38" s="1"/>
  <c r="F38"/>
  <c r="AA38" s="1"/>
  <c r="Q37"/>
  <c r="Z37" s="1"/>
  <c r="H37"/>
  <c r="AB37" s="1"/>
  <c r="Q36"/>
  <c r="Z36" s="1"/>
  <c r="Q35"/>
  <c r="Z35" s="1"/>
  <c r="H35"/>
  <c r="AB35" s="1"/>
  <c r="Z34"/>
  <c r="Q34"/>
  <c r="J34"/>
  <c r="AC34" s="1"/>
  <c r="Q33"/>
  <c r="Z33" s="1"/>
  <c r="J33"/>
  <c r="AC33" s="1"/>
  <c r="H33"/>
  <c r="AB33" s="1"/>
  <c r="F33"/>
  <c r="AA33" s="1"/>
  <c r="Z32"/>
  <c r="Q32"/>
  <c r="Q31"/>
  <c r="Z31" s="1"/>
  <c r="Q30"/>
  <c r="Z30" s="1"/>
  <c r="J30"/>
  <c r="AC30" s="1"/>
  <c r="H30"/>
  <c r="AB30" s="1"/>
  <c r="F30"/>
  <c r="AA30" s="1"/>
  <c r="Q29"/>
  <c r="Z29" s="1"/>
  <c r="Q28"/>
  <c r="Z28" s="1"/>
  <c r="J28"/>
  <c r="AC28" s="1"/>
  <c r="H28"/>
  <c r="AB28" s="1"/>
  <c r="F28"/>
  <c r="AA28" s="1"/>
  <c r="Z27"/>
  <c r="Q27"/>
  <c r="J27"/>
  <c r="AC27" s="1"/>
  <c r="Q26"/>
  <c r="Z26" s="1"/>
  <c r="J26"/>
  <c r="AC26" s="1"/>
  <c r="H26"/>
  <c r="AB26" s="1"/>
  <c r="F26"/>
  <c r="AA26" s="1"/>
  <c r="Q25"/>
  <c r="Z25" s="1"/>
  <c r="J25"/>
  <c r="AC25" s="1"/>
  <c r="H25"/>
  <c r="AB25" s="1"/>
  <c r="F25"/>
  <c r="AA25" s="1"/>
  <c r="Z23"/>
  <c r="Q23"/>
  <c r="J23"/>
  <c r="AC23" s="1"/>
  <c r="H23"/>
  <c r="AB23" s="1"/>
  <c r="F23"/>
  <c r="AA23" s="1"/>
  <c r="C23"/>
  <c r="Z21"/>
  <c r="Q21"/>
  <c r="C21"/>
  <c r="Z19"/>
  <c r="Q19"/>
  <c r="C19"/>
  <c r="Z17"/>
  <c r="Q17"/>
  <c r="C17"/>
  <c r="Z15"/>
  <c r="Q15"/>
  <c r="F15"/>
  <c r="AA15" s="1"/>
  <c r="C15"/>
  <c r="Q14"/>
  <c r="Z14" s="1"/>
  <c r="J14"/>
  <c r="AC14" s="1"/>
  <c r="H14"/>
  <c r="AB14" s="1"/>
  <c r="F14"/>
  <c r="AA14" s="1"/>
  <c r="Q13"/>
  <c r="Z13" s="1"/>
  <c r="Q12"/>
  <c r="Z12" s="1"/>
  <c r="J12"/>
  <c r="AC12" s="1"/>
  <c r="H12"/>
  <c r="AB12" s="1"/>
  <c r="F12"/>
  <c r="AA12" s="1"/>
  <c r="Z11"/>
  <c r="Q11"/>
  <c r="Q10"/>
  <c r="Z10" s="1"/>
  <c r="H10"/>
  <c r="AB10" s="1"/>
  <c r="Z9"/>
  <c r="Q9"/>
  <c r="J9"/>
  <c r="AC9" s="1"/>
  <c r="H9"/>
  <c r="AB9" s="1"/>
  <c r="F9"/>
  <c r="AA9" s="1"/>
  <c r="J8"/>
  <c r="H8"/>
  <c r="U8" s="1"/>
  <c r="F8"/>
  <c r="AA8" s="1"/>
  <c r="C145" i="21"/>
  <c r="J142"/>
  <c r="J140"/>
  <c r="K139"/>
  <c r="B130"/>
  <c r="B128"/>
  <c r="B126"/>
  <c r="D125"/>
  <c r="E125" s="1"/>
  <c r="F125" s="1"/>
  <c r="G125" s="1"/>
  <c r="E123"/>
  <c r="F123" s="1"/>
  <c r="H42" s="1"/>
  <c r="AB42" s="1"/>
  <c r="D123"/>
  <c r="D119"/>
  <c r="E119" s="1"/>
  <c r="F119" s="1"/>
  <c r="G119" s="1"/>
  <c r="H119" s="1"/>
  <c r="I119" s="1"/>
  <c r="J119" s="1"/>
  <c r="K119" s="1"/>
  <c r="L119" s="1"/>
  <c r="M119" s="1"/>
  <c r="D117"/>
  <c r="F115"/>
  <c r="G115" s="1"/>
  <c r="H115" s="1"/>
  <c r="I115" s="1"/>
  <c r="J115" s="1"/>
  <c r="K115" s="1"/>
  <c r="L115" s="1"/>
  <c r="M115" s="1"/>
  <c r="D115"/>
  <c r="E115" s="1"/>
  <c r="D113"/>
  <c r="E113" s="1"/>
  <c r="F113" s="1"/>
  <c r="G113" s="1"/>
  <c r="H111"/>
  <c r="G111"/>
  <c r="F111"/>
  <c r="E111"/>
  <c r="D111"/>
  <c r="C111"/>
  <c r="D110"/>
  <c r="E110" s="1"/>
  <c r="F110" s="1"/>
  <c r="G110" s="1"/>
  <c r="H110" s="1"/>
  <c r="I110" s="1"/>
  <c r="J110" s="1"/>
  <c r="K110" s="1"/>
  <c r="L110" s="1"/>
  <c r="M110" s="1"/>
  <c r="D108"/>
  <c r="D106"/>
  <c r="M102"/>
  <c r="L102"/>
  <c r="K102"/>
  <c r="J102"/>
  <c r="I102"/>
  <c r="H102"/>
  <c r="G102"/>
  <c r="F102"/>
  <c r="E102"/>
  <c r="D102"/>
  <c r="C102"/>
  <c r="E101"/>
  <c r="F101" s="1"/>
  <c r="G101" s="1"/>
  <c r="D101"/>
  <c r="B98"/>
  <c r="H31" s="1"/>
  <c r="AB31" s="1"/>
  <c r="B96"/>
  <c r="B94"/>
  <c r="H29" s="1"/>
  <c r="AB29" s="1"/>
  <c r="B92"/>
  <c r="B90"/>
  <c r="H27" s="1"/>
  <c r="AB27" s="1"/>
  <c r="D89"/>
  <c r="E89" s="1"/>
  <c r="F89" s="1"/>
  <c r="G89" s="1"/>
  <c r="H89" s="1"/>
  <c r="I89" s="1"/>
  <c r="J89" s="1"/>
  <c r="K89" s="1"/>
  <c r="L89" s="1"/>
  <c r="M89" s="1"/>
  <c r="M87"/>
  <c r="L87"/>
  <c r="K87"/>
  <c r="J87"/>
  <c r="I87"/>
  <c r="H87"/>
  <c r="G87"/>
  <c r="F87"/>
  <c r="E87"/>
  <c r="D87"/>
  <c r="D85"/>
  <c r="E85" s="1"/>
  <c r="F85" s="1"/>
  <c r="G85" s="1"/>
  <c r="E83"/>
  <c r="F83" s="1"/>
  <c r="G83" s="1"/>
  <c r="D83"/>
  <c r="D81"/>
  <c r="E81" s="1"/>
  <c r="F81" s="1"/>
  <c r="D79"/>
  <c r="E79" s="1"/>
  <c r="D77"/>
  <c r="E77" s="1"/>
  <c r="H15" s="1"/>
  <c r="AB15" s="1"/>
  <c r="B74"/>
  <c r="H14" s="1"/>
  <c r="AB14" s="1"/>
  <c r="B72"/>
  <c r="B70"/>
  <c r="H12" s="1"/>
  <c r="AB12" s="1"/>
  <c r="D69"/>
  <c r="E69" s="1"/>
  <c r="M67"/>
  <c r="L67"/>
  <c r="K67"/>
  <c r="J67"/>
  <c r="I67"/>
  <c r="H67"/>
  <c r="G67"/>
  <c r="F67"/>
  <c r="E67"/>
  <c r="D67"/>
  <c r="C67"/>
  <c r="D66"/>
  <c r="E66" s="1"/>
  <c r="F66" s="1"/>
  <c r="G66" s="1"/>
  <c r="H66" s="1"/>
  <c r="I66" s="1"/>
  <c r="C63"/>
  <c r="H9" s="1"/>
  <c r="AB9" s="1"/>
  <c r="I54"/>
  <c r="J54" s="1"/>
  <c r="G54"/>
  <c r="H54" s="1"/>
  <c r="E54"/>
  <c r="F54" s="1"/>
  <c r="P49"/>
  <c r="P48"/>
  <c r="V47"/>
  <c r="T47"/>
  <c r="R47"/>
  <c r="P47"/>
  <c r="Q46"/>
  <c r="Z46" s="1"/>
  <c r="H46"/>
  <c r="AB46" s="1"/>
  <c r="Q45"/>
  <c r="Z45" s="1"/>
  <c r="J45"/>
  <c r="AC45" s="1"/>
  <c r="H45"/>
  <c r="AB45" s="1"/>
  <c r="F45"/>
  <c r="AA45" s="1"/>
  <c r="Q44"/>
  <c r="Z44" s="1"/>
  <c r="H44"/>
  <c r="AB44" s="1"/>
  <c r="Q43"/>
  <c r="Z43" s="1"/>
  <c r="J43"/>
  <c r="AC43" s="1"/>
  <c r="H43"/>
  <c r="AB43" s="1"/>
  <c r="F43"/>
  <c r="AA43" s="1"/>
  <c r="Z42"/>
  <c r="Q42"/>
  <c r="F42"/>
  <c r="AA42" s="1"/>
  <c r="Q41"/>
  <c r="Z41" s="1"/>
  <c r="J41"/>
  <c r="AC41" s="1"/>
  <c r="H41"/>
  <c r="AB41" s="1"/>
  <c r="F41"/>
  <c r="AA41" s="1"/>
  <c r="Q40"/>
  <c r="Z40" s="1"/>
  <c r="J40"/>
  <c r="AC40" s="1"/>
  <c r="H40"/>
  <c r="AB40" s="1"/>
  <c r="F40"/>
  <c r="AA40" s="1"/>
  <c r="Z39"/>
  <c r="Q39"/>
  <c r="F39"/>
  <c r="AA39" s="1"/>
  <c r="Q38"/>
  <c r="Z38" s="1"/>
  <c r="J38"/>
  <c r="AC38" s="1"/>
  <c r="H38"/>
  <c r="AB38" s="1"/>
  <c r="F38"/>
  <c r="AA38" s="1"/>
  <c r="Z37"/>
  <c r="Q37"/>
  <c r="Z36"/>
  <c r="Q36"/>
  <c r="J36"/>
  <c r="AC36" s="1"/>
  <c r="H36"/>
  <c r="AB36" s="1"/>
  <c r="F36"/>
  <c r="AA36" s="1"/>
  <c r="Q35"/>
  <c r="Z35" s="1"/>
  <c r="H35"/>
  <c r="AB35" s="1"/>
  <c r="Z34"/>
  <c r="Q34"/>
  <c r="J34"/>
  <c r="AC34" s="1"/>
  <c r="Q33"/>
  <c r="Z33" s="1"/>
  <c r="J33"/>
  <c r="AC33" s="1"/>
  <c r="H33"/>
  <c r="AB33" s="1"/>
  <c r="F33"/>
  <c r="AA33" s="1"/>
  <c r="Z32"/>
  <c r="Q32"/>
  <c r="Q31"/>
  <c r="Z31" s="1"/>
  <c r="F31"/>
  <c r="AA31" s="1"/>
  <c r="Q30"/>
  <c r="Z30" s="1"/>
  <c r="J30"/>
  <c r="AC30" s="1"/>
  <c r="H30"/>
  <c r="AB30" s="1"/>
  <c r="F30"/>
  <c r="AA30" s="1"/>
  <c r="Q29"/>
  <c r="Z29" s="1"/>
  <c r="J29"/>
  <c r="AC29" s="1"/>
  <c r="Q28"/>
  <c r="Z28" s="1"/>
  <c r="J28"/>
  <c r="AC28" s="1"/>
  <c r="H28"/>
  <c r="AB28" s="1"/>
  <c r="F28"/>
  <c r="AA28" s="1"/>
  <c r="Q27"/>
  <c r="Z27" s="1"/>
  <c r="F27"/>
  <c r="AA27" s="1"/>
  <c r="Q26"/>
  <c r="Z26" s="1"/>
  <c r="J26"/>
  <c r="AC26" s="1"/>
  <c r="H26"/>
  <c r="AB26" s="1"/>
  <c r="F26"/>
  <c r="AA26" s="1"/>
  <c r="Q25"/>
  <c r="Z25" s="1"/>
  <c r="J25"/>
  <c r="AC25" s="1"/>
  <c r="H25"/>
  <c r="AB25" s="1"/>
  <c r="F25"/>
  <c r="AA25" s="1"/>
  <c r="Q23"/>
  <c r="Z23" s="1"/>
  <c r="J23"/>
  <c r="AC23" s="1"/>
  <c r="H23"/>
  <c r="AB23" s="1"/>
  <c r="F23"/>
  <c r="AA23" s="1"/>
  <c r="C23"/>
  <c r="Q21"/>
  <c r="Z21" s="1"/>
  <c r="J21"/>
  <c r="AC21" s="1"/>
  <c r="H21"/>
  <c r="AB21" s="1"/>
  <c r="F21"/>
  <c r="AA21" s="1"/>
  <c r="C21"/>
  <c r="Q19"/>
  <c r="Z19" s="1"/>
  <c r="C19"/>
  <c r="Q17"/>
  <c r="Z17" s="1"/>
  <c r="C17"/>
  <c r="Q15"/>
  <c r="Z15" s="1"/>
  <c r="C15"/>
  <c r="Q14"/>
  <c r="Z14" s="1"/>
  <c r="J14"/>
  <c r="AC14" s="1"/>
  <c r="F14"/>
  <c r="AA14" s="1"/>
  <c r="Q13"/>
  <c r="Z13" s="1"/>
  <c r="J13"/>
  <c r="AC13" s="1"/>
  <c r="H13"/>
  <c r="AB13" s="1"/>
  <c r="F13"/>
  <c r="AA13" s="1"/>
  <c r="Q12"/>
  <c r="Z12" s="1"/>
  <c r="J12"/>
  <c r="AC12" s="1"/>
  <c r="F12"/>
  <c r="AA12" s="1"/>
  <c r="Q11"/>
  <c r="Z11" s="1"/>
  <c r="Q10"/>
  <c r="Z10" s="1"/>
  <c r="J10"/>
  <c r="AC10" s="1"/>
  <c r="H10"/>
  <c r="AB10" s="1"/>
  <c r="F10"/>
  <c r="AA10" s="1"/>
  <c r="Z9"/>
  <c r="Q9"/>
  <c r="J9"/>
  <c r="AC9" s="1"/>
  <c r="F9"/>
  <c r="AA9" s="1"/>
  <c r="S8"/>
  <c r="J8"/>
  <c r="AC8" s="1"/>
  <c r="H8"/>
  <c r="U8" s="1"/>
  <c r="F8"/>
  <c r="AA8" s="1"/>
  <c r="D3"/>
  <c r="G17" i="11"/>
  <c r="E13"/>
  <c r="E12"/>
  <c r="C11"/>
  <c r="C10" s="1"/>
  <c r="C7"/>
  <c r="C32" i="57"/>
  <c r="C31"/>
  <c r="C30"/>
  <c r="E26" s="1"/>
  <c r="I23"/>
  <c r="D20"/>
  <c r="I19"/>
  <c r="I18"/>
  <c r="I17"/>
  <c r="I20" s="1"/>
  <c r="E15"/>
  <c r="I14"/>
  <c r="I13"/>
  <c r="I12"/>
  <c r="I10"/>
  <c r="I9"/>
  <c r="I8"/>
  <c r="I7"/>
  <c r="I6"/>
  <c r="I5"/>
  <c r="I4"/>
  <c r="I3"/>
  <c r="Q73" i="15"/>
  <c r="Q60"/>
  <c r="D60"/>
  <c r="Q59"/>
  <c r="K59"/>
  <c r="P75" s="1"/>
  <c r="F58"/>
  <c r="Q52"/>
  <c r="J50"/>
  <c r="M47"/>
  <c r="F33"/>
  <c r="F60" s="1"/>
  <c r="F31"/>
  <c r="F23"/>
  <c r="D24" s="1"/>
  <c r="F21"/>
  <c r="F20"/>
  <c r="M19"/>
  <c r="F18"/>
  <c r="M17"/>
  <c r="F17"/>
  <c r="F15"/>
  <c r="D71" i="59"/>
  <c r="F70"/>
  <c r="F69" s="1"/>
  <c r="F68" s="1"/>
  <c r="E70"/>
  <c r="D70"/>
  <c r="C70"/>
  <c r="B70"/>
  <c r="B69" s="1"/>
  <c r="B68" s="1"/>
  <c r="E69"/>
  <c r="E68" s="1"/>
  <c r="C69"/>
  <c r="D67"/>
  <c r="F66"/>
  <c r="F65" s="1"/>
  <c r="E66"/>
  <c r="D66"/>
  <c r="C66"/>
  <c r="B66"/>
  <c r="B65" s="1"/>
  <c r="E65"/>
  <c r="E64" s="1"/>
  <c r="C65"/>
  <c r="F64"/>
  <c r="B64"/>
  <c r="D63"/>
  <c r="T62"/>
  <c r="Q62"/>
  <c r="P62"/>
  <c r="O62"/>
  <c r="N62"/>
  <c r="F62"/>
  <c r="F61" s="1"/>
  <c r="F60" s="1"/>
  <c r="E62"/>
  <c r="U62" s="1"/>
  <c r="D62"/>
  <c r="C62"/>
  <c r="B62"/>
  <c r="Q61"/>
  <c r="P61"/>
  <c r="O61"/>
  <c r="N61"/>
  <c r="E61"/>
  <c r="E60" s="1"/>
  <c r="C61"/>
  <c r="Q60"/>
  <c r="P60"/>
  <c r="O60"/>
  <c r="N60"/>
  <c r="Q59"/>
  <c r="P59"/>
  <c r="O59"/>
  <c r="N59"/>
  <c r="D59"/>
  <c r="T58"/>
  <c r="Q58"/>
  <c r="P58"/>
  <c r="O58"/>
  <c r="N58"/>
  <c r="F58"/>
  <c r="F57" s="1"/>
  <c r="E58"/>
  <c r="U58" s="1"/>
  <c r="D58"/>
  <c r="C58"/>
  <c r="B58"/>
  <c r="Q57"/>
  <c r="P57"/>
  <c r="O57"/>
  <c r="N57"/>
  <c r="E57"/>
  <c r="E56" s="1"/>
  <c r="C57"/>
  <c r="Q56"/>
  <c r="P56"/>
  <c r="O56"/>
  <c r="N56"/>
  <c r="F56"/>
  <c r="Q55"/>
  <c r="P55"/>
  <c r="O55"/>
  <c r="N55"/>
  <c r="D55"/>
  <c r="T54"/>
  <c r="Q54"/>
  <c r="P54"/>
  <c r="O54"/>
  <c r="N54"/>
  <c r="F54"/>
  <c r="F53" s="1"/>
  <c r="F52" s="1"/>
  <c r="E54"/>
  <c r="U54" s="1"/>
  <c r="D54"/>
  <c r="C54"/>
  <c r="B54"/>
  <c r="Q53"/>
  <c r="P53"/>
  <c r="O53"/>
  <c r="N53"/>
  <c r="E53"/>
  <c r="E52" s="1"/>
  <c r="C53"/>
  <c r="Q52"/>
  <c r="P52"/>
  <c r="O52"/>
  <c r="N52"/>
  <c r="Q51"/>
  <c r="P51"/>
  <c r="O51"/>
  <c r="N51"/>
  <c r="D51"/>
  <c r="T50"/>
  <c r="O50"/>
  <c r="F50"/>
  <c r="F49" s="1"/>
  <c r="Q49" s="1"/>
  <c r="E50"/>
  <c r="U50" s="1"/>
  <c r="D50"/>
  <c r="C50"/>
  <c r="B50"/>
  <c r="E49"/>
  <c r="E48" s="1"/>
  <c r="P48" s="1"/>
  <c r="C49"/>
  <c r="F48"/>
  <c r="Q47" s="1"/>
  <c r="D47"/>
  <c r="Q46"/>
  <c r="P46"/>
  <c r="O46"/>
  <c r="N46"/>
  <c r="F46"/>
  <c r="V46" s="1"/>
  <c r="Q45"/>
  <c r="P45"/>
  <c r="O45"/>
  <c r="N45"/>
  <c r="Q44"/>
  <c r="P44"/>
  <c r="O44"/>
  <c r="N44"/>
  <c r="F44"/>
  <c r="F45" s="1"/>
  <c r="Q43"/>
  <c r="P43"/>
  <c r="E44" s="1"/>
  <c r="E45" s="1"/>
  <c r="E46" s="1"/>
  <c r="U46" s="1"/>
  <c r="O43"/>
  <c r="C44" s="1"/>
  <c r="C45" s="1"/>
  <c r="N43"/>
  <c r="B44" s="1"/>
  <c r="B45" s="1"/>
  <c r="B46" s="1"/>
  <c r="S46" s="1"/>
  <c r="D43"/>
  <c r="Q42"/>
  <c r="P42"/>
  <c r="O42"/>
  <c r="N42"/>
  <c r="Q41"/>
  <c r="P41"/>
  <c r="O41"/>
  <c r="N41"/>
  <c r="Q40"/>
  <c r="P40"/>
  <c r="O40"/>
  <c r="N40"/>
  <c r="F40"/>
  <c r="F41" s="1"/>
  <c r="F42" s="1"/>
  <c r="V42" s="1"/>
  <c r="Q39"/>
  <c r="P39"/>
  <c r="E40" s="1"/>
  <c r="E41" s="1"/>
  <c r="E42" s="1"/>
  <c r="U42" s="1"/>
  <c r="O39"/>
  <c r="C40" s="1"/>
  <c r="C41" s="1"/>
  <c r="N39"/>
  <c r="B40" s="1"/>
  <c r="B41" s="1"/>
  <c r="B42" s="1"/>
  <c r="S42" s="1"/>
  <c r="D39"/>
  <c r="Q38"/>
  <c r="P38"/>
  <c r="O38"/>
  <c r="N38"/>
  <c r="F38"/>
  <c r="V38" s="1"/>
  <c r="Q37"/>
  <c r="P37"/>
  <c r="O37"/>
  <c r="N37"/>
  <c r="Q36"/>
  <c r="P36"/>
  <c r="O36"/>
  <c r="N36"/>
  <c r="F36"/>
  <c r="F37" s="1"/>
  <c r="Q35"/>
  <c r="P35"/>
  <c r="E36" s="1"/>
  <c r="E37" s="1"/>
  <c r="E38" s="1"/>
  <c r="U38" s="1"/>
  <c r="O35"/>
  <c r="C36" s="1"/>
  <c r="C37" s="1"/>
  <c r="N35"/>
  <c r="B36" s="1"/>
  <c r="B37" s="1"/>
  <c r="B38" s="1"/>
  <c r="S38" s="1"/>
  <c r="D35"/>
  <c r="Q34"/>
  <c r="P34"/>
  <c r="O34"/>
  <c r="N34"/>
  <c r="Q33"/>
  <c r="P33"/>
  <c r="O33"/>
  <c r="N33"/>
  <c r="Q32"/>
  <c r="P32"/>
  <c r="O32"/>
  <c r="N32"/>
  <c r="F32"/>
  <c r="F33" s="1"/>
  <c r="F34" s="1"/>
  <c r="V34" s="1"/>
  <c r="Q31"/>
  <c r="P31"/>
  <c r="E32" s="1"/>
  <c r="E33" s="1"/>
  <c r="E34" s="1"/>
  <c r="U34" s="1"/>
  <c r="O31"/>
  <c r="C32" s="1"/>
  <c r="C33" s="1"/>
  <c r="N31"/>
  <c r="B32" s="1"/>
  <c r="B33" s="1"/>
  <c r="B34" s="1"/>
  <c r="S34" s="1"/>
  <c r="D31"/>
  <c r="T30"/>
  <c r="Q30"/>
  <c r="P30"/>
  <c r="O30"/>
  <c r="N30"/>
  <c r="D30"/>
  <c r="Q29"/>
  <c r="P29"/>
  <c r="O29"/>
  <c r="N29"/>
  <c r="F29"/>
  <c r="F30" s="1"/>
  <c r="V30" s="1"/>
  <c r="Q28"/>
  <c r="P28"/>
  <c r="O28"/>
  <c r="N28"/>
  <c r="E28"/>
  <c r="C28"/>
  <c r="Q27"/>
  <c r="F28" s="1"/>
  <c r="P27"/>
  <c r="O27"/>
  <c r="N27"/>
  <c r="B28" s="1"/>
  <c r="B29" s="1"/>
  <c r="B30" s="1"/>
  <c r="S30" s="1"/>
  <c r="D27"/>
  <c r="Q26"/>
  <c r="P26"/>
  <c r="O26"/>
  <c r="N26"/>
  <c r="Q25"/>
  <c r="P25"/>
  <c r="O25"/>
  <c r="N25"/>
  <c r="F25"/>
  <c r="F26" s="1"/>
  <c r="V26" s="1"/>
  <c r="Q24"/>
  <c r="P24"/>
  <c r="O24"/>
  <c r="N24"/>
  <c r="E24"/>
  <c r="C24"/>
  <c r="Q23"/>
  <c r="F24" s="1"/>
  <c r="P23"/>
  <c r="O23"/>
  <c r="N23"/>
  <c r="B24" s="1"/>
  <c r="B25" s="1"/>
  <c r="B26" s="1"/>
  <c r="S26" s="1"/>
  <c r="D23"/>
  <c r="AH22"/>
  <c r="AG22"/>
  <c r="AE22"/>
  <c r="AF22" s="1"/>
  <c r="AD22"/>
  <c r="Q22"/>
  <c r="P22"/>
  <c r="O22"/>
  <c r="N22"/>
  <c r="F22"/>
  <c r="V22" s="1"/>
  <c r="AH21"/>
  <c r="AG21"/>
  <c r="AE21"/>
  <c r="AF21" s="1"/>
  <c r="AD21"/>
  <c r="AB21"/>
  <c r="Q21"/>
  <c r="P21"/>
  <c r="AA21" s="1"/>
  <c r="O21"/>
  <c r="Y21" s="1"/>
  <c r="Z21" s="1"/>
  <c r="N21"/>
  <c r="X21" s="1"/>
  <c r="AH20"/>
  <c r="AG20"/>
  <c r="AF20"/>
  <c r="AE20"/>
  <c r="AD20"/>
  <c r="AA20"/>
  <c r="Y20"/>
  <c r="Z20" s="1"/>
  <c r="Q20"/>
  <c r="AB20" s="1"/>
  <c r="P20"/>
  <c r="O20"/>
  <c r="N20"/>
  <c r="X20" s="1"/>
  <c r="F20"/>
  <c r="F21" s="1"/>
  <c r="D20"/>
  <c r="AH19"/>
  <c r="AG19"/>
  <c r="AE19"/>
  <c r="AF19" s="1"/>
  <c r="AD19"/>
  <c r="AB19"/>
  <c r="Q19"/>
  <c r="P19"/>
  <c r="O19"/>
  <c r="C20" s="1"/>
  <c r="C21" s="1"/>
  <c r="N19"/>
  <c r="B20" s="1"/>
  <c r="B21" s="1"/>
  <c r="B22" s="1"/>
  <c r="S22" s="1"/>
  <c r="D19"/>
  <c r="AH18"/>
  <c r="AG18"/>
  <c r="AF18"/>
  <c r="AE18"/>
  <c r="AD18"/>
  <c r="Y18"/>
  <c r="Z18" s="1"/>
  <c r="Q18"/>
  <c r="AB18" s="1"/>
  <c r="P18"/>
  <c r="O18"/>
  <c r="N18"/>
  <c r="X18" s="1"/>
  <c r="AH17"/>
  <c r="AG17"/>
  <c r="AE17"/>
  <c r="AF17" s="1"/>
  <c r="AD17"/>
  <c r="AB17"/>
  <c r="Q17"/>
  <c r="P17"/>
  <c r="AA17" s="1"/>
  <c r="O17"/>
  <c r="Y17" s="1"/>
  <c r="Z17" s="1"/>
  <c r="N17"/>
  <c r="X17" s="1"/>
  <c r="AH16"/>
  <c r="AG16"/>
  <c r="AF16"/>
  <c r="AE16"/>
  <c r="AD16"/>
  <c r="AA16"/>
  <c r="Q16"/>
  <c r="AB16" s="1"/>
  <c r="P16"/>
  <c r="O16"/>
  <c r="Y16" s="1"/>
  <c r="Z16" s="1"/>
  <c r="N16"/>
  <c r="F16"/>
  <c r="F17" s="1"/>
  <c r="F18" s="1"/>
  <c r="V18" s="1"/>
  <c r="B16"/>
  <c r="B17" s="1"/>
  <c r="B18" s="1"/>
  <c r="S18" s="1"/>
  <c r="AH15"/>
  <c r="AG15"/>
  <c r="AE15"/>
  <c r="AF15" s="1"/>
  <c r="AD15"/>
  <c r="Q15"/>
  <c r="P15"/>
  <c r="O15"/>
  <c r="C16" s="1"/>
  <c r="D16" s="1"/>
  <c r="N15"/>
  <c r="X15" s="1"/>
  <c r="D15"/>
  <c r="AH14"/>
  <c r="AG14"/>
  <c r="AF14"/>
  <c r="AE14"/>
  <c r="AD14"/>
  <c r="AA14"/>
  <c r="Q14"/>
  <c r="AB14" s="1"/>
  <c r="P14"/>
  <c r="O14"/>
  <c r="Y14" s="1"/>
  <c r="Z14" s="1"/>
  <c r="N14"/>
  <c r="F14"/>
  <c r="V14" s="1"/>
  <c r="AH13"/>
  <c r="AG13"/>
  <c r="AE13"/>
  <c r="AF13" s="1"/>
  <c r="AD13"/>
  <c r="Q13"/>
  <c r="P13"/>
  <c r="O13"/>
  <c r="Y13" s="1"/>
  <c r="Z13" s="1"/>
  <c r="N13"/>
  <c r="X13" s="1"/>
  <c r="AH12"/>
  <c r="AG12"/>
  <c r="AF12"/>
  <c r="AE12"/>
  <c r="AD12"/>
  <c r="Y12"/>
  <c r="Z12" s="1"/>
  <c r="Q12"/>
  <c r="P12"/>
  <c r="O12"/>
  <c r="N12"/>
  <c r="X12" s="1"/>
  <c r="F12"/>
  <c r="F13" s="1"/>
  <c r="D12"/>
  <c r="AH11"/>
  <c r="AG11"/>
  <c r="AE11"/>
  <c r="AF11" s="1"/>
  <c r="AD11"/>
  <c r="AB11"/>
  <c r="Q11"/>
  <c r="P11"/>
  <c r="O11"/>
  <c r="C12" s="1"/>
  <c r="C13" s="1"/>
  <c r="N11"/>
  <c r="B12" s="1"/>
  <c r="B13" s="1"/>
  <c r="B14" s="1"/>
  <c r="S14" s="1"/>
  <c r="D11"/>
  <c r="AH10"/>
  <c r="AG10"/>
  <c r="AF10"/>
  <c r="AE10"/>
  <c r="AD10"/>
  <c r="Y10"/>
  <c r="Z10" s="1"/>
  <c r="T10"/>
  <c r="Q10"/>
  <c r="P10"/>
  <c r="O10"/>
  <c r="C10" s="1"/>
  <c r="N10"/>
  <c r="X10" s="1"/>
  <c r="F10"/>
  <c r="F9" s="1"/>
  <c r="E10"/>
  <c r="U10" s="1"/>
  <c r="D10"/>
  <c r="B10"/>
  <c r="AH9"/>
  <c r="AG9"/>
  <c r="AE9"/>
  <c r="AF9" s="1"/>
  <c r="AD9"/>
  <c r="Q9"/>
  <c r="P9"/>
  <c r="O9"/>
  <c r="Y9" s="1"/>
  <c r="Z9" s="1"/>
  <c r="N9"/>
  <c r="X9" s="1"/>
  <c r="E9"/>
  <c r="E8" s="1"/>
  <c r="C9"/>
  <c r="AH8"/>
  <c r="AG8"/>
  <c r="AF8"/>
  <c r="AE8"/>
  <c r="AD8"/>
  <c r="Y8"/>
  <c r="Z8" s="1"/>
  <c r="Q8"/>
  <c r="P8"/>
  <c r="O8"/>
  <c r="N8"/>
  <c r="X8" s="1"/>
  <c r="F8"/>
  <c r="AH7"/>
  <c r="AG7"/>
  <c r="AE7"/>
  <c r="AF7" s="1"/>
  <c r="AD7"/>
  <c r="AB7"/>
  <c r="Q7"/>
  <c r="P7"/>
  <c r="AA7" s="1"/>
  <c r="O7"/>
  <c r="N7"/>
  <c r="X7" s="1"/>
  <c r="D7"/>
  <c r="AH6"/>
  <c r="AG6"/>
  <c r="AF6"/>
  <c r="AE6"/>
  <c r="AD6"/>
  <c r="Y6"/>
  <c r="Z6" s="1"/>
  <c r="T6"/>
  <c r="Q6"/>
  <c r="P6"/>
  <c r="O6"/>
  <c r="C6" s="1"/>
  <c r="N6"/>
  <c r="X6" s="1"/>
  <c r="F6"/>
  <c r="F5" s="1"/>
  <c r="E6"/>
  <c r="U6" s="1"/>
  <c r="D6"/>
  <c r="B6"/>
  <c r="AH5"/>
  <c r="AG5"/>
  <c r="AE5"/>
  <c r="AF5" s="1"/>
  <c r="AD5"/>
  <c r="Q5"/>
  <c r="P5"/>
  <c r="O5"/>
  <c r="Y5" s="1"/>
  <c r="Z5" s="1"/>
  <c r="N5"/>
  <c r="E5"/>
  <c r="C5"/>
  <c r="D5" s="1"/>
  <c r="AH3"/>
  <c r="AD3"/>
  <c r="Y3"/>
  <c r="Z3" s="1"/>
  <c r="L3"/>
  <c r="K3"/>
  <c r="AG3" s="1"/>
  <c r="J3"/>
  <c r="AE3" s="1"/>
  <c r="AF3" s="1"/>
  <c r="I3"/>
  <c r="Q74" i="44"/>
  <c r="Q61"/>
  <c r="Q60"/>
  <c r="Q53"/>
  <c r="J52"/>
  <c r="J51"/>
  <c r="M48"/>
  <c r="F35"/>
  <c r="F33"/>
  <c r="F25"/>
  <c r="D25" s="1"/>
  <c r="F23"/>
  <c r="F22"/>
  <c r="M21"/>
  <c r="F20"/>
  <c r="M19"/>
  <c r="F19"/>
  <c r="F17"/>
  <c r="H61" i="49"/>
  <c r="F113" i="46"/>
  <c r="M108"/>
  <c r="I108"/>
  <c r="E108"/>
  <c r="M100"/>
  <c r="I100"/>
  <c r="E100"/>
  <c r="N99"/>
  <c r="N108" s="1"/>
  <c r="M99"/>
  <c r="L99"/>
  <c r="L108" s="1"/>
  <c r="K99"/>
  <c r="K108" s="1"/>
  <c r="J99"/>
  <c r="J108" s="1"/>
  <c r="I99"/>
  <c r="H99"/>
  <c r="H108" s="1"/>
  <c r="G99"/>
  <c r="G108" s="1"/>
  <c r="F99"/>
  <c r="F108" s="1"/>
  <c r="E99"/>
  <c r="D99"/>
  <c r="D108" s="1"/>
  <c r="C99"/>
  <c r="C108" s="1"/>
  <c r="M87"/>
  <c r="N87" s="1"/>
  <c r="K87"/>
  <c r="J87"/>
  <c r="D87"/>
  <c r="B87"/>
  <c r="M86"/>
  <c r="N86" s="1"/>
  <c r="K86"/>
  <c r="J86"/>
  <c r="D86"/>
  <c r="N85"/>
  <c r="M85"/>
  <c r="K85"/>
  <c r="J85" s="1"/>
  <c r="D85"/>
  <c r="N84"/>
  <c r="M84"/>
  <c r="K84"/>
  <c r="J84" s="1"/>
  <c r="D84"/>
  <c r="N83"/>
  <c r="M83"/>
  <c r="K83"/>
  <c r="J83" s="1"/>
  <c r="D83"/>
  <c r="B83"/>
  <c r="N82"/>
  <c r="M82"/>
  <c r="K82"/>
  <c r="J82" s="1"/>
  <c r="D82"/>
  <c r="B82"/>
  <c r="N81"/>
  <c r="M81"/>
  <c r="K81"/>
  <c r="J81" s="1"/>
  <c r="D81"/>
  <c r="N80"/>
  <c r="M80"/>
  <c r="K80"/>
  <c r="J80" s="1"/>
  <c r="F80"/>
  <c r="H86" s="1"/>
  <c r="D80"/>
  <c r="M77"/>
  <c r="N77" s="1"/>
  <c r="K77"/>
  <c r="J77"/>
  <c r="D77"/>
  <c r="N76"/>
  <c r="M76"/>
  <c r="K76"/>
  <c r="J76" s="1"/>
  <c r="D76"/>
  <c r="N75"/>
  <c r="M75"/>
  <c r="K75"/>
  <c r="J75" s="1"/>
  <c r="D75"/>
  <c r="M74"/>
  <c r="N74" s="1"/>
  <c r="K74"/>
  <c r="J74"/>
  <c r="D74"/>
  <c r="M73"/>
  <c r="N73" s="1"/>
  <c r="K73"/>
  <c r="J73"/>
  <c r="D73"/>
  <c r="B73"/>
  <c r="M72"/>
  <c r="N72" s="1"/>
  <c r="K72"/>
  <c r="J72"/>
  <c r="D72"/>
  <c r="B72"/>
  <c r="M71"/>
  <c r="N71" s="1"/>
  <c r="K71"/>
  <c r="J71"/>
  <c r="D71"/>
  <c r="B71"/>
  <c r="M70"/>
  <c r="N70" s="1"/>
  <c r="K70"/>
  <c r="J70"/>
  <c r="D70"/>
  <c r="N69"/>
  <c r="M69"/>
  <c r="K69"/>
  <c r="J69" s="1"/>
  <c r="F69"/>
  <c r="D69"/>
  <c r="M66"/>
  <c r="N66" s="1"/>
  <c r="K66"/>
  <c r="J66"/>
  <c r="D66"/>
  <c r="B66"/>
  <c r="M65"/>
  <c r="N65" s="1"/>
  <c r="K65"/>
  <c r="J65"/>
  <c r="D65"/>
  <c r="M64"/>
  <c r="N64" s="1"/>
  <c r="K64"/>
  <c r="J64"/>
  <c r="D64"/>
  <c r="B64"/>
  <c r="M63"/>
  <c r="N63" s="1"/>
  <c r="K63"/>
  <c r="J63"/>
  <c r="D63"/>
  <c r="N62"/>
  <c r="M62"/>
  <c r="K62"/>
  <c r="J62" s="1"/>
  <c r="D62"/>
  <c r="N61"/>
  <c r="M61"/>
  <c r="K61"/>
  <c r="J61" s="1"/>
  <c r="D61"/>
  <c r="M60"/>
  <c r="N60" s="1"/>
  <c r="K60"/>
  <c r="J60"/>
  <c r="D60"/>
  <c r="B60"/>
  <c r="M59"/>
  <c r="N59" s="1"/>
  <c r="K59"/>
  <c r="J59"/>
  <c r="D59"/>
  <c r="M58"/>
  <c r="N58" s="1"/>
  <c r="K58"/>
  <c r="J58"/>
  <c r="F58"/>
  <c r="H63" s="1"/>
  <c r="E58"/>
  <c r="B56" s="1"/>
  <c r="D58"/>
  <c r="B58"/>
  <c r="N55"/>
  <c r="M55"/>
  <c r="K55"/>
  <c r="J55" s="1"/>
  <c r="D55"/>
  <c r="N54"/>
  <c r="M54"/>
  <c r="K54"/>
  <c r="J54" s="1"/>
  <c r="D54"/>
  <c r="N53"/>
  <c r="M53"/>
  <c r="K53"/>
  <c r="J53" s="1"/>
  <c r="D53"/>
  <c r="N52"/>
  <c r="M52"/>
  <c r="K52"/>
  <c r="J52" s="1"/>
  <c r="D52"/>
  <c r="M51"/>
  <c r="N51" s="1"/>
  <c r="K51"/>
  <c r="J51"/>
  <c r="D51"/>
  <c r="B51"/>
  <c r="M50"/>
  <c r="N50" s="1"/>
  <c r="K50"/>
  <c r="J50"/>
  <c r="D50"/>
  <c r="N49"/>
  <c r="M49"/>
  <c r="K49"/>
  <c r="J49" s="1"/>
  <c r="D49"/>
  <c r="B49"/>
  <c r="N48"/>
  <c r="M48"/>
  <c r="K48"/>
  <c r="J48" s="1"/>
  <c r="D48"/>
  <c r="N47"/>
  <c r="M47"/>
  <c r="K47"/>
  <c r="J47" s="1"/>
  <c r="F47"/>
  <c r="H52" s="1"/>
  <c r="D47"/>
  <c r="H39"/>
  <c r="H38"/>
  <c r="H37"/>
  <c r="H36"/>
  <c r="H35"/>
  <c r="H34"/>
  <c r="H33"/>
  <c r="C24"/>
  <c r="J20"/>
  <c r="I20"/>
  <c r="G20"/>
  <c r="M19"/>
  <c r="I19"/>
  <c r="C18"/>
  <c r="F15"/>
  <c r="E15"/>
  <c r="D15"/>
  <c r="C15"/>
  <c r="C12" s="1"/>
  <c r="Y12"/>
  <c r="AJ10"/>
  <c r="AH10"/>
  <c r="AF10"/>
  <c r="AD10"/>
  <c r="AB10"/>
  <c r="Z10"/>
  <c r="Y10"/>
  <c r="C10"/>
  <c r="C11" s="1"/>
  <c r="AJ9"/>
  <c r="AJ12" s="1"/>
  <c r="AI9"/>
  <c r="AI10" s="1"/>
  <c r="AH9"/>
  <c r="AH12" s="1"/>
  <c r="AG9"/>
  <c r="AG10" s="1"/>
  <c r="AF9"/>
  <c r="AF12" s="1"/>
  <c r="AE9"/>
  <c r="AE10" s="1"/>
  <c r="AD9"/>
  <c r="AD12" s="1"/>
  <c r="AC9"/>
  <c r="AC10" s="1"/>
  <c r="AB9"/>
  <c r="AB12" s="1"/>
  <c r="AA9"/>
  <c r="AA10" s="1"/>
  <c r="Z9"/>
  <c r="Z12" s="1"/>
  <c r="C9"/>
  <c r="A7"/>
  <c r="D5"/>
  <c r="I2"/>
  <c r="H14" i="48" s="1"/>
  <c r="G2" i="46"/>
  <c r="H113" s="1"/>
  <c r="M1"/>
  <c r="D1"/>
  <c r="B122" i="40"/>
  <c r="B120"/>
  <c r="H41" s="1"/>
  <c r="B118"/>
  <c r="E117"/>
  <c r="F117" s="1"/>
  <c r="G117" s="1"/>
  <c r="H117" s="1"/>
  <c r="I117" s="1"/>
  <c r="J117" s="1"/>
  <c r="K117" s="1"/>
  <c r="L117" s="1"/>
  <c r="M117" s="1"/>
  <c r="D117"/>
  <c r="E115"/>
  <c r="F115" s="1"/>
  <c r="G115" s="1"/>
  <c r="H115" s="1"/>
  <c r="I115" s="1"/>
  <c r="J115" s="1"/>
  <c r="K115" s="1"/>
  <c r="L115" s="1"/>
  <c r="M115" s="1"/>
  <c r="D115"/>
  <c r="E113"/>
  <c r="F113" s="1"/>
  <c r="G113" s="1"/>
  <c r="H113" s="1"/>
  <c r="I113" s="1"/>
  <c r="J113" s="1"/>
  <c r="K113" s="1"/>
  <c r="L113" s="1"/>
  <c r="M113" s="1"/>
  <c r="D113"/>
  <c r="M109"/>
  <c r="L109"/>
  <c r="K109"/>
  <c r="J109"/>
  <c r="I109"/>
  <c r="H109"/>
  <c r="G109"/>
  <c r="F109"/>
  <c r="E109"/>
  <c r="D109"/>
  <c r="C109"/>
  <c r="B107"/>
  <c r="B105"/>
  <c r="B103"/>
  <c r="E102"/>
  <c r="F102" s="1"/>
  <c r="G102" s="1"/>
  <c r="H102" s="1"/>
  <c r="I102" s="1"/>
  <c r="J102" s="1"/>
  <c r="K102" s="1"/>
  <c r="L102" s="1"/>
  <c r="M102" s="1"/>
  <c r="D102"/>
  <c r="E100"/>
  <c r="F100" s="1"/>
  <c r="G100" s="1"/>
  <c r="H100" s="1"/>
  <c r="I100" s="1"/>
  <c r="J100" s="1"/>
  <c r="K100" s="1"/>
  <c r="L100" s="1"/>
  <c r="M100" s="1"/>
  <c r="D100"/>
  <c r="E98"/>
  <c r="F98" s="1"/>
  <c r="G98" s="1"/>
  <c r="H98" s="1"/>
  <c r="I98" s="1"/>
  <c r="J98" s="1"/>
  <c r="K98" s="1"/>
  <c r="L98" s="1"/>
  <c r="M98" s="1"/>
  <c r="D98"/>
  <c r="B97"/>
  <c r="H29" s="1"/>
  <c r="D96"/>
  <c r="E96" s="1"/>
  <c r="F96" s="1"/>
  <c r="G96" s="1"/>
  <c r="D94"/>
  <c r="E94" s="1"/>
  <c r="F94" s="1"/>
  <c r="G94" s="1"/>
  <c r="D92"/>
  <c r="E92" s="1"/>
  <c r="F92" s="1"/>
  <c r="G92" s="1"/>
  <c r="D90"/>
  <c r="E90" s="1"/>
  <c r="F90" s="1"/>
  <c r="G90" s="1"/>
  <c r="D88"/>
  <c r="E88" s="1"/>
  <c r="F88" s="1"/>
  <c r="G88" s="1"/>
  <c r="D86"/>
  <c r="E86" s="1"/>
  <c r="F86" s="1"/>
  <c r="G86" s="1"/>
  <c r="B83"/>
  <c r="B81"/>
  <c r="H15" s="1"/>
  <c r="B79"/>
  <c r="E78"/>
  <c r="F78" s="1"/>
  <c r="G78" s="1"/>
  <c r="H78" s="1"/>
  <c r="I78" s="1"/>
  <c r="J78" s="1"/>
  <c r="K78" s="1"/>
  <c r="L78" s="1"/>
  <c r="M78" s="1"/>
  <c r="D78"/>
  <c r="M76"/>
  <c r="L76"/>
  <c r="K76"/>
  <c r="J76"/>
  <c r="I76"/>
  <c r="H76"/>
  <c r="G76"/>
  <c r="F76"/>
  <c r="E76"/>
  <c r="D76"/>
  <c r="C76"/>
  <c r="H62"/>
  <c r="I62" s="1"/>
  <c r="C62" s="1"/>
  <c r="H61"/>
  <c r="I61" s="1"/>
  <c r="C61" s="1"/>
  <c r="H60"/>
  <c r="I60" s="1"/>
  <c r="C60" s="1"/>
  <c r="H59"/>
  <c r="I59" s="1"/>
  <c r="C59" s="1"/>
  <c r="H58"/>
  <c r="I58" s="1"/>
  <c r="C58" s="1"/>
  <c r="H57"/>
  <c r="I57" s="1"/>
  <c r="C57" s="1"/>
  <c r="H56"/>
  <c r="I56" s="1"/>
  <c r="C56" s="1"/>
  <c r="I55"/>
  <c r="C55" s="1"/>
  <c r="H55"/>
  <c r="H54"/>
  <c r="I54" s="1"/>
  <c r="C54" s="1"/>
  <c r="I50"/>
  <c r="J50" s="1"/>
  <c r="G50"/>
  <c r="H50" s="1"/>
  <c r="E50"/>
  <c r="F50" s="1"/>
  <c r="P45"/>
  <c r="P44"/>
  <c r="V43"/>
  <c r="T43"/>
  <c r="R43"/>
  <c r="P43"/>
  <c r="AB42"/>
  <c r="U42"/>
  <c r="Q42"/>
  <c r="Z42" s="1"/>
  <c r="J42"/>
  <c r="AC42" s="1"/>
  <c r="H42"/>
  <c r="F42"/>
  <c r="AA42" s="1"/>
  <c r="Q41"/>
  <c r="Z41" s="1"/>
  <c r="J41"/>
  <c r="AC41" s="1"/>
  <c r="AB40"/>
  <c r="U40"/>
  <c r="Q40"/>
  <c r="Z40" s="1"/>
  <c r="J40"/>
  <c r="AC40" s="1"/>
  <c r="H40"/>
  <c r="F40"/>
  <c r="AA40" s="1"/>
  <c r="Q39"/>
  <c r="Z39" s="1"/>
  <c r="J39"/>
  <c r="AC39" s="1"/>
  <c r="H39"/>
  <c r="AB39" s="1"/>
  <c r="F39"/>
  <c r="AA39" s="1"/>
  <c r="Q38"/>
  <c r="Z38" s="1"/>
  <c r="J38"/>
  <c r="AC38" s="1"/>
  <c r="H38"/>
  <c r="AB38" s="1"/>
  <c r="F38"/>
  <c r="AA38" s="1"/>
  <c r="AC37"/>
  <c r="W37"/>
  <c r="Q37"/>
  <c r="Z37" s="1"/>
  <c r="J37"/>
  <c r="H37"/>
  <c r="AB37" s="1"/>
  <c r="F37"/>
  <c r="AA37" s="1"/>
  <c r="AB36"/>
  <c r="U36"/>
  <c r="Q36"/>
  <c r="Z36" s="1"/>
  <c r="J36"/>
  <c r="AC36" s="1"/>
  <c r="H36"/>
  <c r="F36"/>
  <c r="AA36" s="1"/>
  <c r="Q35"/>
  <c r="Z35" s="1"/>
  <c r="J35"/>
  <c r="AC35" s="1"/>
  <c r="H35"/>
  <c r="AB35" s="1"/>
  <c r="F35"/>
  <c r="AA35" s="1"/>
  <c r="Q34"/>
  <c r="Z34" s="1"/>
  <c r="AC33"/>
  <c r="W33"/>
  <c r="Q33"/>
  <c r="Z33" s="1"/>
  <c r="J33"/>
  <c r="H33"/>
  <c r="AB33" s="1"/>
  <c r="F33"/>
  <c r="AA33" s="1"/>
  <c r="Q32"/>
  <c r="Z32" s="1"/>
  <c r="C32"/>
  <c r="J32" s="1"/>
  <c r="AC30"/>
  <c r="W30"/>
  <c r="Q30"/>
  <c r="Z30" s="1"/>
  <c r="J30"/>
  <c r="H30"/>
  <c r="AB30" s="1"/>
  <c r="F30"/>
  <c r="AA30" s="1"/>
  <c r="C30"/>
  <c r="Q29"/>
  <c r="Z29" s="1"/>
  <c r="J29"/>
  <c r="AC29" s="1"/>
  <c r="AB27"/>
  <c r="U27"/>
  <c r="Q27"/>
  <c r="Z27" s="1"/>
  <c r="J27"/>
  <c r="AC27" s="1"/>
  <c r="H27"/>
  <c r="F27"/>
  <c r="AA27" s="1"/>
  <c r="AB25"/>
  <c r="U25"/>
  <c r="Q25"/>
  <c r="Z25" s="1"/>
  <c r="J25"/>
  <c r="AC25" s="1"/>
  <c r="H25"/>
  <c r="F25"/>
  <c r="AA25" s="1"/>
  <c r="AB23"/>
  <c r="U23"/>
  <c r="Q23"/>
  <c r="Z23" s="1"/>
  <c r="J23"/>
  <c r="AC23" s="1"/>
  <c r="H23"/>
  <c r="F23"/>
  <c r="AA23" s="1"/>
  <c r="C23"/>
  <c r="AB21"/>
  <c r="U21"/>
  <c r="Q21"/>
  <c r="Z21" s="1"/>
  <c r="J21"/>
  <c r="AC21" s="1"/>
  <c r="H21"/>
  <c r="F21"/>
  <c r="AA21" s="1"/>
  <c r="C21"/>
  <c r="AB19"/>
  <c r="U19"/>
  <c r="Q19"/>
  <c r="Z19" s="1"/>
  <c r="J19"/>
  <c r="AC19" s="1"/>
  <c r="H19"/>
  <c r="F19"/>
  <c r="AA19" s="1"/>
  <c r="AB17"/>
  <c r="U17"/>
  <c r="Q17"/>
  <c r="Z17" s="1"/>
  <c r="J17"/>
  <c r="AC17" s="1"/>
  <c r="H17"/>
  <c r="F17"/>
  <c r="AA17" s="1"/>
  <c r="AB16"/>
  <c r="U16"/>
  <c r="Q16"/>
  <c r="Z16" s="1"/>
  <c r="J16"/>
  <c r="AC16" s="1"/>
  <c r="H16"/>
  <c r="F16"/>
  <c r="AA16" s="1"/>
  <c r="Q15"/>
  <c r="Z15" s="1"/>
  <c r="J15"/>
  <c r="AC15" s="1"/>
  <c r="AB14"/>
  <c r="U14"/>
  <c r="Q14"/>
  <c r="Z14" s="1"/>
  <c r="J14"/>
  <c r="AC14" s="1"/>
  <c r="H14"/>
  <c r="F14"/>
  <c r="AA14" s="1"/>
  <c r="Q13"/>
  <c r="Z13" s="1"/>
  <c r="J13"/>
  <c r="AC13" s="1"/>
  <c r="H13"/>
  <c r="AB13" s="1"/>
  <c r="F13"/>
  <c r="AA13" s="1"/>
  <c r="Q12"/>
  <c r="Z12" s="1"/>
  <c r="AB11"/>
  <c r="U11"/>
  <c r="Q11"/>
  <c r="Z11" s="1"/>
  <c r="J11"/>
  <c r="AC11" s="1"/>
  <c r="H11"/>
  <c r="F11"/>
  <c r="AA11" s="1"/>
  <c r="U10"/>
  <c r="J10"/>
  <c r="W10" s="1"/>
  <c r="H10"/>
  <c r="AB10" s="1"/>
  <c r="F10"/>
  <c r="S10" s="1"/>
  <c r="B133" i="39"/>
  <c r="B131"/>
  <c r="B129"/>
  <c r="D128"/>
  <c r="E128" s="1"/>
  <c r="F128" s="1"/>
  <c r="D126"/>
  <c r="E126" s="1"/>
  <c r="F126" s="1"/>
  <c r="G126" s="1"/>
  <c r="H126" s="1"/>
  <c r="I126" s="1"/>
  <c r="J126" s="1"/>
  <c r="K126" s="1"/>
  <c r="L126" s="1"/>
  <c r="M126" s="1"/>
  <c r="D124"/>
  <c r="E124" s="1"/>
  <c r="F124" s="1"/>
  <c r="G124" s="1"/>
  <c r="H124" s="1"/>
  <c r="I124" s="1"/>
  <c r="J124" s="1"/>
  <c r="K124" s="1"/>
  <c r="L124" s="1"/>
  <c r="M124" s="1"/>
  <c r="D122"/>
  <c r="E122" s="1"/>
  <c r="F122" s="1"/>
  <c r="G122" s="1"/>
  <c r="H122" s="1"/>
  <c r="I122" s="1"/>
  <c r="J122" s="1"/>
  <c r="K122" s="1"/>
  <c r="L122" s="1"/>
  <c r="M122" s="1"/>
  <c r="M118"/>
  <c r="L118"/>
  <c r="K118"/>
  <c r="J118"/>
  <c r="I118"/>
  <c r="H118"/>
  <c r="G118"/>
  <c r="F118"/>
  <c r="E118"/>
  <c r="D118"/>
  <c r="C118"/>
  <c r="B116"/>
  <c r="B114"/>
  <c r="B112"/>
  <c r="D111"/>
  <c r="E111" s="1"/>
  <c r="F111" s="1"/>
  <c r="G111" s="1"/>
  <c r="H111" s="1"/>
  <c r="I111" s="1"/>
  <c r="J111" s="1"/>
  <c r="K111" s="1"/>
  <c r="L111" s="1"/>
  <c r="M111" s="1"/>
  <c r="D109"/>
  <c r="E109" s="1"/>
  <c r="F109" s="1"/>
  <c r="G109" s="1"/>
  <c r="H109" s="1"/>
  <c r="I109" s="1"/>
  <c r="J109" s="1"/>
  <c r="K109" s="1"/>
  <c r="L109" s="1"/>
  <c r="M109" s="1"/>
  <c r="D107"/>
  <c r="B106"/>
  <c r="D105"/>
  <c r="D103"/>
  <c r="E103" s="1"/>
  <c r="F103" s="1"/>
  <c r="D101"/>
  <c r="E101" s="1"/>
  <c r="F101" s="1"/>
  <c r="G101" s="1"/>
  <c r="D99"/>
  <c r="E99" s="1"/>
  <c r="F99" s="1"/>
  <c r="G99" s="1"/>
  <c r="D97"/>
  <c r="E97" s="1"/>
  <c r="D95"/>
  <c r="E95" s="1"/>
  <c r="F95" s="1"/>
  <c r="G95" s="1"/>
  <c r="D93"/>
  <c r="E93" s="1"/>
  <c r="F93" s="1"/>
  <c r="D91"/>
  <c r="B88"/>
  <c r="B86"/>
  <c r="B84"/>
  <c r="D83"/>
  <c r="E83" s="1"/>
  <c r="F83" s="1"/>
  <c r="G83" s="1"/>
  <c r="H83" s="1"/>
  <c r="I83" s="1"/>
  <c r="J83" s="1"/>
  <c r="K83" s="1"/>
  <c r="L83" s="1"/>
  <c r="M83" s="1"/>
  <c r="M81"/>
  <c r="L81"/>
  <c r="K81"/>
  <c r="J81"/>
  <c r="I81"/>
  <c r="H81"/>
  <c r="G81"/>
  <c r="F81"/>
  <c r="E81"/>
  <c r="D81"/>
  <c r="C81"/>
  <c r="I67"/>
  <c r="H67"/>
  <c r="C67"/>
  <c r="H66"/>
  <c r="I66" s="1"/>
  <c r="C66" s="1"/>
  <c r="I65"/>
  <c r="C65" s="1"/>
  <c r="H65"/>
  <c r="H64"/>
  <c r="I64" s="1"/>
  <c r="C64" s="1"/>
  <c r="H63"/>
  <c r="I63" s="1"/>
  <c r="C63" s="1"/>
  <c r="H62"/>
  <c r="I62" s="1"/>
  <c r="C62" s="1"/>
  <c r="H61"/>
  <c r="I61" s="1"/>
  <c r="C61" s="1"/>
  <c r="H60"/>
  <c r="I60" s="1"/>
  <c r="C60" s="1"/>
  <c r="H59"/>
  <c r="I59" s="1"/>
  <c r="C59" s="1"/>
  <c r="I55"/>
  <c r="J55" s="1"/>
  <c r="G55"/>
  <c r="H55" s="1"/>
  <c r="E55"/>
  <c r="F55" s="1"/>
  <c r="P50"/>
  <c r="P49"/>
  <c r="V48"/>
  <c r="T48"/>
  <c r="R48"/>
  <c r="P48"/>
  <c r="Q47"/>
  <c r="Z47" s="1"/>
  <c r="J47"/>
  <c r="AC47" s="1"/>
  <c r="H47"/>
  <c r="AB47" s="1"/>
  <c r="F47"/>
  <c r="AA47" s="1"/>
  <c r="Q46"/>
  <c r="Z46" s="1"/>
  <c r="Q45"/>
  <c r="Z45" s="1"/>
  <c r="J45"/>
  <c r="AC45" s="1"/>
  <c r="H45"/>
  <c r="AB45" s="1"/>
  <c r="F45"/>
  <c r="AA45" s="1"/>
  <c r="Z44"/>
  <c r="Q44"/>
  <c r="J44"/>
  <c r="AC44" s="1"/>
  <c r="Q43"/>
  <c r="Z43" s="1"/>
  <c r="J43"/>
  <c r="AC43" s="1"/>
  <c r="H43"/>
  <c r="AB43" s="1"/>
  <c r="F43"/>
  <c r="AA43" s="1"/>
  <c r="Q42"/>
  <c r="Z42" s="1"/>
  <c r="J42"/>
  <c r="AC42" s="1"/>
  <c r="H42"/>
  <c r="AB42" s="1"/>
  <c r="F42"/>
  <c r="AA42" s="1"/>
  <c r="Z41"/>
  <c r="Q41"/>
  <c r="J41"/>
  <c r="AC41" s="1"/>
  <c r="H41"/>
  <c r="AB41" s="1"/>
  <c r="F41"/>
  <c r="AA41" s="1"/>
  <c r="Q40"/>
  <c r="Z40" s="1"/>
  <c r="J40"/>
  <c r="AC40" s="1"/>
  <c r="H40"/>
  <c r="AB40" s="1"/>
  <c r="F40"/>
  <c r="AA40" s="1"/>
  <c r="Q39"/>
  <c r="Z39" s="1"/>
  <c r="J39"/>
  <c r="AC39" s="1"/>
  <c r="H39"/>
  <c r="AB39" s="1"/>
  <c r="F39"/>
  <c r="AA39" s="1"/>
  <c r="Q38"/>
  <c r="Z38" s="1"/>
  <c r="H38"/>
  <c r="AB38" s="1"/>
  <c r="Q37"/>
  <c r="Z37" s="1"/>
  <c r="J37"/>
  <c r="AC37" s="1"/>
  <c r="H37"/>
  <c r="AB37" s="1"/>
  <c r="F37"/>
  <c r="AA37" s="1"/>
  <c r="Q36"/>
  <c r="Z36" s="1"/>
  <c r="J36"/>
  <c r="AC36" s="1"/>
  <c r="H36"/>
  <c r="AB36" s="1"/>
  <c r="F36"/>
  <c r="AA36" s="1"/>
  <c r="Q34"/>
  <c r="Z34" s="1"/>
  <c r="J34"/>
  <c r="AC34" s="1"/>
  <c r="H34"/>
  <c r="AB34" s="1"/>
  <c r="F34"/>
  <c r="AA34" s="1"/>
  <c r="Z33"/>
  <c r="Q33"/>
  <c r="Z31"/>
  <c r="Q31"/>
  <c r="J31"/>
  <c r="AC31" s="1"/>
  <c r="Z29"/>
  <c r="Q29"/>
  <c r="J29"/>
  <c r="AC29" s="1"/>
  <c r="H29"/>
  <c r="AB29" s="1"/>
  <c r="C29"/>
  <c r="Q27"/>
  <c r="Z27" s="1"/>
  <c r="J27"/>
  <c r="AC27" s="1"/>
  <c r="H27"/>
  <c r="AB27" s="1"/>
  <c r="F27"/>
  <c r="AA27" s="1"/>
  <c r="C27"/>
  <c r="Q25"/>
  <c r="Z25" s="1"/>
  <c r="J25"/>
  <c r="AC25" s="1"/>
  <c r="H25"/>
  <c r="AB25" s="1"/>
  <c r="F25"/>
  <c r="AA25" s="1"/>
  <c r="C25"/>
  <c r="Q23"/>
  <c r="Z23" s="1"/>
  <c r="Q21"/>
  <c r="Z21" s="1"/>
  <c r="J21"/>
  <c r="AC21" s="1"/>
  <c r="H21"/>
  <c r="AB21" s="1"/>
  <c r="F21"/>
  <c r="AA21" s="1"/>
  <c r="C21"/>
  <c r="Q19"/>
  <c r="Z19" s="1"/>
  <c r="J19"/>
  <c r="AC19" s="1"/>
  <c r="H19"/>
  <c r="AB19" s="1"/>
  <c r="Q17"/>
  <c r="Z17" s="1"/>
  <c r="H17"/>
  <c r="AB17" s="1"/>
  <c r="Q16"/>
  <c r="Z16" s="1"/>
  <c r="J16"/>
  <c r="AC16" s="1"/>
  <c r="H16"/>
  <c r="AB16" s="1"/>
  <c r="F16"/>
  <c r="AA16" s="1"/>
  <c r="Q15"/>
  <c r="Z15" s="1"/>
  <c r="H15"/>
  <c r="AB15" s="1"/>
  <c r="Q14"/>
  <c r="Z14" s="1"/>
  <c r="J14"/>
  <c r="AC14" s="1"/>
  <c r="H14"/>
  <c r="AB14" s="1"/>
  <c r="F14"/>
  <c r="AA14" s="1"/>
  <c r="Z13"/>
  <c r="Q13"/>
  <c r="Q12"/>
  <c r="Z12" s="1"/>
  <c r="Q11"/>
  <c r="Z11" s="1"/>
  <c r="J11"/>
  <c r="AC11" s="1"/>
  <c r="H11"/>
  <c r="AB11" s="1"/>
  <c r="F11"/>
  <c r="AA11" s="1"/>
  <c r="J10"/>
  <c r="W10" s="1"/>
  <c r="H10"/>
  <c r="AB10" s="1"/>
  <c r="F10"/>
  <c r="S10" s="1"/>
  <c r="F20" i="43"/>
  <c r="C20" s="1"/>
  <c r="F19"/>
  <c r="F17"/>
  <c r="E16"/>
  <c r="F15"/>
  <c r="F14"/>
  <c r="K9"/>
  <c r="J9"/>
  <c r="I9"/>
  <c r="H9"/>
  <c r="G9"/>
  <c r="F9"/>
  <c r="E9"/>
  <c r="D9"/>
  <c r="C9"/>
  <c r="C6"/>
  <c r="G28" i="12"/>
  <c r="F25"/>
  <c r="F24"/>
  <c r="F23"/>
  <c r="E22"/>
  <c r="E21"/>
  <c r="E19"/>
  <c r="F17"/>
  <c r="E16"/>
  <c r="F15"/>
  <c r="F14"/>
  <c r="K9"/>
  <c r="J9"/>
  <c r="I9"/>
  <c r="H9"/>
  <c r="G9"/>
  <c r="F9"/>
  <c r="C9"/>
  <c r="C112" i="9"/>
  <c r="E108"/>
  <c r="D107"/>
  <c r="C107" s="1"/>
  <c r="C105" s="1"/>
  <c r="H95"/>
  <c r="D95"/>
  <c r="C95" s="1"/>
  <c r="C94"/>
  <c r="F77"/>
  <c r="P75" s="1"/>
  <c r="E77"/>
  <c r="O75"/>
  <c r="L75"/>
  <c r="K75"/>
  <c r="O74"/>
  <c r="F74"/>
  <c r="P74" s="1"/>
  <c r="O73"/>
  <c r="I73"/>
  <c r="F73"/>
  <c r="P73" s="1"/>
  <c r="D73"/>
  <c r="N73" s="1"/>
  <c r="E66"/>
  <c r="O72" s="1"/>
  <c r="A46"/>
  <c r="A45"/>
  <c r="C45" s="1"/>
  <c r="K44"/>
  <c r="A44"/>
  <c r="K43"/>
  <c r="C43"/>
  <c r="K47" s="1"/>
  <c r="K29"/>
  <c r="K30" s="1"/>
  <c r="C25"/>
  <c r="C24"/>
  <c r="D17"/>
  <c r="C17"/>
  <c r="C18" s="1"/>
  <c r="M4"/>
  <c r="L4"/>
  <c r="F23" i="66"/>
  <c r="E23"/>
  <c r="F22"/>
  <c r="E22"/>
  <c r="F21"/>
  <c r="E21"/>
  <c r="F20"/>
  <c r="E20"/>
  <c r="F19"/>
  <c r="E19"/>
  <c r="F18"/>
  <c r="E18"/>
  <c r="F17"/>
  <c r="E17"/>
  <c r="F16"/>
  <c r="E16"/>
  <c r="C24" i="20"/>
  <c r="B62" i="46" s="1"/>
  <c r="C22" i="20"/>
  <c r="B65" i="46" s="1"/>
  <c r="C21" i="20"/>
  <c r="B53" i="46" s="1"/>
  <c r="G20" i="20"/>
  <c r="B85" i="46" s="1"/>
  <c r="C20" i="20"/>
  <c r="B76" i="46" s="1"/>
  <c r="G19" i="20"/>
  <c r="B84" i="46" s="1"/>
  <c r="G18" i="20"/>
  <c r="C18"/>
  <c r="C17"/>
  <c r="G16"/>
  <c r="B81" i="46" s="1"/>
  <c r="C16" i="20"/>
  <c r="B47" i="46" s="1"/>
  <c r="G15" i="20"/>
  <c r="B80" i="46" s="1"/>
  <c r="C15" i="20"/>
  <c r="B69" i="46" s="1"/>
  <c r="B52" i="1"/>
  <c r="M20" i="15" s="1"/>
  <c r="B43" i="1"/>
  <c r="D111" i="9" s="1"/>
  <c r="B31" i="1"/>
  <c r="E10" i="11" s="1"/>
  <c r="B24" i="1"/>
  <c r="B23"/>
  <c r="B22"/>
  <c r="C2" i="65" s="1"/>
  <c r="AG13" i="1"/>
  <c r="AE13"/>
  <c r="F13"/>
  <c r="AP13" s="1"/>
  <c r="D13"/>
  <c r="A13"/>
  <c r="AG12"/>
  <c r="AE12"/>
  <c r="F12"/>
  <c r="AP12" s="1"/>
  <c r="D12"/>
  <c r="A12"/>
  <c r="K12" s="1"/>
  <c r="M12" s="1"/>
  <c r="AG11"/>
  <c r="AE11"/>
  <c r="F11"/>
  <c r="AP11" s="1"/>
  <c r="D11"/>
  <c r="A11"/>
  <c r="AG10"/>
  <c r="AE10"/>
  <c r="F10"/>
  <c r="AP10" s="1"/>
  <c r="D10"/>
  <c r="A10"/>
  <c r="K10" s="1"/>
  <c r="M10" s="1"/>
  <c r="AG9"/>
  <c r="AE9"/>
  <c r="F9"/>
  <c r="AP9" s="1"/>
  <c r="D9"/>
  <c r="A9"/>
  <c r="AG8"/>
  <c r="D8"/>
  <c r="A8"/>
  <c r="AG7"/>
  <c r="AE7"/>
  <c r="D7"/>
  <c r="A7"/>
  <c r="AG6"/>
  <c r="D6"/>
  <c r="A6"/>
  <c r="T4"/>
  <c r="O27" i="6"/>
  <c r="N27"/>
  <c r="G27"/>
  <c r="P26"/>
  <c r="L26"/>
  <c r="E26"/>
  <c r="P25"/>
  <c r="L25"/>
  <c r="E25"/>
  <c r="P24"/>
  <c r="L24"/>
  <c r="E24"/>
  <c r="P23"/>
  <c r="L23"/>
  <c r="E23"/>
  <c r="P22"/>
  <c r="L22"/>
  <c r="E22"/>
  <c r="P21"/>
  <c r="L21"/>
  <c r="E21"/>
  <c r="E9" i="12" s="1"/>
  <c r="P20" i="6"/>
  <c r="L20"/>
  <c r="E20"/>
  <c r="D3" i="33" s="1"/>
  <c r="P19" i="6"/>
  <c r="P27" s="1"/>
  <c r="E19"/>
  <c r="E32" s="1"/>
  <c r="BT572" i="3"/>
  <c r="BS572"/>
  <c r="BR572"/>
  <c r="BQ572"/>
  <c r="BP572"/>
  <c r="BO572"/>
  <c r="BN572"/>
  <c r="BM572"/>
  <c r="BL572"/>
  <c r="BK572"/>
  <c r="BJ572"/>
  <c r="BI572"/>
  <c r="BH572"/>
  <c r="BG572"/>
  <c r="BF572"/>
  <c r="BE572"/>
  <c r="BD572"/>
  <c r="BC572"/>
  <c r="BB572"/>
  <c r="BA572" s="1"/>
  <c r="AZ572"/>
  <c r="AX572"/>
  <c r="AW572"/>
  <c r="AV572"/>
  <c r="AC572"/>
  <c r="H572"/>
  <c r="G572"/>
  <c r="BT571"/>
  <c r="BS571"/>
  <c r="BR571"/>
  <c r="BQ571"/>
  <c r="BP571"/>
  <c r="BO571"/>
  <c r="BN571"/>
  <c r="BM571"/>
  <c r="BL571" s="1"/>
  <c r="BK571"/>
  <c r="BJ571"/>
  <c r="BI571"/>
  <c r="BH571"/>
  <c r="BG571"/>
  <c r="BF571"/>
  <c r="BE571"/>
  <c r="BD571"/>
  <c r="BC571"/>
  <c r="BB571"/>
  <c r="BA571"/>
  <c r="AX571"/>
  <c r="AW571"/>
  <c r="AV571"/>
  <c r="AC571"/>
  <c r="H571"/>
  <c r="G571" s="1"/>
  <c r="BT570"/>
  <c r="BS570"/>
  <c r="BR570"/>
  <c r="BQ570"/>
  <c r="BP570"/>
  <c r="BO570"/>
  <c r="BN570"/>
  <c r="BM570"/>
  <c r="BL570"/>
  <c r="BK570"/>
  <c r="BJ570"/>
  <c r="BI570"/>
  <c r="BH570"/>
  <c r="BG570"/>
  <c r="BF570"/>
  <c r="BE570"/>
  <c r="BD570"/>
  <c r="BC570"/>
  <c r="BB570"/>
  <c r="BA570" s="1"/>
  <c r="AZ570"/>
  <c r="AX570"/>
  <c r="AW570"/>
  <c r="AV570"/>
  <c r="AC570"/>
  <c r="H570"/>
  <c r="G570"/>
  <c r="BT569"/>
  <c r="BS569"/>
  <c r="BR569"/>
  <c r="BQ569"/>
  <c r="BP569"/>
  <c r="BO569"/>
  <c r="BN569"/>
  <c r="BM569"/>
  <c r="BL569" s="1"/>
  <c r="BK569"/>
  <c r="BJ569"/>
  <c r="BI569"/>
  <c r="BH569"/>
  <c r="BG569"/>
  <c r="BF569"/>
  <c r="BE569"/>
  <c r="BD569"/>
  <c r="BC569"/>
  <c r="BB569"/>
  <c r="BA569"/>
  <c r="AX569"/>
  <c r="AW569"/>
  <c r="AV569"/>
  <c r="AC569"/>
  <c r="H569"/>
  <c r="G569" s="1"/>
  <c r="BT568"/>
  <c r="BS568"/>
  <c r="BR568"/>
  <c r="BQ568"/>
  <c r="BP568"/>
  <c r="BO568"/>
  <c r="BN568"/>
  <c r="BM568"/>
  <c r="BL568"/>
  <c r="BK568"/>
  <c r="BJ568"/>
  <c r="BI568"/>
  <c r="BH568"/>
  <c r="BG568"/>
  <c r="BF568"/>
  <c r="BE568"/>
  <c r="BD568"/>
  <c r="BC568"/>
  <c r="BB568"/>
  <c r="BA568" s="1"/>
  <c r="AZ568"/>
  <c r="AX568"/>
  <c r="AW568"/>
  <c r="AV568"/>
  <c r="AC568"/>
  <c r="H568"/>
  <c r="G568"/>
  <c r="BT567"/>
  <c r="BS567"/>
  <c r="BR567"/>
  <c r="BQ567"/>
  <c r="BP567"/>
  <c r="BO567"/>
  <c r="BN567"/>
  <c r="BM567"/>
  <c r="BL567" s="1"/>
  <c r="BK567"/>
  <c r="BJ567"/>
  <c r="BI567"/>
  <c r="BH567"/>
  <c r="BG567"/>
  <c r="BF567"/>
  <c r="BE567"/>
  <c r="BD567"/>
  <c r="BC567"/>
  <c r="BB567"/>
  <c r="BA567"/>
  <c r="AX567"/>
  <c r="AW567"/>
  <c r="AV567"/>
  <c r="AC567"/>
  <c r="H567"/>
  <c r="G567" s="1"/>
  <c r="BT566"/>
  <c r="BS566"/>
  <c r="BR566"/>
  <c r="BQ566"/>
  <c r="BP566"/>
  <c r="BO566"/>
  <c r="BN566"/>
  <c r="BM566"/>
  <c r="BL566"/>
  <c r="BK566"/>
  <c r="BJ566"/>
  <c r="BI566"/>
  <c r="BH566"/>
  <c r="BG566"/>
  <c r="BF566"/>
  <c r="BE566"/>
  <c r="BD566"/>
  <c r="BC566"/>
  <c r="BB566"/>
  <c r="BA566" s="1"/>
  <c r="AZ566"/>
  <c r="AX566"/>
  <c r="AW566"/>
  <c r="AV566"/>
  <c r="AC566"/>
  <c r="H566"/>
  <c r="G566"/>
  <c r="BT565"/>
  <c r="BS565"/>
  <c r="BR565"/>
  <c r="BQ565"/>
  <c r="BP565"/>
  <c r="BO565"/>
  <c r="BN565"/>
  <c r="BM565"/>
  <c r="BL565" s="1"/>
  <c r="BK565"/>
  <c r="BJ565"/>
  <c r="BI565"/>
  <c r="BH565"/>
  <c r="BG565"/>
  <c r="BF565"/>
  <c r="BE565"/>
  <c r="BD565"/>
  <c r="BC565"/>
  <c r="BB565"/>
  <c r="BA565"/>
  <c r="AX565"/>
  <c r="AW565"/>
  <c r="AV565"/>
  <c r="AC565"/>
  <c r="H565"/>
  <c r="G565" s="1"/>
  <c r="BT564"/>
  <c r="BS564"/>
  <c r="BR564"/>
  <c r="BQ564"/>
  <c r="BP564"/>
  <c r="BO564"/>
  <c r="BN564"/>
  <c r="BM564"/>
  <c r="BL564"/>
  <c r="BK564"/>
  <c r="BJ564"/>
  <c r="BI564"/>
  <c r="BH564"/>
  <c r="BG564"/>
  <c r="BF564"/>
  <c r="BE564"/>
  <c r="BD564"/>
  <c r="BC564"/>
  <c r="BB564"/>
  <c r="BA564" s="1"/>
  <c r="AZ564"/>
  <c r="AX564"/>
  <c r="AW564"/>
  <c r="AV564"/>
  <c r="AC564"/>
  <c r="H564"/>
  <c r="G564"/>
  <c r="BT563"/>
  <c r="BS563"/>
  <c r="BR563"/>
  <c r="BQ563"/>
  <c r="BP563"/>
  <c r="BO563"/>
  <c r="BN563"/>
  <c r="BM563"/>
  <c r="BL563" s="1"/>
  <c r="BK563"/>
  <c r="BJ563"/>
  <c r="BI563"/>
  <c r="BH563"/>
  <c r="BG563"/>
  <c r="BF563"/>
  <c r="BE563"/>
  <c r="BD563"/>
  <c r="BC563"/>
  <c r="BB563"/>
  <c r="BA563"/>
  <c r="AX563"/>
  <c r="AW563"/>
  <c r="AV563"/>
  <c r="AC563"/>
  <c r="H563"/>
  <c r="G563" s="1"/>
  <c r="BT562"/>
  <c r="BS562"/>
  <c r="BR562"/>
  <c r="BQ562"/>
  <c r="BP562"/>
  <c r="BO562"/>
  <c r="BN562"/>
  <c r="BM562"/>
  <c r="BL562"/>
  <c r="BK562"/>
  <c r="BJ562"/>
  <c r="BI562"/>
  <c r="BH562"/>
  <c r="BG562"/>
  <c r="BF562"/>
  <c r="BE562"/>
  <c r="BD562"/>
  <c r="BC562"/>
  <c r="BB562"/>
  <c r="BA562" s="1"/>
  <c r="AZ562"/>
  <c r="AX562"/>
  <c r="AW562"/>
  <c r="AV562"/>
  <c r="AC562"/>
  <c r="H562"/>
  <c r="G562"/>
  <c r="BT561"/>
  <c r="BS561"/>
  <c r="BR561"/>
  <c r="BQ561"/>
  <c r="BP561"/>
  <c r="BO561"/>
  <c r="BN561"/>
  <c r="BM561"/>
  <c r="BL561" s="1"/>
  <c r="BK561"/>
  <c r="BJ561"/>
  <c r="BI561"/>
  <c r="BH561"/>
  <c r="BG561"/>
  <c r="BF561"/>
  <c r="BE561"/>
  <c r="BD561"/>
  <c r="BC561"/>
  <c r="BB561"/>
  <c r="BA561"/>
  <c r="AX561"/>
  <c r="AW561"/>
  <c r="AV561"/>
  <c r="AC561"/>
  <c r="H561"/>
  <c r="G561" s="1"/>
  <c r="BT560"/>
  <c r="BS560"/>
  <c r="BR560"/>
  <c r="BQ560"/>
  <c r="BP560"/>
  <c r="BO560"/>
  <c r="BN560"/>
  <c r="BM560"/>
  <c r="BL560"/>
  <c r="BK560"/>
  <c r="BJ560"/>
  <c r="BI560"/>
  <c r="BH560"/>
  <c r="BG560"/>
  <c r="BF560"/>
  <c r="BE560"/>
  <c r="BD560"/>
  <c r="BC560"/>
  <c r="BB560"/>
  <c r="BA560" s="1"/>
  <c r="AZ560"/>
  <c r="AX560"/>
  <c r="AW560"/>
  <c r="AV560"/>
  <c r="AC560"/>
  <c r="H560"/>
  <c r="G560"/>
  <c r="BT559"/>
  <c r="BS559"/>
  <c r="BR559"/>
  <c r="BQ559"/>
  <c r="BP559"/>
  <c r="BO559"/>
  <c r="BN559"/>
  <c r="BM559"/>
  <c r="BL559" s="1"/>
  <c r="BK559"/>
  <c r="BJ559"/>
  <c r="BI559"/>
  <c r="BH559"/>
  <c r="BG559"/>
  <c r="BF559"/>
  <c r="BE559"/>
  <c r="BD559"/>
  <c r="BC559"/>
  <c r="BB559"/>
  <c r="BA559"/>
  <c r="AX559"/>
  <c r="AW559"/>
  <c r="AV559"/>
  <c r="AC559"/>
  <c r="H559"/>
  <c r="G559" s="1"/>
  <c r="BT558"/>
  <c r="BS558"/>
  <c r="BR558"/>
  <c r="BQ558"/>
  <c r="BP558"/>
  <c r="BO558"/>
  <c r="BN558"/>
  <c r="BM558"/>
  <c r="BL558"/>
  <c r="BK558"/>
  <c r="BJ558"/>
  <c r="BI558"/>
  <c r="BH558"/>
  <c r="BG558"/>
  <c r="BF558"/>
  <c r="BE558"/>
  <c r="BD558"/>
  <c r="BC558"/>
  <c r="BB558"/>
  <c r="BA558" s="1"/>
  <c r="AZ558"/>
  <c r="AX558"/>
  <c r="AW558"/>
  <c r="AV558"/>
  <c r="AC558"/>
  <c r="H558"/>
  <c r="G558"/>
  <c r="BT557"/>
  <c r="BS557"/>
  <c r="BR557"/>
  <c r="BQ557"/>
  <c r="BP557"/>
  <c r="BO557"/>
  <c r="BN557"/>
  <c r="BM557"/>
  <c r="BL557" s="1"/>
  <c r="BK557"/>
  <c r="BJ557"/>
  <c r="BI557"/>
  <c r="BH557"/>
  <c r="BG557"/>
  <c r="BF557"/>
  <c r="BE557"/>
  <c r="BD557"/>
  <c r="BC557"/>
  <c r="BB557"/>
  <c r="BA557"/>
  <c r="AX557"/>
  <c r="AW557"/>
  <c r="AV557"/>
  <c r="AC557"/>
  <c r="H557"/>
  <c r="G557" s="1"/>
  <c r="BT556"/>
  <c r="BS556"/>
  <c r="BR556"/>
  <c r="BQ556"/>
  <c r="BP556"/>
  <c r="BO556"/>
  <c r="BN556"/>
  <c r="BM556"/>
  <c r="BL556"/>
  <c r="BK556"/>
  <c r="BJ556"/>
  <c r="BI556"/>
  <c r="BH556"/>
  <c r="BG556"/>
  <c r="BF556"/>
  <c r="BE556"/>
  <c r="BD556"/>
  <c r="BC556"/>
  <c r="BB556"/>
  <c r="BA556" s="1"/>
  <c r="AZ556"/>
  <c r="AX556"/>
  <c r="AW556"/>
  <c r="AV556"/>
  <c r="AC556"/>
  <c r="H556"/>
  <c r="G556"/>
  <c r="BT555"/>
  <c r="BS555"/>
  <c r="BR555"/>
  <c r="BQ555"/>
  <c r="BP555"/>
  <c r="BO555"/>
  <c r="BN555"/>
  <c r="BM555"/>
  <c r="BL555" s="1"/>
  <c r="BK555"/>
  <c r="BJ555"/>
  <c r="BI555"/>
  <c r="BH555"/>
  <c r="BG555"/>
  <c r="BF555"/>
  <c r="BE555"/>
  <c r="BD555"/>
  <c r="BC555"/>
  <c r="BB555"/>
  <c r="BA555"/>
  <c r="AX555"/>
  <c r="AW555"/>
  <c r="AV555"/>
  <c r="AC555"/>
  <c r="H555"/>
  <c r="G555" s="1"/>
  <c r="BT554"/>
  <c r="BS554"/>
  <c r="BR554"/>
  <c r="BQ554"/>
  <c r="BP554"/>
  <c r="BO554"/>
  <c r="BN554"/>
  <c r="BM554"/>
  <c r="BL554"/>
  <c r="BK554"/>
  <c r="BJ554"/>
  <c r="BI554"/>
  <c r="BH554"/>
  <c r="BG554"/>
  <c r="BF554"/>
  <c r="BE554"/>
  <c r="BD554"/>
  <c r="BC554"/>
  <c r="BB554"/>
  <c r="BA554" s="1"/>
  <c r="AZ554"/>
  <c r="AX554"/>
  <c r="AW554"/>
  <c r="AV554"/>
  <c r="AC554"/>
  <c r="H554"/>
  <c r="G554"/>
  <c r="BT553"/>
  <c r="BS553"/>
  <c r="BR553"/>
  <c r="BQ553"/>
  <c r="BP553"/>
  <c r="BO553"/>
  <c r="BN553"/>
  <c r="BM553"/>
  <c r="BL553" s="1"/>
  <c r="BK553"/>
  <c r="BJ553"/>
  <c r="BI553"/>
  <c r="BH553"/>
  <c r="BG553"/>
  <c r="BF553"/>
  <c r="BE553"/>
  <c r="BD553"/>
  <c r="BC553"/>
  <c r="BB553"/>
  <c r="BA553"/>
  <c r="AX553"/>
  <c r="AW553"/>
  <c r="AV553"/>
  <c r="AC553"/>
  <c r="H553"/>
  <c r="G553" s="1"/>
  <c r="BT552"/>
  <c r="BS552"/>
  <c r="BR552"/>
  <c r="BQ552"/>
  <c r="BP552"/>
  <c r="BO552"/>
  <c r="BN552"/>
  <c r="BM552"/>
  <c r="BL552"/>
  <c r="BK552"/>
  <c r="BJ552"/>
  <c r="BI552"/>
  <c r="BH552"/>
  <c r="BG552"/>
  <c r="BF552"/>
  <c r="BE552"/>
  <c r="BD552"/>
  <c r="BC552"/>
  <c r="BB552"/>
  <c r="BA552" s="1"/>
  <c r="AZ552"/>
  <c r="AX552"/>
  <c r="AW552"/>
  <c r="AV552"/>
  <c r="AC552"/>
  <c r="H552"/>
  <c r="G552"/>
  <c r="BT551"/>
  <c r="BS551"/>
  <c r="BR551"/>
  <c r="BQ551"/>
  <c r="BP551"/>
  <c r="BO551"/>
  <c r="BN551"/>
  <c r="BM551"/>
  <c r="BL551" s="1"/>
  <c r="BK551"/>
  <c r="BJ551"/>
  <c r="BI551"/>
  <c r="BH551"/>
  <c r="BG551"/>
  <c r="BF551"/>
  <c r="BE551"/>
  <c r="BD551"/>
  <c r="BC551"/>
  <c r="BB551"/>
  <c r="BA551"/>
  <c r="AX551"/>
  <c r="AW551"/>
  <c r="AV551"/>
  <c r="AC551"/>
  <c r="H551"/>
  <c r="G551" s="1"/>
  <c r="BT550"/>
  <c r="BS550"/>
  <c r="BR550"/>
  <c r="BQ550"/>
  <c r="BP550"/>
  <c r="BO550"/>
  <c r="BN550"/>
  <c r="BM550"/>
  <c r="BL550"/>
  <c r="BK550"/>
  <c r="BJ550"/>
  <c r="BI550"/>
  <c r="BH550"/>
  <c r="BG550"/>
  <c r="BF550"/>
  <c r="BE550"/>
  <c r="BD550"/>
  <c r="BC550"/>
  <c r="BB550"/>
  <c r="BA550" s="1"/>
  <c r="AZ550"/>
  <c r="AX550"/>
  <c r="AW550"/>
  <c r="AV550"/>
  <c r="AC550"/>
  <c r="H550"/>
  <c r="G550"/>
  <c r="BT549"/>
  <c r="BS549"/>
  <c r="BR549"/>
  <c r="BQ549"/>
  <c r="BP549"/>
  <c r="BO549"/>
  <c r="BN549"/>
  <c r="BM549"/>
  <c r="BL549" s="1"/>
  <c r="BK549"/>
  <c r="BJ549"/>
  <c r="BI549"/>
  <c r="BH549"/>
  <c r="BG549"/>
  <c r="BF549"/>
  <c r="BE549"/>
  <c r="BD549"/>
  <c r="BC549"/>
  <c r="BB549"/>
  <c r="BA549"/>
  <c r="AX549"/>
  <c r="AW549"/>
  <c r="AV549"/>
  <c r="AC549"/>
  <c r="H549"/>
  <c r="G549" s="1"/>
  <c r="BT548"/>
  <c r="BS548"/>
  <c r="BR548"/>
  <c r="BQ548"/>
  <c r="BP548"/>
  <c r="BO548"/>
  <c r="BN548"/>
  <c r="BM548"/>
  <c r="BL548"/>
  <c r="BK548"/>
  <c r="BJ548"/>
  <c r="BI548"/>
  <c r="BH548"/>
  <c r="BG548"/>
  <c r="BF548"/>
  <c r="BE548"/>
  <c r="BD548"/>
  <c r="BC548"/>
  <c r="BB548"/>
  <c r="BA548" s="1"/>
  <c r="AZ548"/>
  <c r="AX548"/>
  <c r="AW548"/>
  <c r="AV548"/>
  <c r="AC548"/>
  <c r="H548"/>
  <c r="G548"/>
  <c r="BT547"/>
  <c r="BS547"/>
  <c r="BR547"/>
  <c r="BQ547"/>
  <c r="BP547"/>
  <c r="BO547"/>
  <c r="BN547"/>
  <c r="BM547"/>
  <c r="BL547" s="1"/>
  <c r="BK547"/>
  <c r="BJ547"/>
  <c r="BI547"/>
  <c r="BH547"/>
  <c r="BG547"/>
  <c r="BF547"/>
  <c r="BE547"/>
  <c r="BD547"/>
  <c r="BC547"/>
  <c r="BB547"/>
  <c r="BA547"/>
  <c r="AX547"/>
  <c r="AW547"/>
  <c r="AV547"/>
  <c r="AC547"/>
  <c r="H547"/>
  <c r="G547" s="1"/>
  <c r="BT546"/>
  <c r="BS546"/>
  <c r="BR546"/>
  <c r="BQ546"/>
  <c r="BP546"/>
  <c r="BO546"/>
  <c r="BN546"/>
  <c r="BM546"/>
  <c r="BL546"/>
  <c r="BK546"/>
  <c r="BJ546"/>
  <c r="BI546"/>
  <c r="BH546"/>
  <c r="BG546"/>
  <c r="BF546"/>
  <c r="BE546"/>
  <c r="BD546"/>
  <c r="BC546"/>
  <c r="BB546"/>
  <c r="BA546" s="1"/>
  <c r="AZ546"/>
  <c r="AX546"/>
  <c r="AW546"/>
  <c r="AV546"/>
  <c r="AC546"/>
  <c r="H546"/>
  <c r="G546"/>
  <c r="BT545"/>
  <c r="BS545"/>
  <c r="BR545"/>
  <c r="BQ545"/>
  <c r="BP545"/>
  <c r="BO545"/>
  <c r="BN545"/>
  <c r="BM545"/>
  <c r="BL545" s="1"/>
  <c r="BK545"/>
  <c r="BJ545"/>
  <c r="BI545"/>
  <c r="BH545"/>
  <c r="BG545"/>
  <c r="BF545"/>
  <c r="BE545"/>
  <c r="BD545"/>
  <c r="BC545"/>
  <c r="BB545"/>
  <c r="BA545"/>
  <c r="AX545"/>
  <c r="AW545"/>
  <c r="AV545"/>
  <c r="AC545"/>
  <c r="H545"/>
  <c r="G545" s="1"/>
  <c r="BT544"/>
  <c r="BS544"/>
  <c r="BR544"/>
  <c r="BQ544"/>
  <c r="BP544"/>
  <c r="BO544"/>
  <c r="BN544"/>
  <c r="BM544"/>
  <c r="BL544"/>
  <c r="BK544"/>
  <c r="BJ544"/>
  <c r="BI544"/>
  <c r="BH544"/>
  <c r="BG544"/>
  <c r="BF544"/>
  <c r="BE544"/>
  <c r="BD544"/>
  <c r="BC544"/>
  <c r="BB544"/>
  <c r="BA544" s="1"/>
  <c r="AZ544"/>
  <c r="AX544"/>
  <c r="AW544"/>
  <c r="AV544"/>
  <c r="AC544"/>
  <c r="H544"/>
  <c r="G544"/>
  <c r="BT543"/>
  <c r="BS543"/>
  <c r="BR543"/>
  <c r="BQ543"/>
  <c r="BP543"/>
  <c r="BO543"/>
  <c r="BN543"/>
  <c r="BM543"/>
  <c r="BL543" s="1"/>
  <c r="BK543"/>
  <c r="BJ543"/>
  <c r="BI543"/>
  <c r="BH543"/>
  <c r="BG543"/>
  <c r="BF543"/>
  <c r="BE543"/>
  <c r="BD543"/>
  <c r="BC543"/>
  <c r="BB543"/>
  <c r="BA543"/>
  <c r="AX543"/>
  <c r="AW543"/>
  <c r="AV543"/>
  <c r="AC543"/>
  <c r="H543"/>
  <c r="G543" s="1"/>
  <c r="BT542"/>
  <c r="BS542"/>
  <c r="BR542"/>
  <c r="BQ542"/>
  <c r="BP542"/>
  <c r="BO542"/>
  <c r="BN542"/>
  <c r="BM542"/>
  <c r="BL542"/>
  <c r="BK542"/>
  <c r="BJ542"/>
  <c r="BI542"/>
  <c r="BH542"/>
  <c r="BG542"/>
  <c r="BF542"/>
  <c r="BE542"/>
  <c r="BD542"/>
  <c r="BC542"/>
  <c r="BB542"/>
  <c r="BA542" s="1"/>
  <c r="AZ542"/>
  <c r="AX542"/>
  <c r="AW542"/>
  <c r="AV542"/>
  <c r="AC542"/>
  <c r="H542"/>
  <c r="G542"/>
  <c r="BT541"/>
  <c r="BS541"/>
  <c r="BR541"/>
  <c r="BQ541"/>
  <c r="BP541"/>
  <c r="BO541"/>
  <c r="BN541"/>
  <c r="BM541"/>
  <c r="BL541" s="1"/>
  <c r="BK541"/>
  <c r="BJ541"/>
  <c r="BI541"/>
  <c r="BH541"/>
  <c r="BG541"/>
  <c r="BF541"/>
  <c r="BE541"/>
  <c r="BD541"/>
  <c r="BC541"/>
  <c r="BB541"/>
  <c r="BA541"/>
  <c r="AX541"/>
  <c r="AW541"/>
  <c r="AV541"/>
  <c r="AC541"/>
  <c r="H541"/>
  <c r="G541" s="1"/>
  <c r="BT540"/>
  <c r="BS540"/>
  <c r="BR540"/>
  <c r="BQ540"/>
  <c r="BP540"/>
  <c r="BO540"/>
  <c r="BN540"/>
  <c r="BM540"/>
  <c r="BL540"/>
  <c r="BK540"/>
  <c r="BJ540"/>
  <c r="BI540"/>
  <c r="BH540"/>
  <c r="BG540"/>
  <c r="BF540"/>
  <c r="BE540"/>
  <c r="BD540"/>
  <c r="BC540"/>
  <c r="BB540"/>
  <c r="BA540" s="1"/>
  <c r="AZ540"/>
  <c r="AX540"/>
  <c r="AW540"/>
  <c r="AV540"/>
  <c r="AC540"/>
  <c r="H540"/>
  <c r="G540"/>
  <c r="BT539"/>
  <c r="BS539"/>
  <c r="BR539"/>
  <c r="BQ539"/>
  <c r="BP539"/>
  <c r="BO539"/>
  <c r="BN539"/>
  <c r="BM539"/>
  <c r="BL539" s="1"/>
  <c r="BK539"/>
  <c r="BJ539"/>
  <c r="BI539"/>
  <c r="BH539"/>
  <c r="BG539"/>
  <c r="BF539"/>
  <c r="BE539"/>
  <c r="BD539"/>
  <c r="BC539"/>
  <c r="BB539"/>
  <c r="BA539"/>
  <c r="AX539"/>
  <c r="AW539"/>
  <c r="AV539"/>
  <c r="AC539"/>
  <c r="H539"/>
  <c r="G539" s="1"/>
  <c r="BT538"/>
  <c r="BS538"/>
  <c r="BR538"/>
  <c r="BQ538"/>
  <c r="BP538"/>
  <c r="BO538"/>
  <c r="BN538"/>
  <c r="BM538"/>
  <c r="BL538"/>
  <c r="BK538"/>
  <c r="BJ538"/>
  <c r="BI538"/>
  <c r="BH538"/>
  <c r="BG538"/>
  <c r="BF538"/>
  <c r="BE538"/>
  <c r="BD538"/>
  <c r="BC538"/>
  <c r="BB538"/>
  <c r="BA538" s="1"/>
  <c r="AZ538"/>
  <c r="AX538"/>
  <c r="AW538"/>
  <c r="AV538"/>
  <c r="AC538"/>
  <c r="H538"/>
  <c r="G538"/>
  <c r="BT537"/>
  <c r="BS537"/>
  <c r="BR537"/>
  <c r="BQ537"/>
  <c r="BP537"/>
  <c r="BO537"/>
  <c r="BN537"/>
  <c r="BM537"/>
  <c r="BL537" s="1"/>
  <c r="BK537"/>
  <c r="BJ537"/>
  <c r="BI537"/>
  <c r="BH537"/>
  <c r="BG537"/>
  <c r="BF537"/>
  <c r="BE537"/>
  <c r="BD537"/>
  <c r="BC537"/>
  <c r="BB537"/>
  <c r="BA537"/>
  <c r="AX537"/>
  <c r="AW537"/>
  <c r="AV537"/>
  <c r="AC537"/>
  <c r="H537"/>
  <c r="G537" s="1"/>
  <c r="BT536"/>
  <c r="BS536"/>
  <c r="BR536"/>
  <c r="BQ536"/>
  <c r="BP536"/>
  <c r="BO536"/>
  <c r="BN536"/>
  <c r="BM536"/>
  <c r="BL536"/>
  <c r="BK536"/>
  <c r="BJ536"/>
  <c r="BI536"/>
  <c r="BH536"/>
  <c r="BG536"/>
  <c r="BF536"/>
  <c r="BE536"/>
  <c r="BD536"/>
  <c r="BC536"/>
  <c r="BB536"/>
  <c r="BA536" s="1"/>
  <c r="AZ536"/>
  <c r="AX536"/>
  <c r="AW536"/>
  <c r="AV536"/>
  <c r="AC536"/>
  <c r="H536"/>
  <c r="G536"/>
  <c r="BT535"/>
  <c r="BS535"/>
  <c r="BR535"/>
  <c r="BQ535"/>
  <c r="BP535"/>
  <c r="BO535"/>
  <c r="BN535"/>
  <c r="BM535"/>
  <c r="BL535" s="1"/>
  <c r="BK535"/>
  <c r="BJ535"/>
  <c r="BI535"/>
  <c r="BH535"/>
  <c r="BG535"/>
  <c r="BF535"/>
  <c r="BE535"/>
  <c r="BD535"/>
  <c r="BC535"/>
  <c r="BB535"/>
  <c r="BA535"/>
  <c r="AX535"/>
  <c r="AW535"/>
  <c r="AV535"/>
  <c r="AC535"/>
  <c r="H535"/>
  <c r="G535" s="1"/>
  <c r="BT534"/>
  <c r="BS534"/>
  <c r="BR534"/>
  <c r="BQ534"/>
  <c r="BP534"/>
  <c r="BO534"/>
  <c r="BN534"/>
  <c r="BM534"/>
  <c r="BL534"/>
  <c r="BK534"/>
  <c r="BJ534"/>
  <c r="BI534"/>
  <c r="BH534"/>
  <c r="BG534"/>
  <c r="BF534"/>
  <c r="BE534"/>
  <c r="BD534"/>
  <c r="BC534"/>
  <c r="BB534"/>
  <c r="BA534" s="1"/>
  <c r="AZ534"/>
  <c r="AX534"/>
  <c r="AW534"/>
  <c r="AV534"/>
  <c r="AC534"/>
  <c r="H534"/>
  <c r="G534"/>
  <c r="BT533"/>
  <c r="BS533"/>
  <c r="BR533"/>
  <c r="BQ533"/>
  <c r="BP533"/>
  <c r="BO533"/>
  <c r="BN533"/>
  <c r="BM533"/>
  <c r="BL533" s="1"/>
  <c r="BK533"/>
  <c r="BJ533"/>
  <c r="BI533"/>
  <c r="BH533"/>
  <c r="BG533"/>
  <c r="BF533"/>
  <c r="BE533"/>
  <c r="BD533"/>
  <c r="BC533"/>
  <c r="BB533"/>
  <c r="BA533"/>
  <c r="AX533"/>
  <c r="AW533"/>
  <c r="AV533"/>
  <c r="AC533"/>
  <c r="H533"/>
  <c r="G533" s="1"/>
  <c r="BT532"/>
  <c r="BS532"/>
  <c r="BR532"/>
  <c r="BQ532"/>
  <c r="BP532"/>
  <c r="BO532"/>
  <c r="BN532"/>
  <c r="BM532"/>
  <c r="BL532"/>
  <c r="BK532"/>
  <c r="BJ532"/>
  <c r="BI532"/>
  <c r="BH532"/>
  <c r="BG532"/>
  <c r="BF532"/>
  <c r="BE532"/>
  <c r="BD532"/>
  <c r="BC532"/>
  <c r="BB532"/>
  <c r="BA532" s="1"/>
  <c r="AZ532"/>
  <c r="AX532"/>
  <c r="AW532"/>
  <c r="AV532"/>
  <c r="AC532"/>
  <c r="H532"/>
  <c r="G532"/>
  <c r="BT531"/>
  <c r="BS531"/>
  <c r="BR531"/>
  <c r="BQ531"/>
  <c r="BP531"/>
  <c r="BO531"/>
  <c r="BN531"/>
  <c r="BM531"/>
  <c r="BL531" s="1"/>
  <c r="BK531"/>
  <c r="BJ531"/>
  <c r="BI531"/>
  <c r="BH531"/>
  <c r="BG531"/>
  <c r="BF531"/>
  <c r="BE531"/>
  <c r="BD531"/>
  <c r="BC531"/>
  <c r="BB531"/>
  <c r="BA531"/>
  <c r="AX531"/>
  <c r="AW531"/>
  <c r="AV531"/>
  <c r="AC531"/>
  <c r="H531"/>
  <c r="G531" s="1"/>
  <c r="BT530"/>
  <c r="BS530"/>
  <c r="BR530"/>
  <c r="BQ530"/>
  <c r="BP530"/>
  <c r="BO530"/>
  <c r="BN530"/>
  <c r="BM530"/>
  <c r="BL530"/>
  <c r="BK530"/>
  <c r="BJ530"/>
  <c r="BI530"/>
  <c r="BH530"/>
  <c r="BG530"/>
  <c r="BF530"/>
  <c r="BE530"/>
  <c r="BD530"/>
  <c r="BC530"/>
  <c r="BB530"/>
  <c r="BA530" s="1"/>
  <c r="AZ530"/>
  <c r="AX530"/>
  <c r="AW530"/>
  <c r="AV530"/>
  <c r="AC530"/>
  <c r="H530"/>
  <c r="G530"/>
  <c r="BT529"/>
  <c r="BS529"/>
  <c r="BR529"/>
  <c r="BQ529"/>
  <c r="BP529"/>
  <c r="BO529"/>
  <c r="BN529"/>
  <c r="BM529"/>
  <c r="BL529" s="1"/>
  <c r="BK529"/>
  <c r="BJ529"/>
  <c r="BI529"/>
  <c r="BH529"/>
  <c r="BG529"/>
  <c r="BF529"/>
  <c r="BE529"/>
  <c r="BD529"/>
  <c r="BC529"/>
  <c r="BB529"/>
  <c r="BA529"/>
  <c r="AX529"/>
  <c r="AW529"/>
  <c r="AV529"/>
  <c r="AC529"/>
  <c r="H529"/>
  <c r="G529" s="1"/>
  <c r="BT528"/>
  <c r="BS528"/>
  <c r="BR528"/>
  <c r="BQ528"/>
  <c r="BP528"/>
  <c r="BO528"/>
  <c r="BN528"/>
  <c r="BM528"/>
  <c r="BL528"/>
  <c r="BK528"/>
  <c r="BJ528"/>
  <c r="BI528"/>
  <c r="BH528"/>
  <c r="BG528"/>
  <c r="BF528"/>
  <c r="BE528"/>
  <c r="BD528"/>
  <c r="BC528"/>
  <c r="BB528"/>
  <c r="BA528" s="1"/>
  <c r="AZ528"/>
  <c r="AX528"/>
  <c r="AW528"/>
  <c r="AV528"/>
  <c r="AC528"/>
  <c r="H528"/>
  <c r="G528"/>
  <c r="BT527"/>
  <c r="BS527"/>
  <c r="BR527"/>
  <c r="BQ527"/>
  <c r="BP527"/>
  <c r="BO527"/>
  <c r="BN527"/>
  <c r="BM527"/>
  <c r="BL527" s="1"/>
  <c r="BK527"/>
  <c r="BJ527"/>
  <c r="BI527"/>
  <c r="BH527"/>
  <c r="BG527"/>
  <c r="BF527"/>
  <c r="BE527"/>
  <c r="BD527"/>
  <c r="BC527"/>
  <c r="BB527"/>
  <c r="BA527"/>
  <c r="AX527"/>
  <c r="AW527"/>
  <c r="AV527"/>
  <c r="AC527"/>
  <c r="H527"/>
  <c r="G527" s="1"/>
  <c r="BT526"/>
  <c r="BS526"/>
  <c r="BR526"/>
  <c r="BQ526"/>
  <c r="BP526"/>
  <c r="BO526"/>
  <c r="BN526"/>
  <c r="BM526"/>
  <c r="BL526"/>
  <c r="BK526"/>
  <c r="BJ526"/>
  <c r="BI526"/>
  <c r="BH526"/>
  <c r="BG526"/>
  <c r="BF526"/>
  <c r="BE526"/>
  <c r="BD526"/>
  <c r="BC526"/>
  <c r="BB526"/>
  <c r="BA526" s="1"/>
  <c r="AZ526"/>
  <c r="AX526"/>
  <c r="AW526"/>
  <c r="AV526"/>
  <c r="AC526"/>
  <c r="H526"/>
  <c r="G526"/>
  <c r="BT525"/>
  <c r="BS525"/>
  <c r="BR525"/>
  <c r="BQ525"/>
  <c r="BP525"/>
  <c r="BO525"/>
  <c r="BN525"/>
  <c r="BM525"/>
  <c r="BL525" s="1"/>
  <c r="BK525"/>
  <c r="BJ525"/>
  <c r="BI525"/>
  <c r="BH525"/>
  <c r="BG525"/>
  <c r="BF525"/>
  <c r="BE525"/>
  <c r="BD525"/>
  <c r="BC525"/>
  <c r="BB525"/>
  <c r="BA525"/>
  <c r="AX525"/>
  <c r="AW525"/>
  <c r="AV525"/>
  <c r="AC525"/>
  <c r="H525"/>
  <c r="G525" s="1"/>
  <c r="BT524"/>
  <c r="BS524"/>
  <c r="BR524"/>
  <c r="BQ524"/>
  <c r="BP524"/>
  <c r="BO524"/>
  <c r="BN524"/>
  <c r="BM524"/>
  <c r="BL524"/>
  <c r="BK524"/>
  <c r="BJ524"/>
  <c r="BI524"/>
  <c r="BH524"/>
  <c r="BG524"/>
  <c r="BF524"/>
  <c r="BE524"/>
  <c r="BD524"/>
  <c r="BC524"/>
  <c r="BB524"/>
  <c r="BA524" s="1"/>
  <c r="AZ524"/>
  <c r="AX524"/>
  <c r="AW524"/>
  <c r="AV524"/>
  <c r="AC524"/>
  <c r="H524"/>
  <c r="G524"/>
  <c r="BT523"/>
  <c r="BS523"/>
  <c r="BR523"/>
  <c r="BQ523"/>
  <c r="BP523"/>
  <c r="BO523"/>
  <c r="BN523"/>
  <c r="BM523"/>
  <c r="BL523" s="1"/>
  <c r="BK523"/>
  <c r="BJ523"/>
  <c r="BI523"/>
  <c r="BH523"/>
  <c r="BG523"/>
  <c r="BF523"/>
  <c r="BE523"/>
  <c r="BD523"/>
  <c r="BC523"/>
  <c r="BB523"/>
  <c r="BA523"/>
  <c r="AX523"/>
  <c r="AW523"/>
  <c r="AV523"/>
  <c r="AC523"/>
  <c r="H523"/>
  <c r="G523" s="1"/>
  <c r="BT522"/>
  <c r="BS522"/>
  <c r="BR522"/>
  <c r="BQ522"/>
  <c r="BP522"/>
  <c r="BO522"/>
  <c r="BN522"/>
  <c r="BM522"/>
  <c r="BL522"/>
  <c r="BK522"/>
  <c r="BJ522"/>
  <c r="BI522"/>
  <c r="BH522"/>
  <c r="BG522"/>
  <c r="BF522"/>
  <c r="BE522"/>
  <c r="BD522"/>
  <c r="BC522"/>
  <c r="BB522"/>
  <c r="BA522" s="1"/>
  <c r="AZ522"/>
  <c r="AX522"/>
  <c r="AW522"/>
  <c r="AV522"/>
  <c r="AC522"/>
  <c r="H522"/>
  <c r="G522"/>
  <c r="BT521"/>
  <c r="BS521"/>
  <c r="BR521"/>
  <c r="BQ521"/>
  <c r="BP521"/>
  <c r="BO521"/>
  <c r="BN521"/>
  <c r="BM521"/>
  <c r="BL521" s="1"/>
  <c r="BK521"/>
  <c r="BJ521"/>
  <c r="BI521"/>
  <c r="BH521"/>
  <c r="BG521"/>
  <c r="BF521"/>
  <c r="BE521"/>
  <c r="BD521"/>
  <c r="BC521"/>
  <c r="BB521"/>
  <c r="BA521"/>
  <c r="AX521"/>
  <c r="AW521"/>
  <c r="AV521"/>
  <c r="AC521"/>
  <c r="H521"/>
  <c r="G521" s="1"/>
  <c r="BT520"/>
  <c r="BS520"/>
  <c r="BR520"/>
  <c r="BQ520"/>
  <c r="BP520"/>
  <c r="BO520"/>
  <c r="BN520"/>
  <c r="BM520"/>
  <c r="BL520"/>
  <c r="BK520"/>
  <c r="BJ520"/>
  <c r="BI520"/>
  <c r="BH520"/>
  <c r="BG520"/>
  <c r="BF520"/>
  <c r="BE520"/>
  <c r="BD520"/>
  <c r="BC520"/>
  <c r="BB520"/>
  <c r="BA520" s="1"/>
  <c r="AZ520"/>
  <c r="AX520"/>
  <c r="AW520"/>
  <c r="AV520"/>
  <c r="AC520"/>
  <c r="H520"/>
  <c r="G520"/>
  <c r="BT519"/>
  <c r="BS519"/>
  <c r="BR519"/>
  <c r="BQ519"/>
  <c r="BP519"/>
  <c r="BO519"/>
  <c r="BN519"/>
  <c r="BM519"/>
  <c r="BL519" s="1"/>
  <c r="BK519"/>
  <c r="BJ519"/>
  <c r="BI519"/>
  <c r="BH519"/>
  <c r="BG519"/>
  <c r="BF519"/>
  <c r="BE519"/>
  <c r="BD519"/>
  <c r="BC519"/>
  <c r="BB519"/>
  <c r="BA519"/>
  <c r="AX519"/>
  <c r="AW519"/>
  <c r="AV519"/>
  <c r="AC519"/>
  <c r="H519"/>
  <c r="G519" s="1"/>
  <c r="BT518"/>
  <c r="BS518"/>
  <c r="BR518"/>
  <c r="BQ518"/>
  <c r="BP518"/>
  <c r="BO518"/>
  <c r="BN518"/>
  <c r="BM518"/>
  <c r="BL518"/>
  <c r="BK518"/>
  <c r="BJ518"/>
  <c r="BI518"/>
  <c r="BH518"/>
  <c r="BG518"/>
  <c r="BF518"/>
  <c r="BE518"/>
  <c r="BD518"/>
  <c r="BC518"/>
  <c r="BB518"/>
  <c r="BA518" s="1"/>
  <c r="AZ518"/>
  <c r="AX518"/>
  <c r="AW518"/>
  <c r="AV518"/>
  <c r="AC518"/>
  <c r="H518"/>
  <c r="G518"/>
  <c r="BT517"/>
  <c r="BS517"/>
  <c r="BR517"/>
  <c r="BQ517"/>
  <c r="BP517"/>
  <c r="BO517"/>
  <c r="BN517"/>
  <c r="BM517"/>
  <c r="BL517" s="1"/>
  <c r="BK517"/>
  <c r="BJ517"/>
  <c r="BI517"/>
  <c r="BH517"/>
  <c r="BG517"/>
  <c r="BF517"/>
  <c r="BE517"/>
  <c r="BD517"/>
  <c r="BC517"/>
  <c r="BB517"/>
  <c r="BA517"/>
  <c r="AX517"/>
  <c r="AW517"/>
  <c r="AV517"/>
  <c r="AC517"/>
  <c r="H517"/>
  <c r="G517" s="1"/>
  <c r="BT516"/>
  <c r="BS516"/>
  <c r="BR516"/>
  <c r="BQ516"/>
  <c r="BP516"/>
  <c r="BO516"/>
  <c r="BN516"/>
  <c r="BM516"/>
  <c r="BL516"/>
  <c r="BK516"/>
  <c r="BJ516"/>
  <c r="BI516"/>
  <c r="BH516"/>
  <c r="BG516"/>
  <c r="BF516"/>
  <c r="BE516"/>
  <c r="BD516"/>
  <c r="BC516"/>
  <c r="BB516"/>
  <c r="BA516" s="1"/>
  <c r="AZ516"/>
  <c r="AX516"/>
  <c r="AW516"/>
  <c r="AV516"/>
  <c r="AC516"/>
  <c r="H516"/>
  <c r="G516"/>
  <c r="BT515"/>
  <c r="BS515"/>
  <c r="BR515"/>
  <c r="BQ515"/>
  <c r="BP515"/>
  <c r="BO515"/>
  <c r="BN515"/>
  <c r="BM515"/>
  <c r="BL515" s="1"/>
  <c r="BK515"/>
  <c r="BJ515"/>
  <c r="BI515"/>
  <c r="BH515"/>
  <c r="BG515"/>
  <c r="BF515"/>
  <c r="BE515"/>
  <c r="BD515"/>
  <c r="BC515"/>
  <c r="BB515"/>
  <c r="BA515"/>
  <c r="AX515"/>
  <c r="AW515"/>
  <c r="AV515"/>
  <c r="AC515"/>
  <c r="H515"/>
  <c r="G515" s="1"/>
  <c r="BT514"/>
  <c r="BS514"/>
  <c r="BR514"/>
  <c r="BQ514"/>
  <c r="BP514"/>
  <c r="BO514"/>
  <c r="BN514"/>
  <c r="BM514"/>
  <c r="BL514"/>
  <c r="BK514"/>
  <c r="BJ514"/>
  <c r="BI514"/>
  <c r="BH514"/>
  <c r="BG514"/>
  <c r="BF514"/>
  <c r="BE514"/>
  <c r="BD514"/>
  <c r="BC514"/>
  <c r="BB514"/>
  <c r="BA514" s="1"/>
  <c r="AZ514"/>
  <c r="AX514"/>
  <c r="AW514"/>
  <c r="AV514"/>
  <c r="AC514"/>
  <c r="H514"/>
  <c r="G514"/>
  <c r="BT513"/>
  <c r="BS513"/>
  <c r="BR513"/>
  <c r="BQ513"/>
  <c r="BP513"/>
  <c r="BO513"/>
  <c r="BN513"/>
  <c r="BM513"/>
  <c r="BL513" s="1"/>
  <c r="BK513"/>
  <c r="BJ513"/>
  <c r="BI513"/>
  <c r="BH513"/>
  <c r="BG513"/>
  <c r="BF513"/>
  <c r="BE513"/>
  <c r="BD513"/>
  <c r="BC513"/>
  <c r="BB513"/>
  <c r="BA513"/>
  <c r="AX513"/>
  <c r="AW513"/>
  <c r="AV513"/>
  <c r="AC513"/>
  <c r="H513"/>
  <c r="G513" s="1"/>
  <c r="BT512"/>
  <c r="BS512"/>
  <c r="BR512"/>
  <c r="BQ512"/>
  <c r="BP512"/>
  <c r="BO512"/>
  <c r="BN512"/>
  <c r="BM512"/>
  <c r="BL512"/>
  <c r="BK512"/>
  <c r="BJ512"/>
  <c r="BI512"/>
  <c r="BH512"/>
  <c r="BG512"/>
  <c r="BF512"/>
  <c r="BE512"/>
  <c r="BD512"/>
  <c r="BC512"/>
  <c r="BB512"/>
  <c r="BA512" s="1"/>
  <c r="AZ512"/>
  <c r="AX512"/>
  <c r="AW512"/>
  <c r="AV512"/>
  <c r="AC512"/>
  <c r="H512"/>
  <c r="G512"/>
  <c r="BT511"/>
  <c r="BS511"/>
  <c r="BR511"/>
  <c r="BQ511"/>
  <c r="BP511"/>
  <c r="BO511"/>
  <c r="BN511"/>
  <c r="BM511"/>
  <c r="BL511" s="1"/>
  <c r="BK511"/>
  <c r="BJ511"/>
  <c r="BI511"/>
  <c r="BH511"/>
  <c r="BG511"/>
  <c r="BF511"/>
  <c r="BE511"/>
  <c r="BD511"/>
  <c r="BC511"/>
  <c r="BB511"/>
  <c r="BA511"/>
  <c r="AX511"/>
  <c r="AW511"/>
  <c r="AV511"/>
  <c r="AC511"/>
  <c r="H511"/>
  <c r="G511" s="1"/>
  <c r="BT510"/>
  <c r="BS510"/>
  <c r="BR510"/>
  <c r="BQ510"/>
  <c r="BP510"/>
  <c r="BO510"/>
  <c r="BN510"/>
  <c r="BM510"/>
  <c r="BL510"/>
  <c r="BK510"/>
  <c r="BJ510"/>
  <c r="BI510"/>
  <c r="BH510"/>
  <c r="BG510"/>
  <c r="BF510"/>
  <c r="BE510"/>
  <c r="BD510"/>
  <c r="BC510"/>
  <c r="BB510"/>
  <c r="BA510" s="1"/>
  <c r="AZ510"/>
  <c r="AX510"/>
  <c r="AW510"/>
  <c r="AV510"/>
  <c r="AC510"/>
  <c r="H510"/>
  <c r="G510"/>
  <c r="BT509"/>
  <c r="BS509"/>
  <c r="BR509"/>
  <c r="BQ509"/>
  <c r="BP509"/>
  <c r="BO509"/>
  <c r="BN509"/>
  <c r="BM509"/>
  <c r="BL509" s="1"/>
  <c r="BK509"/>
  <c r="BJ509"/>
  <c r="BI509"/>
  <c r="BH509"/>
  <c r="BG509"/>
  <c r="BF509"/>
  <c r="BE509"/>
  <c r="BD509"/>
  <c r="BC509"/>
  <c r="BB509"/>
  <c r="BA509"/>
  <c r="AX509"/>
  <c r="AW509"/>
  <c r="AV509"/>
  <c r="AC509"/>
  <c r="H509"/>
  <c r="G509" s="1"/>
  <c r="BT508"/>
  <c r="BS508"/>
  <c r="BR508"/>
  <c r="BQ508"/>
  <c r="BP508"/>
  <c r="BO508"/>
  <c r="BN508"/>
  <c r="BM508"/>
  <c r="BL508"/>
  <c r="BK508"/>
  <c r="BJ508"/>
  <c r="BI508"/>
  <c r="BH508"/>
  <c r="BG508"/>
  <c r="BF508"/>
  <c r="BE508"/>
  <c r="BD508"/>
  <c r="BC508"/>
  <c r="BB508"/>
  <c r="BA508" s="1"/>
  <c r="AZ508"/>
  <c r="AX508"/>
  <c r="AW508"/>
  <c r="AV508"/>
  <c r="AC508"/>
  <c r="H508"/>
  <c r="G508"/>
  <c r="BT507"/>
  <c r="BS507"/>
  <c r="BR507"/>
  <c r="BQ507"/>
  <c r="BP507"/>
  <c r="BO507"/>
  <c r="BN507"/>
  <c r="BM507"/>
  <c r="BL507" s="1"/>
  <c r="BK507"/>
  <c r="BJ507"/>
  <c r="BI507"/>
  <c r="BH507"/>
  <c r="BG507"/>
  <c r="BF507"/>
  <c r="BE507"/>
  <c r="BD507"/>
  <c r="BC507"/>
  <c r="BB507"/>
  <c r="BA507"/>
  <c r="AX507"/>
  <c r="AW507"/>
  <c r="AV507"/>
  <c r="AC507"/>
  <c r="H507"/>
  <c r="G507" s="1"/>
  <c r="BT506"/>
  <c r="BS506"/>
  <c r="BR506"/>
  <c r="BQ506"/>
  <c r="BP506"/>
  <c r="BO506"/>
  <c r="BN506"/>
  <c r="BM506"/>
  <c r="BL506"/>
  <c r="BK506"/>
  <c r="BJ506"/>
  <c r="BI506"/>
  <c r="BH506"/>
  <c r="BG506"/>
  <c r="BF506"/>
  <c r="BE506"/>
  <c r="BD506"/>
  <c r="BC506"/>
  <c r="BB506"/>
  <c r="BA506" s="1"/>
  <c r="AZ506"/>
  <c r="AX506"/>
  <c r="AW506"/>
  <c r="AV506"/>
  <c r="AC506"/>
  <c r="H506"/>
  <c r="G506"/>
  <c r="BT505"/>
  <c r="BS505"/>
  <c r="BR505"/>
  <c r="BQ505"/>
  <c r="BP505"/>
  <c r="BO505"/>
  <c r="BN505"/>
  <c r="BM505"/>
  <c r="BL505" s="1"/>
  <c r="BK505"/>
  <c r="BJ505"/>
  <c r="BI505"/>
  <c r="BH505"/>
  <c r="BG505"/>
  <c r="BF505"/>
  <c r="BE505"/>
  <c r="BD505"/>
  <c r="BC505"/>
  <c r="BB505"/>
  <c r="BA505"/>
  <c r="AX505"/>
  <c r="AW505"/>
  <c r="AV505"/>
  <c r="AC505"/>
  <c r="H505"/>
  <c r="G505" s="1"/>
  <c r="BT504"/>
  <c r="BS504"/>
  <c r="BR504"/>
  <c r="BQ504"/>
  <c r="BP504"/>
  <c r="BO504"/>
  <c r="BN504"/>
  <c r="BM504"/>
  <c r="BL504"/>
  <c r="BK504"/>
  <c r="BJ504"/>
  <c r="BI504"/>
  <c r="BH504"/>
  <c r="BG504"/>
  <c r="BF504"/>
  <c r="BE504"/>
  <c r="BD504"/>
  <c r="BC504"/>
  <c r="BB504"/>
  <c r="BA504" s="1"/>
  <c r="AZ504"/>
  <c r="AX504"/>
  <c r="AW504"/>
  <c r="AV504"/>
  <c r="AC504"/>
  <c r="H504"/>
  <c r="G504"/>
  <c r="BT503"/>
  <c r="BS503"/>
  <c r="BR503"/>
  <c r="BQ503"/>
  <c r="BP503"/>
  <c r="BO503"/>
  <c r="BN503"/>
  <c r="BM503"/>
  <c r="BL503" s="1"/>
  <c r="BK503"/>
  <c r="BJ503"/>
  <c r="BI503"/>
  <c r="BH503"/>
  <c r="BG503"/>
  <c r="BF503"/>
  <c r="BE503"/>
  <c r="BD503"/>
  <c r="BC503"/>
  <c r="BB503"/>
  <c r="BA503"/>
  <c r="AX503"/>
  <c r="AW503"/>
  <c r="AV503"/>
  <c r="AC503"/>
  <c r="H503"/>
  <c r="G503" s="1"/>
  <c r="BT502"/>
  <c r="BS502"/>
  <c r="BR502"/>
  <c r="BQ502"/>
  <c r="BP502"/>
  <c r="BO502"/>
  <c r="BN502"/>
  <c r="BM502"/>
  <c r="BL502"/>
  <c r="BK502"/>
  <c r="BJ502"/>
  <c r="BI502"/>
  <c r="BH502"/>
  <c r="BG502"/>
  <c r="BF502"/>
  <c r="BE502"/>
  <c r="BD502"/>
  <c r="BC502"/>
  <c r="BB502"/>
  <c r="BA502" s="1"/>
  <c r="AZ502"/>
  <c r="AX502"/>
  <c r="AW502"/>
  <c r="AV502"/>
  <c r="AC502"/>
  <c r="H502"/>
  <c r="G502"/>
  <c r="BT501"/>
  <c r="BS501"/>
  <c r="BR501"/>
  <c r="BQ501"/>
  <c r="BP501"/>
  <c r="BO501"/>
  <c r="BN501"/>
  <c r="BM501"/>
  <c r="BL501" s="1"/>
  <c r="BK501"/>
  <c r="BJ501"/>
  <c r="BI501"/>
  <c r="BH501"/>
  <c r="BG501"/>
  <c r="BF501"/>
  <c r="BE501"/>
  <c r="BD501"/>
  <c r="BC501"/>
  <c r="BB501"/>
  <c r="BA501"/>
  <c r="AX501"/>
  <c r="AW501"/>
  <c r="AV501"/>
  <c r="AC501"/>
  <c r="H501"/>
  <c r="G501" s="1"/>
  <c r="BT500"/>
  <c r="BS500"/>
  <c r="BR500"/>
  <c r="BQ500"/>
  <c r="BP500"/>
  <c r="BO500"/>
  <c r="BN500"/>
  <c r="BM500"/>
  <c r="BL500"/>
  <c r="BK500"/>
  <c r="BJ500"/>
  <c r="BI500"/>
  <c r="BH500"/>
  <c r="BG500"/>
  <c r="BF500"/>
  <c r="BE500"/>
  <c r="BD500"/>
  <c r="BC500"/>
  <c r="BB500"/>
  <c r="BA500" s="1"/>
  <c r="AZ500"/>
  <c r="AX500"/>
  <c r="AW500"/>
  <c r="AV500"/>
  <c r="AC500"/>
  <c r="H500"/>
  <c r="G500"/>
  <c r="BT499"/>
  <c r="BS499"/>
  <c r="BR499"/>
  <c r="BQ499"/>
  <c r="BP499"/>
  <c r="BO499"/>
  <c r="BN499"/>
  <c r="BM499"/>
  <c r="BL499" s="1"/>
  <c r="BK499"/>
  <c r="BJ499"/>
  <c r="BI499"/>
  <c r="BH499"/>
  <c r="BG499"/>
  <c r="BF499"/>
  <c r="BE499"/>
  <c r="BD499"/>
  <c r="BC499"/>
  <c r="BB499"/>
  <c r="BA499"/>
  <c r="AX499"/>
  <c r="AW499"/>
  <c r="AV499"/>
  <c r="AC499"/>
  <c r="H499"/>
  <c r="G499" s="1"/>
  <c r="BT498"/>
  <c r="BS498"/>
  <c r="BR498"/>
  <c r="BQ498"/>
  <c r="BP498"/>
  <c r="BO498"/>
  <c r="BN498"/>
  <c r="BM498"/>
  <c r="BL498"/>
  <c r="BK498"/>
  <c r="BJ498"/>
  <c r="BI498"/>
  <c r="BH498"/>
  <c r="BG498"/>
  <c r="BF498"/>
  <c r="BE498"/>
  <c r="BD498"/>
  <c r="BC498"/>
  <c r="BB498"/>
  <c r="BA498" s="1"/>
  <c r="AZ498"/>
  <c r="AX498"/>
  <c r="AW498"/>
  <c r="AV498"/>
  <c r="AC498"/>
  <c r="H498"/>
  <c r="G498"/>
  <c r="BT497"/>
  <c r="BS497"/>
  <c r="BR497"/>
  <c r="BQ497"/>
  <c r="BP497"/>
  <c r="BO497"/>
  <c r="BN497"/>
  <c r="BM497"/>
  <c r="BL497" s="1"/>
  <c r="BK497"/>
  <c r="BJ497"/>
  <c r="BI497"/>
  <c r="BH497"/>
  <c r="BG497"/>
  <c r="BF497"/>
  <c r="BE497"/>
  <c r="BD497"/>
  <c r="BC497"/>
  <c r="BB497"/>
  <c r="BA497"/>
  <c r="AX497"/>
  <c r="AW497"/>
  <c r="AV497"/>
  <c r="AC497"/>
  <c r="H497"/>
  <c r="G497" s="1"/>
  <c r="BT496"/>
  <c r="BS496"/>
  <c r="BR496"/>
  <c r="BQ496"/>
  <c r="BP496"/>
  <c r="BO496"/>
  <c r="BN496"/>
  <c r="BM496"/>
  <c r="BL496"/>
  <c r="BK496"/>
  <c r="BJ496"/>
  <c r="BI496"/>
  <c r="BH496"/>
  <c r="BG496"/>
  <c r="BF496"/>
  <c r="BE496"/>
  <c r="BD496"/>
  <c r="BC496"/>
  <c r="BB496"/>
  <c r="BA496" s="1"/>
  <c r="AZ496"/>
  <c r="AX496"/>
  <c r="AW496"/>
  <c r="AV496"/>
  <c r="AC496"/>
  <c r="H496"/>
  <c r="G496"/>
  <c r="BT495"/>
  <c r="BS495"/>
  <c r="BR495"/>
  <c r="BQ495"/>
  <c r="BP495"/>
  <c r="BO495"/>
  <c r="BN495"/>
  <c r="BM495"/>
  <c r="BL495" s="1"/>
  <c r="BK495"/>
  <c r="BJ495"/>
  <c r="BI495"/>
  <c r="BH495"/>
  <c r="BG495"/>
  <c r="BF495"/>
  <c r="BE495"/>
  <c r="BD495"/>
  <c r="BC495"/>
  <c r="BB495"/>
  <c r="BA495"/>
  <c r="AX495"/>
  <c r="AW495"/>
  <c r="AV495"/>
  <c r="AC495"/>
  <c r="H495"/>
  <c r="G495" s="1"/>
  <c r="BT494"/>
  <c r="BS494"/>
  <c r="BR494"/>
  <c r="BQ494"/>
  <c r="BP494"/>
  <c r="BO494"/>
  <c r="BN494"/>
  <c r="BM494"/>
  <c r="BL494"/>
  <c r="BK494"/>
  <c r="BJ494"/>
  <c r="BI494"/>
  <c r="BH494"/>
  <c r="BG494"/>
  <c r="BF494"/>
  <c r="BE494"/>
  <c r="BD494"/>
  <c r="BC494"/>
  <c r="BB494"/>
  <c r="BA494" s="1"/>
  <c r="AZ494"/>
  <c r="AX494"/>
  <c r="AW494"/>
  <c r="AV494"/>
  <c r="AC494"/>
  <c r="H494"/>
  <c r="G494"/>
  <c r="BT493"/>
  <c r="BS493"/>
  <c r="BR493"/>
  <c r="BQ493"/>
  <c r="BP493"/>
  <c r="BO493"/>
  <c r="BN493"/>
  <c r="BM493"/>
  <c r="BL493" s="1"/>
  <c r="BK493"/>
  <c r="BJ493"/>
  <c r="BI493"/>
  <c r="BH493"/>
  <c r="BG493"/>
  <c r="BF493"/>
  <c r="BE493"/>
  <c r="BD493"/>
  <c r="BC493"/>
  <c r="BB493"/>
  <c r="BA493"/>
  <c r="AX493"/>
  <c r="AW493"/>
  <c r="AV493"/>
  <c r="AC493"/>
  <c r="H493"/>
  <c r="G493" s="1"/>
  <c r="BT492"/>
  <c r="BS492"/>
  <c r="BR492"/>
  <c r="BQ492"/>
  <c r="BP492"/>
  <c r="BO492"/>
  <c r="BN492"/>
  <c r="BM492"/>
  <c r="BL492"/>
  <c r="BK492"/>
  <c r="BJ492"/>
  <c r="BI492"/>
  <c r="BH492"/>
  <c r="BG492"/>
  <c r="BF492"/>
  <c r="BE492"/>
  <c r="BD492"/>
  <c r="BC492"/>
  <c r="BB492"/>
  <c r="BA492" s="1"/>
  <c r="AZ492"/>
  <c r="AX492"/>
  <c r="AW492"/>
  <c r="AV492"/>
  <c r="AC492"/>
  <c r="H492"/>
  <c r="G492"/>
  <c r="BT491"/>
  <c r="BS491"/>
  <c r="BR491"/>
  <c r="BQ491"/>
  <c r="BP491"/>
  <c r="BO491"/>
  <c r="BN491"/>
  <c r="BM491"/>
  <c r="BL491" s="1"/>
  <c r="BK491"/>
  <c r="BJ491"/>
  <c r="BI491"/>
  <c r="BH491"/>
  <c r="BG491"/>
  <c r="BF491"/>
  <c r="BE491"/>
  <c r="BD491"/>
  <c r="BC491"/>
  <c r="BB491"/>
  <c r="BA491"/>
  <c r="AX491"/>
  <c r="AW491"/>
  <c r="AV491"/>
  <c r="AC491"/>
  <c r="H491"/>
  <c r="G491" s="1"/>
  <c r="BT490"/>
  <c r="BS490"/>
  <c r="BR490"/>
  <c r="BQ490"/>
  <c r="BP490"/>
  <c r="BO490"/>
  <c r="BN490"/>
  <c r="BM490"/>
  <c r="BL490"/>
  <c r="BK490"/>
  <c r="BJ490"/>
  <c r="BI490"/>
  <c r="BH490"/>
  <c r="BG490"/>
  <c r="BF490"/>
  <c r="BE490"/>
  <c r="BD490"/>
  <c r="BC490"/>
  <c r="BB490"/>
  <c r="BA490" s="1"/>
  <c r="AZ490"/>
  <c r="AX490"/>
  <c r="AW490"/>
  <c r="AV490"/>
  <c r="AC490"/>
  <c r="H490"/>
  <c r="G490"/>
  <c r="BT489"/>
  <c r="BS489"/>
  <c r="BR489"/>
  <c r="BQ489"/>
  <c r="BP489"/>
  <c r="BO489"/>
  <c r="BN489"/>
  <c r="BM489"/>
  <c r="BL489" s="1"/>
  <c r="BK489"/>
  <c r="BJ489"/>
  <c r="BI489"/>
  <c r="BH489"/>
  <c r="BG489"/>
  <c r="BF489"/>
  <c r="BE489"/>
  <c r="BD489"/>
  <c r="BC489"/>
  <c r="BB489"/>
  <c r="BA489"/>
  <c r="AX489"/>
  <c r="AW489"/>
  <c r="AV489"/>
  <c r="AC489"/>
  <c r="H489"/>
  <c r="G489" s="1"/>
  <c r="BT488"/>
  <c r="BS488"/>
  <c r="BR488"/>
  <c r="BQ488"/>
  <c r="BP488"/>
  <c r="BO488"/>
  <c r="BN488"/>
  <c r="BM488"/>
  <c r="BL488"/>
  <c r="BK488"/>
  <c r="BJ488"/>
  <c r="BI488"/>
  <c r="BH488"/>
  <c r="BG488"/>
  <c r="BF488"/>
  <c r="BE488"/>
  <c r="BD488"/>
  <c r="BC488"/>
  <c r="BB488"/>
  <c r="BA488" s="1"/>
  <c r="AZ488"/>
  <c r="AX488"/>
  <c r="AW488"/>
  <c r="AV488"/>
  <c r="AC488"/>
  <c r="H488"/>
  <c r="G488"/>
  <c r="BT487"/>
  <c r="BS487"/>
  <c r="BR487"/>
  <c r="BQ487"/>
  <c r="BP487"/>
  <c r="BO487"/>
  <c r="BN487"/>
  <c r="BM487"/>
  <c r="BL487" s="1"/>
  <c r="BK487"/>
  <c r="BJ487"/>
  <c r="BI487"/>
  <c r="BH487"/>
  <c r="BG487"/>
  <c r="BF487"/>
  <c r="BE487"/>
  <c r="BD487"/>
  <c r="BC487"/>
  <c r="BB487"/>
  <c r="BA487"/>
  <c r="AX487"/>
  <c r="AW487"/>
  <c r="AV487"/>
  <c r="AC487"/>
  <c r="H487"/>
  <c r="G487" s="1"/>
  <c r="BT486"/>
  <c r="BS486"/>
  <c r="BR486"/>
  <c r="BQ486"/>
  <c r="BP486"/>
  <c r="BO486"/>
  <c r="BN486"/>
  <c r="BM486"/>
  <c r="BL486"/>
  <c r="BK486"/>
  <c r="BJ486"/>
  <c r="BI486"/>
  <c r="BH486"/>
  <c r="BG486"/>
  <c r="BF486"/>
  <c r="BE486"/>
  <c r="BD486"/>
  <c r="BC486"/>
  <c r="BB486"/>
  <c r="BA486" s="1"/>
  <c r="AZ486"/>
  <c r="AX486"/>
  <c r="AW486"/>
  <c r="AV486"/>
  <c r="AC486"/>
  <c r="H486"/>
  <c r="G486"/>
  <c r="BT485"/>
  <c r="BS485"/>
  <c r="BR485"/>
  <c r="BQ485"/>
  <c r="BP485"/>
  <c r="BO485"/>
  <c r="BN485"/>
  <c r="BM485"/>
  <c r="BL485" s="1"/>
  <c r="BK485"/>
  <c r="BJ485"/>
  <c r="BI485"/>
  <c r="BH485"/>
  <c r="BG485"/>
  <c r="BF485"/>
  <c r="BE485"/>
  <c r="BD485"/>
  <c r="BC485"/>
  <c r="BB485"/>
  <c r="BA485"/>
  <c r="AX485"/>
  <c r="AW485"/>
  <c r="AV485"/>
  <c r="AC485"/>
  <c r="H485"/>
  <c r="G485" s="1"/>
  <c r="BT484"/>
  <c r="BS484"/>
  <c r="BR484"/>
  <c r="BQ484"/>
  <c r="BP484"/>
  <c r="BO484"/>
  <c r="BN484"/>
  <c r="BM484"/>
  <c r="BL484"/>
  <c r="BK484"/>
  <c r="BJ484"/>
  <c r="BI484"/>
  <c r="BH484"/>
  <c r="BG484"/>
  <c r="BF484"/>
  <c r="BE484"/>
  <c r="BD484"/>
  <c r="BC484"/>
  <c r="BB484"/>
  <c r="BA484" s="1"/>
  <c r="AZ484"/>
  <c r="AX484"/>
  <c r="AW484"/>
  <c r="AV484"/>
  <c r="AC484"/>
  <c r="H484"/>
  <c r="G484"/>
  <c r="BT483"/>
  <c r="BS483"/>
  <c r="BR483"/>
  <c r="BQ483"/>
  <c r="BP483"/>
  <c r="BO483"/>
  <c r="BN483"/>
  <c r="BM483"/>
  <c r="BL483" s="1"/>
  <c r="BK483"/>
  <c r="BJ483"/>
  <c r="BI483"/>
  <c r="BH483"/>
  <c r="BG483"/>
  <c r="BF483"/>
  <c r="BE483"/>
  <c r="BD483"/>
  <c r="BC483"/>
  <c r="BB483"/>
  <c r="BA483"/>
  <c r="AX483"/>
  <c r="AW483"/>
  <c r="AV483"/>
  <c r="AC483"/>
  <c r="H483"/>
  <c r="G483" s="1"/>
  <c r="BT482"/>
  <c r="BS482"/>
  <c r="BR482"/>
  <c r="BQ482"/>
  <c r="BP482"/>
  <c r="BO482"/>
  <c r="BN482"/>
  <c r="BM482"/>
  <c r="BL482"/>
  <c r="BK482"/>
  <c r="BJ482"/>
  <c r="BI482"/>
  <c r="BH482"/>
  <c r="BG482"/>
  <c r="BF482"/>
  <c r="BE482"/>
  <c r="BD482"/>
  <c r="BC482"/>
  <c r="BB482"/>
  <c r="BA482" s="1"/>
  <c r="AZ482"/>
  <c r="AX482"/>
  <c r="AW482"/>
  <c r="AV482"/>
  <c r="AC482"/>
  <c r="H482"/>
  <c r="G482"/>
  <c r="BT481"/>
  <c r="BS481"/>
  <c r="BR481"/>
  <c r="BQ481"/>
  <c r="BP481"/>
  <c r="BO481"/>
  <c r="BN481"/>
  <c r="BM481"/>
  <c r="BL481" s="1"/>
  <c r="BK481"/>
  <c r="BJ481"/>
  <c r="BI481"/>
  <c r="BH481"/>
  <c r="BG481"/>
  <c r="BF481"/>
  <c r="BE481"/>
  <c r="BD481"/>
  <c r="BC481"/>
  <c r="BB481"/>
  <c r="BA481"/>
  <c r="AX481"/>
  <c r="AW481"/>
  <c r="AV481"/>
  <c r="AC481"/>
  <c r="H481"/>
  <c r="G481" s="1"/>
  <c r="BT480"/>
  <c r="BS480"/>
  <c r="BR480"/>
  <c r="BQ480"/>
  <c r="BP480"/>
  <c r="BO480"/>
  <c r="BN480"/>
  <c r="BM480"/>
  <c r="BL480"/>
  <c r="BK480"/>
  <c r="BJ480"/>
  <c r="BI480"/>
  <c r="BH480"/>
  <c r="BG480"/>
  <c r="BF480"/>
  <c r="BE480"/>
  <c r="BD480"/>
  <c r="BC480"/>
  <c r="BB480"/>
  <c r="BA480" s="1"/>
  <c r="AZ480"/>
  <c r="AX480"/>
  <c r="AW480"/>
  <c r="AV480"/>
  <c r="AC480"/>
  <c r="H480"/>
  <c r="G480"/>
  <c r="BT479"/>
  <c r="BS479"/>
  <c r="BR479"/>
  <c r="BQ479"/>
  <c r="BP479"/>
  <c r="BO479"/>
  <c r="BN479"/>
  <c r="BM479"/>
  <c r="BL479" s="1"/>
  <c r="BK479"/>
  <c r="BJ479"/>
  <c r="BI479"/>
  <c r="BH479"/>
  <c r="BG479"/>
  <c r="BF479"/>
  <c r="BE479"/>
  <c r="BD479"/>
  <c r="BC479"/>
  <c r="BB479"/>
  <c r="BA479"/>
  <c r="AX479"/>
  <c r="AW479"/>
  <c r="AV479"/>
  <c r="AC479"/>
  <c r="H479"/>
  <c r="G479" s="1"/>
  <c r="BT478"/>
  <c r="BS478"/>
  <c r="BR478"/>
  <c r="BQ478"/>
  <c r="BP478"/>
  <c r="BO478"/>
  <c r="BN478"/>
  <c r="BM478"/>
  <c r="BL478"/>
  <c r="BK478"/>
  <c r="BJ478"/>
  <c r="BI478"/>
  <c r="BH478"/>
  <c r="BG478"/>
  <c r="BF478"/>
  <c r="BE478"/>
  <c r="BD478"/>
  <c r="BC478"/>
  <c r="BB478"/>
  <c r="BA478" s="1"/>
  <c r="AZ478"/>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s="1"/>
  <c r="BT476"/>
  <c r="BS476"/>
  <c r="BR476"/>
  <c r="BQ476"/>
  <c r="BP476"/>
  <c r="BO476"/>
  <c r="BN476"/>
  <c r="BM476"/>
  <c r="BL476"/>
  <c r="BK476"/>
  <c r="BJ476"/>
  <c r="BI476"/>
  <c r="BH476"/>
  <c r="BG476"/>
  <c r="BF476"/>
  <c r="BE476"/>
  <c r="BD476"/>
  <c r="BC476"/>
  <c r="BB476"/>
  <c r="BA476" s="1"/>
  <c r="AZ476"/>
  <c r="AX476"/>
  <c r="AW476"/>
  <c r="AV476"/>
  <c r="AC476"/>
  <c r="H476"/>
  <c r="G476"/>
  <c r="BT475"/>
  <c r="BS475"/>
  <c r="BR475"/>
  <c r="BQ475"/>
  <c r="BP475"/>
  <c r="BO475"/>
  <c r="BN475"/>
  <c r="BM475"/>
  <c r="BL475" s="1"/>
  <c r="BK475"/>
  <c r="BJ475"/>
  <c r="BI475"/>
  <c r="BH475"/>
  <c r="BG475"/>
  <c r="BF475"/>
  <c r="BE475"/>
  <c r="BD475"/>
  <c r="BC475"/>
  <c r="BB475"/>
  <c r="BA475"/>
  <c r="AX475"/>
  <c r="AW475"/>
  <c r="AV475"/>
  <c r="AC475"/>
  <c r="H475"/>
  <c r="G475" s="1"/>
  <c r="BT474"/>
  <c r="BS474"/>
  <c r="BR474"/>
  <c r="BQ474"/>
  <c r="BP474"/>
  <c r="BO474"/>
  <c r="BN474"/>
  <c r="BM474"/>
  <c r="BL474"/>
  <c r="BK474"/>
  <c r="BJ474"/>
  <c r="BI474"/>
  <c r="BH474"/>
  <c r="BG474"/>
  <c r="BF474"/>
  <c r="BE474"/>
  <c r="BD474"/>
  <c r="BC474"/>
  <c r="BB474"/>
  <c r="BA474" s="1"/>
  <c r="AZ474"/>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Z472"/>
  <c r="AX472"/>
  <c r="AW472"/>
  <c r="AV472"/>
  <c r="AC472"/>
  <c r="H472"/>
  <c r="G472"/>
  <c r="BT471"/>
  <c r="BS471"/>
  <c r="BR471"/>
  <c r="BQ471"/>
  <c r="BP471"/>
  <c r="BO471"/>
  <c r="BN471"/>
  <c r="BM471"/>
  <c r="BL471" s="1"/>
  <c r="BK471"/>
  <c r="BJ471"/>
  <c r="BI471"/>
  <c r="BH471"/>
  <c r="BG471"/>
  <c r="BF471"/>
  <c r="BE471"/>
  <c r="BD471"/>
  <c r="BC471"/>
  <c r="BB471"/>
  <c r="BA471"/>
  <c r="AX471"/>
  <c r="AW471"/>
  <c r="AV471"/>
  <c r="AC471"/>
  <c r="H471"/>
  <c r="G471" s="1"/>
  <c r="BT470"/>
  <c r="BS470"/>
  <c r="BR470"/>
  <c r="BQ470"/>
  <c r="BP470"/>
  <c r="BO470"/>
  <c r="BN470"/>
  <c r="BM470"/>
  <c r="BL470"/>
  <c r="BK470"/>
  <c r="BJ470"/>
  <c r="BI470"/>
  <c r="BH470"/>
  <c r="BG470"/>
  <c r="BF470"/>
  <c r="BE470"/>
  <c r="BD470"/>
  <c r="BC470"/>
  <c r="BB470"/>
  <c r="BA470" s="1"/>
  <c r="AZ470"/>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s="1"/>
  <c r="BT468"/>
  <c r="BS468"/>
  <c r="BR468"/>
  <c r="BQ468"/>
  <c r="BP468"/>
  <c r="BO468"/>
  <c r="BN468"/>
  <c r="BM468"/>
  <c r="BL468"/>
  <c r="BK468"/>
  <c r="BJ468"/>
  <c r="BI468"/>
  <c r="BH468"/>
  <c r="BG468"/>
  <c r="BF468"/>
  <c r="BE468"/>
  <c r="BD468"/>
  <c r="BC468"/>
  <c r="BB468"/>
  <c r="BA468" s="1"/>
  <c r="AZ468"/>
  <c r="AX468"/>
  <c r="AW468"/>
  <c r="AV468"/>
  <c r="AC468"/>
  <c r="H468"/>
  <c r="G468"/>
  <c r="BT467"/>
  <c r="BS467"/>
  <c r="BR467"/>
  <c r="BQ467"/>
  <c r="BP467"/>
  <c r="BO467"/>
  <c r="BN467"/>
  <c r="BM467"/>
  <c r="BL467" s="1"/>
  <c r="BK467"/>
  <c r="BJ467"/>
  <c r="BI467"/>
  <c r="BH467"/>
  <c r="BG467"/>
  <c r="BF467"/>
  <c r="BE467"/>
  <c r="BD467"/>
  <c r="BC467"/>
  <c r="BB467"/>
  <c r="BA467"/>
  <c r="AX467"/>
  <c r="AW467"/>
  <c r="AV467"/>
  <c r="AC467"/>
  <c r="H467"/>
  <c r="G467" s="1"/>
  <c r="BT466"/>
  <c r="BS466"/>
  <c r="BR466"/>
  <c r="BQ466"/>
  <c r="BP466"/>
  <c r="BO466"/>
  <c r="BN466"/>
  <c r="BM466"/>
  <c r="BL466"/>
  <c r="BK466"/>
  <c r="BJ466"/>
  <c r="BI466"/>
  <c r="BH466"/>
  <c r="BG466"/>
  <c r="BF466"/>
  <c r="BE466"/>
  <c r="BD466"/>
  <c r="BC466"/>
  <c r="BB466"/>
  <c r="BA466" s="1"/>
  <c r="AZ466"/>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s="1"/>
  <c r="BT464"/>
  <c r="BS464"/>
  <c r="BR464"/>
  <c r="BQ464"/>
  <c r="BP464"/>
  <c r="BO464"/>
  <c r="BN464"/>
  <c r="BM464"/>
  <c r="BL464"/>
  <c r="BK464"/>
  <c r="BJ464"/>
  <c r="BI464"/>
  <c r="BH464"/>
  <c r="BG464"/>
  <c r="BF464"/>
  <c r="BE464"/>
  <c r="BD464"/>
  <c r="BC464"/>
  <c r="BB464"/>
  <c r="BA464" s="1"/>
  <c r="AZ464"/>
  <c r="AX464"/>
  <c r="AW464"/>
  <c r="AV464"/>
  <c r="AC464"/>
  <c r="H464"/>
  <c r="G464"/>
  <c r="BT463"/>
  <c r="BS463"/>
  <c r="BR463"/>
  <c r="BQ463"/>
  <c r="BP463"/>
  <c r="BO463"/>
  <c r="BN463"/>
  <c r="BM463"/>
  <c r="BL463" s="1"/>
  <c r="BK463"/>
  <c r="BJ463"/>
  <c r="BI463"/>
  <c r="BH463"/>
  <c r="BG463"/>
  <c r="BF463"/>
  <c r="BE463"/>
  <c r="BD463"/>
  <c r="BC463"/>
  <c r="BB463"/>
  <c r="BA463"/>
  <c r="AX463"/>
  <c r="AW463"/>
  <c r="AV463"/>
  <c r="AC463"/>
  <c r="H463"/>
  <c r="G463" s="1"/>
  <c r="BT462"/>
  <c r="BS462"/>
  <c r="BR462"/>
  <c r="BQ462"/>
  <c r="BP462"/>
  <c r="BO462"/>
  <c r="BN462"/>
  <c r="BM462"/>
  <c r="BL462"/>
  <c r="BK462"/>
  <c r="BJ462"/>
  <c r="BI462"/>
  <c r="BH462"/>
  <c r="BG462"/>
  <c r="BF462"/>
  <c r="BE462"/>
  <c r="BD462"/>
  <c r="BC462"/>
  <c r="BB462"/>
  <c r="BA462" s="1"/>
  <c r="AZ462"/>
  <c r="AX462"/>
  <c r="AW462"/>
  <c r="AV462"/>
  <c r="AC462"/>
  <c r="H462"/>
  <c r="G462"/>
  <c r="BT461"/>
  <c r="BS461"/>
  <c r="BR461"/>
  <c r="BQ461"/>
  <c r="BP461"/>
  <c r="BO461"/>
  <c r="BN461"/>
  <c r="BM461"/>
  <c r="BL461" s="1"/>
  <c r="BK461"/>
  <c r="BJ461"/>
  <c r="BI461"/>
  <c r="BH461"/>
  <c r="BG461"/>
  <c r="BF461"/>
  <c r="BE461"/>
  <c r="BD461"/>
  <c r="BC461"/>
  <c r="BB461"/>
  <c r="BA461"/>
  <c r="AX461"/>
  <c r="AW461"/>
  <c r="AV461"/>
  <c r="AC461"/>
  <c r="H461"/>
  <c r="G461" s="1"/>
  <c r="BT460"/>
  <c r="BS460"/>
  <c r="BR460"/>
  <c r="BQ460"/>
  <c r="BP460"/>
  <c r="BO460"/>
  <c r="BN460"/>
  <c r="BM460"/>
  <c r="BL460"/>
  <c r="BK460"/>
  <c r="BJ460"/>
  <c r="BI460"/>
  <c r="BH460"/>
  <c r="BG460"/>
  <c r="BF460"/>
  <c r="BE460"/>
  <c r="BD460"/>
  <c r="BC460"/>
  <c r="BB460"/>
  <c r="BA460" s="1"/>
  <c r="AZ460"/>
  <c r="AX460"/>
  <c r="AW460"/>
  <c r="AV460"/>
  <c r="AC460"/>
  <c r="H460"/>
  <c r="G460"/>
  <c r="BT459"/>
  <c r="BS459"/>
  <c r="BR459"/>
  <c r="BQ459"/>
  <c r="BP459"/>
  <c r="BO459"/>
  <c r="BN459"/>
  <c r="BM459"/>
  <c r="BL459" s="1"/>
  <c r="BK459"/>
  <c r="BJ459"/>
  <c r="BI459"/>
  <c r="BH459"/>
  <c r="BG459"/>
  <c r="BF459"/>
  <c r="BE459"/>
  <c r="BD459"/>
  <c r="BC459"/>
  <c r="BB459"/>
  <c r="BA459"/>
  <c r="AX459"/>
  <c r="AW459"/>
  <c r="AV459"/>
  <c r="AC459"/>
  <c r="H459"/>
  <c r="G459" s="1"/>
  <c r="BT458"/>
  <c r="BS458"/>
  <c r="BR458"/>
  <c r="BQ458"/>
  <c r="BP458"/>
  <c r="BO458"/>
  <c r="BN458"/>
  <c r="BM458"/>
  <c r="BL458"/>
  <c r="BK458"/>
  <c r="BJ458"/>
  <c r="BI458"/>
  <c r="BH458"/>
  <c r="BG458"/>
  <c r="BF458"/>
  <c r="BE458"/>
  <c r="BD458"/>
  <c r="BC458"/>
  <c r="BB458"/>
  <c r="BA458" s="1"/>
  <c r="AZ458"/>
  <c r="AX458"/>
  <c r="AW458"/>
  <c r="AV458"/>
  <c r="AC458"/>
  <c r="H458"/>
  <c r="G458"/>
  <c r="BT457"/>
  <c r="BS457"/>
  <c r="BR457"/>
  <c r="BQ457"/>
  <c r="BP457"/>
  <c r="BO457"/>
  <c r="BN457"/>
  <c r="BM457"/>
  <c r="BL457" s="1"/>
  <c r="BK457"/>
  <c r="BJ457"/>
  <c r="BI457"/>
  <c r="BH457"/>
  <c r="BG457"/>
  <c r="BF457"/>
  <c r="BE457"/>
  <c r="BD457"/>
  <c r="BC457"/>
  <c r="BB457"/>
  <c r="BA457"/>
  <c r="AX457"/>
  <c r="AW457"/>
  <c r="AV457"/>
  <c r="AC457"/>
  <c r="H457"/>
  <c r="G457" s="1"/>
  <c r="BT456"/>
  <c r="BS456"/>
  <c r="BR456"/>
  <c r="BQ456"/>
  <c r="BP456"/>
  <c r="BO456"/>
  <c r="BN456"/>
  <c r="BM456"/>
  <c r="BL456"/>
  <c r="BK456"/>
  <c r="BJ456"/>
  <c r="BI456"/>
  <c r="BH456"/>
  <c r="BG456"/>
  <c r="BF456"/>
  <c r="BE456"/>
  <c r="BD456"/>
  <c r="BC456"/>
  <c r="BB456"/>
  <c r="BA456" s="1"/>
  <c r="AZ456"/>
  <c r="AX456"/>
  <c r="AW456"/>
  <c r="AV456"/>
  <c r="AC456"/>
  <c r="H456"/>
  <c r="G456"/>
  <c r="BT455"/>
  <c r="BS455"/>
  <c r="BR455"/>
  <c r="BQ455"/>
  <c r="BP455"/>
  <c r="BO455"/>
  <c r="BN455"/>
  <c r="BM455"/>
  <c r="BL455" s="1"/>
  <c r="BK455"/>
  <c r="BJ455"/>
  <c r="BI455"/>
  <c r="BH455"/>
  <c r="BG455"/>
  <c r="BF455"/>
  <c r="BE455"/>
  <c r="BD455"/>
  <c r="BC455"/>
  <c r="BB455"/>
  <c r="BA455"/>
  <c r="AX455"/>
  <c r="AW455"/>
  <c r="AV455"/>
  <c r="AC455"/>
  <c r="H455"/>
  <c r="G455" s="1"/>
  <c r="BT454"/>
  <c r="BS454"/>
  <c r="BR454"/>
  <c r="BQ454"/>
  <c r="BP454"/>
  <c r="BO454"/>
  <c r="BN454"/>
  <c r="BM454"/>
  <c r="BL454"/>
  <c r="BK454"/>
  <c r="BJ454"/>
  <c r="BI454"/>
  <c r="BH454"/>
  <c r="BG454"/>
  <c r="BF454"/>
  <c r="BE454"/>
  <c r="BD454"/>
  <c r="BC454"/>
  <c r="BB454"/>
  <c r="BA454" s="1"/>
  <c r="AZ454"/>
  <c r="AX454"/>
  <c r="AW454"/>
  <c r="AV454"/>
  <c r="AC454"/>
  <c r="H454"/>
  <c r="G454"/>
  <c r="BT453"/>
  <c r="BS453"/>
  <c r="BR453"/>
  <c r="BQ453"/>
  <c r="BP453"/>
  <c r="BO453"/>
  <c r="BN453"/>
  <c r="BM453"/>
  <c r="BL453" s="1"/>
  <c r="BK453"/>
  <c r="BJ453"/>
  <c r="BI453"/>
  <c r="BH453"/>
  <c r="BG453"/>
  <c r="BF453"/>
  <c r="BE453"/>
  <c r="BD453"/>
  <c r="BC453"/>
  <c r="BB453"/>
  <c r="BA453"/>
  <c r="AX453"/>
  <c r="AW453"/>
  <c r="AV453"/>
  <c r="AC453"/>
  <c r="H453"/>
  <c r="G453" s="1"/>
  <c r="BT452"/>
  <c r="BS452"/>
  <c r="BR452"/>
  <c r="BQ452"/>
  <c r="BP452"/>
  <c r="BO452"/>
  <c r="BN452"/>
  <c r="BM452"/>
  <c r="BL452"/>
  <c r="BK452"/>
  <c r="BJ452"/>
  <c r="BI452"/>
  <c r="BH452"/>
  <c r="BG452"/>
  <c r="BF452"/>
  <c r="BE452"/>
  <c r="BD452"/>
  <c r="BC452"/>
  <c r="BB452"/>
  <c r="BA452" s="1"/>
  <c r="AZ452"/>
  <c r="AX452"/>
  <c r="AW452"/>
  <c r="AV452"/>
  <c r="AC452"/>
  <c r="H452"/>
  <c r="G452"/>
  <c r="BT451"/>
  <c r="BS451"/>
  <c r="BR451"/>
  <c r="BQ451"/>
  <c r="BP451"/>
  <c r="BO451"/>
  <c r="BN451"/>
  <c r="BM451"/>
  <c r="BL451" s="1"/>
  <c r="BK451"/>
  <c r="BJ451"/>
  <c r="BI451"/>
  <c r="BH451"/>
  <c r="BG451"/>
  <c r="BF451"/>
  <c r="BE451"/>
  <c r="BD451"/>
  <c r="BC451"/>
  <c r="BB451"/>
  <c r="BA451"/>
  <c r="AX451"/>
  <c r="AW451"/>
  <c r="AV451"/>
  <c r="AC451"/>
  <c r="H451"/>
  <c r="G451" s="1"/>
  <c r="BT450"/>
  <c r="BS450"/>
  <c r="BR450"/>
  <c r="BQ450"/>
  <c r="BP450"/>
  <c r="BO450"/>
  <c r="BN450"/>
  <c r="BM450"/>
  <c r="BL450"/>
  <c r="BK450"/>
  <c r="BJ450"/>
  <c r="BI450"/>
  <c r="BH450"/>
  <c r="BG450"/>
  <c r="BF450"/>
  <c r="BE450"/>
  <c r="BD450"/>
  <c r="BC450"/>
  <c r="BB450"/>
  <c r="BA450" s="1"/>
  <c r="AZ450"/>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s="1"/>
  <c r="BT448"/>
  <c r="BS448"/>
  <c r="BR448"/>
  <c r="BQ448"/>
  <c r="BP448"/>
  <c r="BO448"/>
  <c r="BN448"/>
  <c r="BM448"/>
  <c r="BL448"/>
  <c r="BK448"/>
  <c r="BJ448"/>
  <c r="BI448"/>
  <c r="BH448"/>
  <c r="BG448"/>
  <c r="BF448"/>
  <c r="BE448"/>
  <c r="BD448"/>
  <c r="BC448"/>
  <c r="BB448"/>
  <c r="BA448" s="1"/>
  <c r="AZ448"/>
  <c r="AX448"/>
  <c r="AW448"/>
  <c r="AV448"/>
  <c r="AC448"/>
  <c r="H448"/>
  <c r="G448"/>
  <c r="BT447"/>
  <c r="BS447"/>
  <c r="BR447"/>
  <c r="BQ447"/>
  <c r="BP447"/>
  <c r="BO447"/>
  <c r="BN447"/>
  <c r="BM447"/>
  <c r="BL447" s="1"/>
  <c r="BK447"/>
  <c r="BJ447"/>
  <c r="BI447"/>
  <c r="BH447"/>
  <c r="BG447"/>
  <c r="BF447"/>
  <c r="BE447"/>
  <c r="BD447"/>
  <c r="BC447"/>
  <c r="BB447"/>
  <c r="BA447"/>
  <c r="AX447"/>
  <c r="AW447"/>
  <c r="AV447"/>
  <c r="AC447"/>
  <c r="H447"/>
  <c r="G447" s="1"/>
  <c r="BT446"/>
  <c r="BS446"/>
  <c r="BR446"/>
  <c r="BQ446"/>
  <c r="BP446"/>
  <c r="BO446"/>
  <c r="BN446"/>
  <c r="BM446"/>
  <c r="BL446"/>
  <c r="BK446"/>
  <c r="BJ446"/>
  <c r="BI446"/>
  <c r="BH446"/>
  <c r="BG446"/>
  <c r="BF446"/>
  <c r="BE446"/>
  <c r="BD446"/>
  <c r="BC446"/>
  <c r="BB446"/>
  <c r="BA446" s="1"/>
  <c r="AZ446"/>
  <c r="AX446"/>
  <c r="AW446"/>
  <c r="AV446"/>
  <c r="AC446"/>
  <c r="H446"/>
  <c r="G446"/>
  <c r="BT445"/>
  <c r="BS445"/>
  <c r="BR445"/>
  <c r="BQ445"/>
  <c r="BP445"/>
  <c r="BO445"/>
  <c r="BN445"/>
  <c r="BM445"/>
  <c r="BL445" s="1"/>
  <c r="BK445"/>
  <c r="BJ445"/>
  <c r="BI445"/>
  <c r="BH445"/>
  <c r="BG445"/>
  <c r="BF445"/>
  <c r="BE445"/>
  <c r="BD445"/>
  <c r="BC445"/>
  <c r="BB445"/>
  <c r="BA445"/>
  <c r="AX445"/>
  <c r="AW445"/>
  <c r="AV445"/>
  <c r="AC445"/>
  <c r="H445"/>
  <c r="G445" s="1"/>
  <c r="BT444"/>
  <c r="BS444"/>
  <c r="BR444"/>
  <c r="BQ444"/>
  <c r="BP444"/>
  <c r="BO444"/>
  <c r="BN444"/>
  <c r="BM444"/>
  <c r="BL444"/>
  <c r="BK444"/>
  <c r="BJ444"/>
  <c r="BI444"/>
  <c r="BH444"/>
  <c r="BG444"/>
  <c r="BF444"/>
  <c r="BE444"/>
  <c r="BD444"/>
  <c r="BC444"/>
  <c r="BB444"/>
  <c r="BA444" s="1"/>
  <c r="AZ444"/>
  <c r="AX444"/>
  <c r="AW444"/>
  <c r="AV444"/>
  <c r="AC444"/>
  <c r="H444"/>
  <c r="G444"/>
  <c r="BT443"/>
  <c r="BS443"/>
  <c r="BR443"/>
  <c r="BQ443"/>
  <c r="BP443"/>
  <c r="BO443"/>
  <c r="BN443"/>
  <c r="BM443"/>
  <c r="BL443" s="1"/>
  <c r="BK443"/>
  <c r="BJ443"/>
  <c r="BI443"/>
  <c r="BH443"/>
  <c r="BG443"/>
  <c r="BF443"/>
  <c r="BE443"/>
  <c r="BD443"/>
  <c r="BC443"/>
  <c r="BB443"/>
  <c r="BA443"/>
  <c r="AX443"/>
  <c r="AW443"/>
  <c r="AV443"/>
  <c r="AC443"/>
  <c r="H443"/>
  <c r="G443" s="1"/>
  <c r="BT442"/>
  <c r="BS442"/>
  <c r="BR442"/>
  <c r="BQ442"/>
  <c r="BP442"/>
  <c r="BO442"/>
  <c r="BN442"/>
  <c r="BM442"/>
  <c r="BL442"/>
  <c r="BK442"/>
  <c r="BJ442"/>
  <c r="BI442"/>
  <c r="BH442"/>
  <c r="BG442"/>
  <c r="BF442"/>
  <c r="BE442"/>
  <c r="BD442"/>
  <c r="BC442"/>
  <c r="BB442"/>
  <c r="BA442" s="1"/>
  <c r="AZ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s="1"/>
  <c r="BT440"/>
  <c r="BS440"/>
  <c r="BR440"/>
  <c r="BQ440"/>
  <c r="BP440"/>
  <c r="BO440"/>
  <c r="BN440"/>
  <c r="BM440"/>
  <c r="BL440"/>
  <c r="BK440"/>
  <c r="BJ440"/>
  <c r="BI440"/>
  <c r="BH440"/>
  <c r="BG440"/>
  <c r="BF440"/>
  <c r="BE440"/>
  <c r="BD440"/>
  <c r="BC440"/>
  <c r="BB440"/>
  <c r="BA440" s="1"/>
  <c r="AZ440"/>
  <c r="AX440"/>
  <c r="AW440"/>
  <c r="AV440"/>
  <c r="AC440"/>
  <c r="H440"/>
  <c r="G440"/>
  <c r="BT439"/>
  <c r="BS439"/>
  <c r="BR439"/>
  <c r="BQ439"/>
  <c r="BP439"/>
  <c r="BO439"/>
  <c r="BN439"/>
  <c r="BM439"/>
  <c r="BL439" s="1"/>
  <c r="BK439"/>
  <c r="BJ439"/>
  <c r="BI439"/>
  <c r="BH439"/>
  <c r="BG439"/>
  <c r="BF439"/>
  <c r="BE439"/>
  <c r="BD439"/>
  <c r="BC439"/>
  <c r="BB439"/>
  <c r="BA439"/>
  <c r="AX439"/>
  <c r="AW439"/>
  <c r="AV439"/>
  <c r="AC439"/>
  <c r="H439"/>
  <c r="G439" s="1"/>
  <c r="BT438"/>
  <c r="BS438"/>
  <c r="BR438"/>
  <c r="BQ438"/>
  <c r="BP438"/>
  <c r="BO438"/>
  <c r="BN438"/>
  <c r="BM438"/>
  <c r="BL438"/>
  <c r="BK438"/>
  <c r="BJ438"/>
  <c r="BI438"/>
  <c r="BH438"/>
  <c r="BG438"/>
  <c r="BF438"/>
  <c r="BE438"/>
  <c r="BD438"/>
  <c r="BC438"/>
  <c r="BB438"/>
  <c r="BA438" s="1"/>
  <c r="AZ438"/>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s="1"/>
  <c r="BT436"/>
  <c r="BS436"/>
  <c r="BR436"/>
  <c r="BQ436"/>
  <c r="BP436"/>
  <c r="BO436"/>
  <c r="BN436"/>
  <c r="BM436"/>
  <c r="BL436"/>
  <c r="BK436"/>
  <c r="BJ436"/>
  <c r="BI436"/>
  <c r="BH436"/>
  <c r="BG436"/>
  <c r="BF436"/>
  <c r="BE436"/>
  <c r="BD436"/>
  <c r="BC436"/>
  <c r="BB436"/>
  <c r="BA436" s="1"/>
  <c r="AZ436"/>
  <c r="AX436"/>
  <c r="AW436"/>
  <c r="AV436"/>
  <c r="AC436"/>
  <c r="H436"/>
  <c r="G436"/>
  <c r="BT435"/>
  <c r="BS435"/>
  <c r="BR435"/>
  <c r="BQ435"/>
  <c r="BP435"/>
  <c r="BO435"/>
  <c r="BN435"/>
  <c r="BM435"/>
  <c r="BL435" s="1"/>
  <c r="BK435"/>
  <c r="BJ435"/>
  <c r="BI435"/>
  <c r="BH435"/>
  <c r="BG435"/>
  <c r="BF435"/>
  <c r="BE435"/>
  <c r="BD435"/>
  <c r="BC435"/>
  <c r="BB435"/>
  <c r="BA435"/>
  <c r="AX435"/>
  <c r="AW435"/>
  <c r="AV435"/>
  <c r="AC435"/>
  <c r="H435"/>
  <c r="G435" s="1"/>
  <c r="BT434"/>
  <c r="BS434"/>
  <c r="BR434"/>
  <c r="BQ434"/>
  <c r="BP434"/>
  <c r="BO434"/>
  <c r="BN434"/>
  <c r="BM434"/>
  <c r="BL434"/>
  <c r="BK434"/>
  <c r="BJ434"/>
  <c r="BI434"/>
  <c r="BH434"/>
  <c r="BG434"/>
  <c r="BF434"/>
  <c r="BE434"/>
  <c r="BD434"/>
  <c r="BC434"/>
  <c r="BB434"/>
  <c r="BA434" s="1"/>
  <c r="AZ434"/>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s="1"/>
  <c r="BT432"/>
  <c r="BS432"/>
  <c r="BR432"/>
  <c r="BQ432"/>
  <c r="BP432"/>
  <c r="BO432"/>
  <c r="BN432"/>
  <c r="BM432"/>
  <c r="BL432"/>
  <c r="BK432"/>
  <c r="BJ432"/>
  <c r="BI432"/>
  <c r="BH432"/>
  <c r="BG432"/>
  <c r="BF432"/>
  <c r="BE432"/>
  <c r="BD432"/>
  <c r="BC432"/>
  <c r="BB432"/>
  <c r="BA432" s="1"/>
  <c r="AZ432"/>
  <c r="AX432"/>
  <c r="AW432"/>
  <c r="AV432"/>
  <c r="AC432"/>
  <c r="H432"/>
  <c r="G432"/>
  <c r="BT431"/>
  <c r="BS431"/>
  <c r="BR431"/>
  <c r="BQ431"/>
  <c r="BP431"/>
  <c r="BO431"/>
  <c r="BN431"/>
  <c r="BM431"/>
  <c r="BL431" s="1"/>
  <c r="BK431"/>
  <c r="BJ431"/>
  <c r="BI431"/>
  <c r="BH431"/>
  <c r="BG431"/>
  <c r="BF431"/>
  <c r="BE431"/>
  <c r="BD431"/>
  <c r="BC431"/>
  <c r="BB431"/>
  <c r="BA431"/>
  <c r="AX431"/>
  <c r="AW431"/>
  <c r="AV431"/>
  <c r="AC431"/>
  <c r="H431"/>
  <c r="G431" s="1"/>
  <c r="BT430"/>
  <c r="BS430"/>
  <c r="BR430"/>
  <c r="BQ430"/>
  <c r="BP430"/>
  <c r="BO430"/>
  <c r="BN430"/>
  <c r="BM430"/>
  <c r="BL430"/>
  <c r="BK430"/>
  <c r="BJ430"/>
  <c r="BI430"/>
  <c r="BH430"/>
  <c r="BG430"/>
  <c r="BF430"/>
  <c r="BE430"/>
  <c r="BD430"/>
  <c r="BC430"/>
  <c r="BB430"/>
  <c r="BA430" s="1"/>
  <c r="AZ430"/>
  <c r="AX430"/>
  <c r="AW430"/>
  <c r="AV430"/>
  <c r="AC430"/>
  <c r="H430"/>
  <c r="G430"/>
  <c r="BT429"/>
  <c r="BS429"/>
  <c r="BR429"/>
  <c r="BQ429"/>
  <c r="BP429"/>
  <c r="BO429"/>
  <c r="BN429"/>
  <c r="BM429"/>
  <c r="BL429" s="1"/>
  <c r="BK429"/>
  <c r="BJ429"/>
  <c r="BI429"/>
  <c r="BH429"/>
  <c r="BG429"/>
  <c r="BF429"/>
  <c r="BE429"/>
  <c r="BD429"/>
  <c r="BC429"/>
  <c r="BB429"/>
  <c r="BA429"/>
  <c r="AX429"/>
  <c r="AW429"/>
  <c r="AV429"/>
  <c r="AC429"/>
  <c r="H429"/>
  <c r="G429" s="1"/>
  <c r="BT428"/>
  <c r="BS428"/>
  <c r="BR428"/>
  <c r="BQ428"/>
  <c r="BP428"/>
  <c r="BO428"/>
  <c r="BN428"/>
  <c r="BM428"/>
  <c r="BL428"/>
  <c r="BK428"/>
  <c r="BJ428"/>
  <c r="BI428"/>
  <c r="BH428"/>
  <c r="BG428"/>
  <c r="BF428"/>
  <c r="BE428"/>
  <c r="BD428"/>
  <c r="BC428"/>
  <c r="BB428"/>
  <c r="BA428" s="1"/>
  <c r="AZ428"/>
  <c r="AX428"/>
  <c r="AW428"/>
  <c r="AV428"/>
  <c r="AC428"/>
  <c r="H428"/>
  <c r="G428"/>
  <c r="BT427"/>
  <c r="BS427"/>
  <c r="BR427"/>
  <c r="BQ427"/>
  <c r="BP427"/>
  <c r="BO427"/>
  <c r="BN427"/>
  <c r="BM427"/>
  <c r="BL427" s="1"/>
  <c r="BK427"/>
  <c r="BJ427"/>
  <c r="BI427"/>
  <c r="BH427"/>
  <c r="BG427"/>
  <c r="BF427"/>
  <c r="BE427"/>
  <c r="BD427"/>
  <c r="BC427"/>
  <c r="BB427"/>
  <c r="BA427"/>
  <c r="AX427"/>
  <c r="AW427"/>
  <c r="AV427"/>
  <c r="AC427"/>
  <c r="H427"/>
  <c r="G427" s="1"/>
  <c r="BT426"/>
  <c r="BS426"/>
  <c r="BR426"/>
  <c r="BQ426"/>
  <c r="BP426"/>
  <c r="BO426"/>
  <c r="BN426"/>
  <c r="BM426"/>
  <c r="BL426"/>
  <c r="BK426"/>
  <c r="BJ426"/>
  <c r="BI426"/>
  <c r="BH426"/>
  <c r="BG426"/>
  <c r="BF426"/>
  <c r="BE426"/>
  <c r="BD426"/>
  <c r="BC426"/>
  <c r="BB426"/>
  <c r="BA426" s="1"/>
  <c r="AZ426"/>
  <c r="AX426"/>
  <c r="AW426"/>
  <c r="AV426"/>
  <c r="AC426"/>
  <c r="H426"/>
  <c r="G426"/>
  <c r="BT425"/>
  <c r="BS425"/>
  <c r="BR425"/>
  <c r="BQ425"/>
  <c r="BP425"/>
  <c r="BO425"/>
  <c r="BN425"/>
  <c r="BM425"/>
  <c r="BL425" s="1"/>
  <c r="BK425"/>
  <c r="BJ425"/>
  <c r="BI425"/>
  <c r="BH425"/>
  <c r="BG425"/>
  <c r="BF425"/>
  <c r="BE425"/>
  <c r="BD425"/>
  <c r="BC425"/>
  <c r="BB425"/>
  <c r="BA425"/>
  <c r="AX425"/>
  <c r="AW425"/>
  <c r="AV425"/>
  <c r="AC425"/>
  <c r="H425"/>
  <c r="G425" s="1"/>
  <c r="BT424"/>
  <c r="BS424"/>
  <c r="BR424"/>
  <c r="BQ424"/>
  <c r="BP424"/>
  <c r="BO424"/>
  <c r="BN424"/>
  <c r="BM424"/>
  <c r="BL424"/>
  <c r="BK424"/>
  <c r="BJ424"/>
  <c r="BI424"/>
  <c r="BH424"/>
  <c r="BG424"/>
  <c r="BF424"/>
  <c r="BE424"/>
  <c r="BD424"/>
  <c r="BC424"/>
  <c r="BB424"/>
  <c r="BA424" s="1"/>
  <c r="AZ424"/>
  <c r="AX424"/>
  <c r="AW424"/>
  <c r="AV424"/>
  <c r="AC424"/>
  <c r="H424"/>
  <c r="G424"/>
  <c r="BT423"/>
  <c r="BS423"/>
  <c r="BR423"/>
  <c r="BQ423"/>
  <c r="BP423"/>
  <c r="BO423"/>
  <c r="BN423"/>
  <c r="BM423"/>
  <c r="BL423" s="1"/>
  <c r="BK423"/>
  <c r="BJ423"/>
  <c r="BI423"/>
  <c r="BH423"/>
  <c r="BG423"/>
  <c r="BF423"/>
  <c r="BE423"/>
  <c r="BD423"/>
  <c r="BC423"/>
  <c r="BB423"/>
  <c r="BA423"/>
  <c r="AX423"/>
  <c r="AW423"/>
  <c r="AV423"/>
  <c r="AC423"/>
  <c r="H423"/>
  <c r="G423" s="1"/>
  <c r="BT422"/>
  <c r="BS422"/>
  <c r="BR422"/>
  <c r="BQ422"/>
  <c r="BP422"/>
  <c r="BO422"/>
  <c r="BN422"/>
  <c r="BM422"/>
  <c r="BL422"/>
  <c r="BK422"/>
  <c r="BJ422"/>
  <c r="BI422"/>
  <c r="BH422"/>
  <c r="BG422"/>
  <c r="BF422"/>
  <c r="BE422"/>
  <c r="BD422"/>
  <c r="BC422"/>
  <c r="BB422"/>
  <c r="BA422" s="1"/>
  <c r="AZ422"/>
  <c r="AX422"/>
  <c r="AW422"/>
  <c r="AV422"/>
  <c r="AC422"/>
  <c r="H422"/>
  <c r="G422"/>
  <c r="BT421"/>
  <c r="BS421"/>
  <c r="BR421"/>
  <c r="BQ421"/>
  <c r="BP421"/>
  <c r="BO421"/>
  <c r="BN421"/>
  <c r="BM421"/>
  <c r="BL421" s="1"/>
  <c r="BK421"/>
  <c r="BJ421"/>
  <c r="BI421"/>
  <c r="BH421"/>
  <c r="BG421"/>
  <c r="BF421"/>
  <c r="BE421"/>
  <c r="BD421"/>
  <c r="BC421"/>
  <c r="BB421"/>
  <c r="BA421"/>
  <c r="AX421"/>
  <c r="AW421"/>
  <c r="AV421"/>
  <c r="AC421"/>
  <c r="H421"/>
  <c r="G421" s="1"/>
  <c r="BT420"/>
  <c r="BS420"/>
  <c r="BR420"/>
  <c r="BQ420"/>
  <c r="BP420"/>
  <c r="BO420"/>
  <c r="BN420"/>
  <c r="BM420"/>
  <c r="BL420"/>
  <c r="BK420"/>
  <c r="BJ420"/>
  <c r="BI420"/>
  <c r="BH420"/>
  <c r="BG420"/>
  <c r="BF420"/>
  <c r="BE420"/>
  <c r="BD420"/>
  <c r="BC420"/>
  <c r="BB420"/>
  <c r="BA420" s="1"/>
  <c r="AZ420"/>
  <c r="AX420"/>
  <c r="AW420"/>
  <c r="AV420"/>
  <c r="AC420"/>
  <c r="H420"/>
  <c r="G420"/>
  <c r="BT419"/>
  <c r="BS419"/>
  <c r="BR419"/>
  <c r="BQ419"/>
  <c r="BP419"/>
  <c r="BO419"/>
  <c r="BN419"/>
  <c r="BM419"/>
  <c r="BL419" s="1"/>
  <c r="BK419"/>
  <c r="BJ419"/>
  <c r="BI419"/>
  <c r="BH419"/>
  <c r="BG419"/>
  <c r="BF419"/>
  <c r="BE419"/>
  <c r="BD419"/>
  <c r="BC419"/>
  <c r="BB419"/>
  <c r="BA419"/>
  <c r="AX419"/>
  <c r="AW419"/>
  <c r="AV419"/>
  <c r="AC419"/>
  <c r="H419"/>
  <c r="G419" s="1"/>
  <c r="BT418"/>
  <c r="BS418"/>
  <c r="BR418"/>
  <c r="BQ418"/>
  <c r="BP418"/>
  <c r="BO418"/>
  <c r="BN418"/>
  <c r="BM418"/>
  <c r="BL418"/>
  <c r="BK418"/>
  <c r="BJ418"/>
  <c r="BI418"/>
  <c r="BH418"/>
  <c r="BG418"/>
  <c r="BF418"/>
  <c r="BE418"/>
  <c r="BD418"/>
  <c r="BC418"/>
  <c r="BB418"/>
  <c r="BA418" s="1"/>
  <c r="AZ418"/>
  <c r="AX418"/>
  <c r="AW418"/>
  <c r="AV418"/>
  <c r="AC418"/>
  <c r="H418"/>
  <c r="G418"/>
  <c r="BT417"/>
  <c r="BS417"/>
  <c r="BR417"/>
  <c r="BQ417"/>
  <c r="BP417"/>
  <c r="BO417"/>
  <c r="BN417"/>
  <c r="BM417"/>
  <c r="BL417" s="1"/>
  <c r="BK417"/>
  <c r="BJ417"/>
  <c r="BI417"/>
  <c r="BH417"/>
  <c r="BG417"/>
  <c r="BF417"/>
  <c r="BE417"/>
  <c r="BD417"/>
  <c r="BC417"/>
  <c r="BB417"/>
  <c r="BA417"/>
  <c r="AX417"/>
  <c r="AW417"/>
  <c r="AV417"/>
  <c r="AC417"/>
  <c r="H417"/>
  <c r="G417" s="1"/>
  <c r="BT416"/>
  <c r="BS416"/>
  <c r="BR416"/>
  <c r="BQ416"/>
  <c r="BP416"/>
  <c r="BO416"/>
  <c r="BN416"/>
  <c r="BM416"/>
  <c r="BL416"/>
  <c r="BK416"/>
  <c r="BJ416"/>
  <c r="BI416"/>
  <c r="BH416"/>
  <c r="BG416"/>
  <c r="BF416"/>
  <c r="BE416"/>
  <c r="BD416"/>
  <c r="BC416"/>
  <c r="BB416"/>
  <c r="BA416" s="1"/>
  <c r="AZ416"/>
  <c r="AX416"/>
  <c r="AW416"/>
  <c r="AV416"/>
  <c r="AC416"/>
  <c r="H416"/>
  <c r="G416"/>
  <c r="BT415"/>
  <c r="BS415"/>
  <c r="BR415"/>
  <c r="BQ415"/>
  <c r="BP415"/>
  <c r="BO415"/>
  <c r="BN415"/>
  <c r="BM415"/>
  <c r="BL415" s="1"/>
  <c r="BK415"/>
  <c r="BJ415"/>
  <c r="BI415"/>
  <c r="BH415"/>
  <c r="BG415"/>
  <c r="BF415"/>
  <c r="BE415"/>
  <c r="BD415"/>
  <c r="BC415"/>
  <c r="BB415"/>
  <c r="BA415"/>
  <c r="AX415"/>
  <c r="AW415"/>
  <c r="AV415"/>
  <c r="AC415"/>
  <c r="H415"/>
  <c r="G415" s="1"/>
  <c r="BT414"/>
  <c r="BS414"/>
  <c r="BR414"/>
  <c r="BQ414"/>
  <c r="BP414"/>
  <c r="BO414"/>
  <c r="BN414"/>
  <c r="BM414"/>
  <c r="BL414"/>
  <c r="BK414"/>
  <c r="BJ414"/>
  <c r="BI414"/>
  <c r="BH414"/>
  <c r="BG414"/>
  <c r="BF414"/>
  <c r="BE414"/>
  <c r="BD414"/>
  <c r="BC414"/>
  <c r="BB414"/>
  <c r="BA414" s="1"/>
  <c r="AZ414"/>
  <c r="AX414"/>
  <c r="AW414"/>
  <c r="AV414"/>
  <c r="AC414"/>
  <c r="H414"/>
  <c r="G414"/>
  <c r="BT413"/>
  <c r="BS413"/>
  <c r="BR413"/>
  <c r="BQ413"/>
  <c r="BP413"/>
  <c r="BO413"/>
  <c r="BN413"/>
  <c r="BM413"/>
  <c r="BL413" s="1"/>
  <c r="BK413"/>
  <c r="BJ413"/>
  <c r="BI413"/>
  <c r="BH413"/>
  <c r="BG413"/>
  <c r="BF413"/>
  <c r="BE413"/>
  <c r="BD413"/>
  <c r="BC413"/>
  <c r="BB413"/>
  <c r="BA413"/>
  <c r="AX413"/>
  <c r="AW413"/>
  <c r="AV413"/>
  <c r="AC413"/>
  <c r="H413"/>
  <c r="G413" s="1"/>
  <c r="BT412"/>
  <c r="BS412"/>
  <c r="BR412"/>
  <c r="BQ412"/>
  <c r="BP412"/>
  <c r="BO412"/>
  <c r="BN412"/>
  <c r="BM412"/>
  <c r="BL412"/>
  <c r="BK412"/>
  <c r="BJ412"/>
  <c r="BI412"/>
  <c r="BH412"/>
  <c r="BG412"/>
  <c r="BF412"/>
  <c r="BE412"/>
  <c r="BD412"/>
  <c r="BC412"/>
  <c r="BB412"/>
  <c r="BA412" s="1"/>
  <c r="AZ412"/>
  <c r="AX412"/>
  <c r="AW412"/>
  <c r="AV412"/>
  <c r="AC412"/>
  <c r="H412"/>
  <c r="G412"/>
  <c r="BT411"/>
  <c r="BS411"/>
  <c r="BR411"/>
  <c r="BQ411"/>
  <c r="BP411"/>
  <c r="BO411"/>
  <c r="BN411"/>
  <c r="BM411"/>
  <c r="BL411" s="1"/>
  <c r="BK411"/>
  <c r="BJ411"/>
  <c r="BI411"/>
  <c r="BH411"/>
  <c r="BG411"/>
  <c r="BF411"/>
  <c r="BE411"/>
  <c r="BD411"/>
  <c r="BC411"/>
  <c r="BB411"/>
  <c r="BA411"/>
  <c r="AX411"/>
  <c r="AW411"/>
  <c r="AV411"/>
  <c r="AC411"/>
  <c r="H411"/>
  <c r="G411" s="1"/>
  <c r="BT410"/>
  <c r="BS410"/>
  <c r="BR410"/>
  <c r="BQ410"/>
  <c r="BP410"/>
  <c r="BO410"/>
  <c r="BN410"/>
  <c r="BM410"/>
  <c r="BL410"/>
  <c r="BK410"/>
  <c r="BJ410"/>
  <c r="BI410"/>
  <c r="BH410"/>
  <c r="BG410"/>
  <c r="BF410"/>
  <c r="BE410"/>
  <c r="BD410"/>
  <c r="BC410"/>
  <c r="BB410"/>
  <c r="BA410" s="1"/>
  <c r="AZ410"/>
  <c r="AX410"/>
  <c r="AW410"/>
  <c r="AV410"/>
  <c r="AC410"/>
  <c r="H410"/>
  <c r="G410"/>
  <c r="BT409"/>
  <c r="BS409"/>
  <c r="BR409"/>
  <c r="BQ409"/>
  <c r="BP409"/>
  <c r="BO409"/>
  <c r="BN409"/>
  <c r="BM409"/>
  <c r="BL409" s="1"/>
  <c r="BK409"/>
  <c r="BJ409"/>
  <c r="BI409"/>
  <c r="BH409"/>
  <c r="BG409"/>
  <c r="BF409"/>
  <c r="BE409"/>
  <c r="BD409"/>
  <c r="BC409"/>
  <c r="BB409"/>
  <c r="BA409"/>
  <c r="AX409"/>
  <c r="AW409"/>
  <c r="AV409"/>
  <c r="AC409"/>
  <c r="H409"/>
  <c r="G409" s="1"/>
  <c r="BT408"/>
  <c r="BS408"/>
  <c r="BR408"/>
  <c r="BQ408"/>
  <c r="BP408"/>
  <c r="BO408"/>
  <c r="BN408"/>
  <c r="BM408"/>
  <c r="BL408"/>
  <c r="BK408"/>
  <c r="BJ408"/>
  <c r="BI408"/>
  <c r="BH408"/>
  <c r="BG408"/>
  <c r="BF408"/>
  <c r="BE408"/>
  <c r="BD408"/>
  <c r="BC408"/>
  <c r="BB408"/>
  <c r="BA408" s="1"/>
  <c r="AZ408"/>
  <c r="AX408"/>
  <c r="AW408"/>
  <c r="AV408"/>
  <c r="AC408"/>
  <c r="H408"/>
  <c r="G408"/>
  <c r="BT407"/>
  <c r="BS407"/>
  <c r="BR407"/>
  <c r="BQ407"/>
  <c r="BP407"/>
  <c r="BO407"/>
  <c r="BN407"/>
  <c r="BM407"/>
  <c r="BL407" s="1"/>
  <c r="BK407"/>
  <c r="BJ407"/>
  <c r="BI407"/>
  <c r="BH407"/>
  <c r="BG407"/>
  <c r="BF407"/>
  <c r="BE407"/>
  <c r="BD407"/>
  <c r="BC407"/>
  <c r="BB407"/>
  <c r="BA407"/>
  <c r="AX407"/>
  <c r="AW407"/>
  <c r="AV407"/>
  <c r="AC407"/>
  <c r="H407"/>
  <c r="G407" s="1"/>
  <c r="BT406"/>
  <c r="BS406"/>
  <c r="BR406"/>
  <c r="BQ406"/>
  <c r="BP406"/>
  <c r="BO406"/>
  <c r="BN406"/>
  <c r="BM406"/>
  <c r="BL406"/>
  <c r="BK406"/>
  <c r="BJ406"/>
  <c r="BI406"/>
  <c r="BH406"/>
  <c r="BG406"/>
  <c r="BF406"/>
  <c r="BE406"/>
  <c r="BD406"/>
  <c r="BC406"/>
  <c r="BB406"/>
  <c r="BA406" s="1"/>
  <c r="AZ406"/>
  <c r="AX406"/>
  <c r="AW406"/>
  <c r="AV406"/>
  <c r="AC406"/>
  <c r="H406"/>
  <c r="G406"/>
  <c r="BT405"/>
  <c r="BS405"/>
  <c r="BR405"/>
  <c r="BQ405"/>
  <c r="BP405"/>
  <c r="BO405"/>
  <c r="BN405"/>
  <c r="BM405"/>
  <c r="BL405" s="1"/>
  <c r="BK405"/>
  <c r="BJ405"/>
  <c r="BI405"/>
  <c r="BH405"/>
  <c r="BG405"/>
  <c r="BF405"/>
  <c r="BE405"/>
  <c r="BD405"/>
  <c r="BC405"/>
  <c r="BB405"/>
  <c r="BA405"/>
  <c r="AX405"/>
  <c r="AW405"/>
  <c r="AV405"/>
  <c r="AC405"/>
  <c r="H405"/>
  <c r="G405" s="1"/>
  <c r="BT404"/>
  <c r="BS404"/>
  <c r="BR404"/>
  <c r="BQ404"/>
  <c r="BP404"/>
  <c r="BO404"/>
  <c r="BN404"/>
  <c r="BM404"/>
  <c r="BL404"/>
  <c r="BK404"/>
  <c r="BJ404"/>
  <c r="BI404"/>
  <c r="BH404"/>
  <c r="BG404"/>
  <c r="BF404"/>
  <c r="BE404"/>
  <c r="BD404"/>
  <c r="BC404"/>
  <c r="BB404"/>
  <c r="BA404" s="1"/>
  <c r="AZ404"/>
  <c r="AX404"/>
  <c r="AW404"/>
  <c r="AV404"/>
  <c r="AC404"/>
  <c r="H404"/>
  <c r="G404"/>
  <c r="BT403"/>
  <c r="BS403"/>
  <c r="BR403"/>
  <c r="BQ403"/>
  <c r="BP403"/>
  <c r="BO403"/>
  <c r="BN403"/>
  <c r="BM403"/>
  <c r="BL403" s="1"/>
  <c r="BK403"/>
  <c r="BJ403"/>
  <c r="BI403"/>
  <c r="BH403"/>
  <c r="BG403"/>
  <c r="BF403"/>
  <c r="BE403"/>
  <c r="BD403"/>
  <c r="BC403"/>
  <c r="BB403"/>
  <c r="BA403"/>
  <c r="AX403"/>
  <c r="AW403"/>
  <c r="AV403"/>
  <c r="AC403"/>
  <c r="H403"/>
  <c r="G403" s="1"/>
  <c r="BT402"/>
  <c r="BS402"/>
  <c r="BR402"/>
  <c r="BQ402"/>
  <c r="BP402"/>
  <c r="BO402"/>
  <c r="BN402"/>
  <c r="BM402"/>
  <c r="BL402"/>
  <c r="BK402"/>
  <c r="BJ402"/>
  <c r="BI402"/>
  <c r="BH402"/>
  <c r="BG402"/>
  <c r="BF402"/>
  <c r="BE402"/>
  <c r="BD402"/>
  <c r="BC402"/>
  <c r="BB402"/>
  <c r="BA402" s="1"/>
  <c r="AZ402"/>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s="1"/>
  <c r="BT400"/>
  <c r="BS400"/>
  <c r="BR400"/>
  <c r="BQ400"/>
  <c r="BP400"/>
  <c r="BO400"/>
  <c r="BN400"/>
  <c r="BM400"/>
  <c r="BL400"/>
  <c r="BK400"/>
  <c r="BJ400"/>
  <c r="BI400"/>
  <c r="BH400"/>
  <c r="BG400"/>
  <c r="BF400"/>
  <c r="BE400"/>
  <c r="BD400"/>
  <c r="BC400"/>
  <c r="BB400"/>
  <c r="BA400" s="1"/>
  <c r="AZ400"/>
  <c r="AX400"/>
  <c r="AW400"/>
  <c r="AV400"/>
  <c r="AC400"/>
  <c r="H400"/>
  <c r="G400"/>
  <c r="BT399"/>
  <c r="BS399"/>
  <c r="BR399"/>
  <c r="BQ399"/>
  <c r="BP399"/>
  <c r="BO399"/>
  <c r="BN399"/>
  <c r="BM399"/>
  <c r="BL399" s="1"/>
  <c r="BK399"/>
  <c r="BJ399"/>
  <c r="BI399"/>
  <c r="BH399"/>
  <c r="BG399"/>
  <c r="BF399"/>
  <c r="BE399"/>
  <c r="BD399"/>
  <c r="BC399"/>
  <c r="BB399"/>
  <c r="BA399"/>
  <c r="AX399"/>
  <c r="AW399"/>
  <c r="AV399"/>
  <c r="AC399"/>
  <c r="H399"/>
  <c r="G399" s="1"/>
  <c r="BT398"/>
  <c r="BS398"/>
  <c r="BR398"/>
  <c r="BQ398"/>
  <c r="BP398"/>
  <c r="BO398"/>
  <c r="BN398"/>
  <c r="BM398"/>
  <c r="BL398"/>
  <c r="BK398"/>
  <c r="BJ398"/>
  <c r="BI398"/>
  <c r="BH398"/>
  <c r="BG398"/>
  <c r="BF398"/>
  <c r="BE398"/>
  <c r="BD398"/>
  <c r="BC398"/>
  <c r="BB398"/>
  <c r="BA398" s="1"/>
  <c r="AZ398"/>
  <c r="AX398"/>
  <c r="AW398"/>
  <c r="AV398"/>
  <c r="AC398"/>
  <c r="H398"/>
  <c r="G398"/>
  <c r="BT397"/>
  <c r="BS397"/>
  <c r="BR397"/>
  <c r="BQ397"/>
  <c r="BP397"/>
  <c r="BO397"/>
  <c r="BN397"/>
  <c r="BM397"/>
  <c r="BL397" s="1"/>
  <c r="BK397"/>
  <c r="BJ397"/>
  <c r="BI397"/>
  <c r="BH397"/>
  <c r="BG397"/>
  <c r="BF397"/>
  <c r="BE397"/>
  <c r="BD397"/>
  <c r="BC397"/>
  <c r="BB397"/>
  <c r="BA397"/>
  <c r="AX397"/>
  <c r="AW397"/>
  <c r="AV397"/>
  <c r="AC397"/>
  <c r="H397"/>
  <c r="G397" s="1"/>
  <c r="BT396"/>
  <c r="BS396"/>
  <c r="BR396"/>
  <c r="BQ396"/>
  <c r="BP396"/>
  <c r="BO396"/>
  <c r="BN396"/>
  <c r="BM396"/>
  <c r="BL396"/>
  <c r="BK396"/>
  <c r="BJ396"/>
  <c r="BI396"/>
  <c r="BH396"/>
  <c r="BG396"/>
  <c r="BF396"/>
  <c r="BE396"/>
  <c r="BD396"/>
  <c r="BC396"/>
  <c r="BB396"/>
  <c r="BA396" s="1"/>
  <c r="AZ396"/>
  <c r="AX396"/>
  <c r="AW396"/>
  <c r="AV396"/>
  <c r="AC396"/>
  <c r="H396"/>
  <c r="G396"/>
  <c r="BT395"/>
  <c r="BS395"/>
  <c r="BR395"/>
  <c r="BQ395"/>
  <c r="BP395"/>
  <c r="BO395"/>
  <c r="BN395"/>
  <c r="BM395"/>
  <c r="BL395" s="1"/>
  <c r="BK395"/>
  <c r="BJ395"/>
  <c r="BI395"/>
  <c r="BH395"/>
  <c r="BG395"/>
  <c r="BF395"/>
  <c r="BE395"/>
  <c r="BD395"/>
  <c r="BC395"/>
  <c r="BB395"/>
  <c r="BA395"/>
  <c r="AX395"/>
  <c r="AW395"/>
  <c r="AV395"/>
  <c r="AC395"/>
  <c r="H395"/>
  <c r="G395" s="1"/>
  <c r="BT394"/>
  <c r="BS394"/>
  <c r="BR394"/>
  <c r="BQ394"/>
  <c r="BP394"/>
  <c r="BO394"/>
  <c r="BN394"/>
  <c r="BM394"/>
  <c r="BL394"/>
  <c r="BK394"/>
  <c r="BJ394"/>
  <c r="BI394"/>
  <c r="BH394"/>
  <c r="BG394"/>
  <c r="BF394"/>
  <c r="BE394"/>
  <c r="BD394"/>
  <c r="BC394"/>
  <c r="BB394"/>
  <c r="BA394" s="1"/>
  <c r="AZ394"/>
  <c r="AX394"/>
  <c r="AW394"/>
  <c r="AV394"/>
  <c r="AC394"/>
  <c r="H394"/>
  <c r="G394"/>
  <c r="BT393"/>
  <c r="BS393"/>
  <c r="BR393"/>
  <c r="BQ393"/>
  <c r="BP393"/>
  <c r="BO393"/>
  <c r="BN393"/>
  <c r="BM393"/>
  <c r="BL393" s="1"/>
  <c r="BK393"/>
  <c r="BJ393"/>
  <c r="BI393"/>
  <c r="BH393"/>
  <c r="BG393"/>
  <c r="BF393"/>
  <c r="BE393"/>
  <c r="BD393"/>
  <c r="BC393"/>
  <c r="BB393"/>
  <c r="BA393"/>
  <c r="AX393"/>
  <c r="AW393"/>
  <c r="AV393"/>
  <c r="AC393"/>
  <c r="H393"/>
  <c r="G393" s="1"/>
  <c r="BT392"/>
  <c r="BS392"/>
  <c r="BR392"/>
  <c r="BQ392"/>
  <c r="BP392"/>
  <c r="BO392"/>
  <c r="BN392"/>
  <c r="BM392"/>
  <c r="BL392"/>
  <c r="BK392"/>
  <c r="BJ392"/>
  <c r="BI392"/>
  <c r="BH392"/>
  <c r="BG392"/>
  <c r="BF392"/>
  <c r="BE392"/>
  <c r="BD392"/>
  <c r="BC392"/>
  <c r="BB392"/>
  <c r="BA392" s="1"/>
  <c r="AZ392"/>
  <c r="AX392"/>
  <c r="AW392"/>
  <c r="AV392"/>
  <c r="AC392"/>
  <c r="H392"/>
  <c r="G392"/>
  <c r="BT391"/>
  <c r="BS391"/>
  <c r="BR391"/>
  <c r="BQ391"/>
  <c r="BP391"/>
  <c r="BO391"/>
  <c r="BN391"/>
  <c r="BM391"/>
  <c r="BL391" s="1"/>
  <c r="BK391"/>
  <c r="BJ391"/>
  <c r="BI391"/>
  <c r="BH391"/>
  <c r="BG391"/>
  <c r="BF391"/>
  <c r="BE391"/>
  <c r="BD391"/>
  <c r="BC391"/>
  <c r="BB391"/>
  <c r="BA391"/>
  <c r="AX391"/>
  <c r="AW391"/>
  <c r="AV391"/>
  <c r="AC391"/>
  <c r="H391"/>
  <c r="G391" s="1"/>
  <c r="BT390"/>
  <c r="BS390"/>
  <c r="BR390"/>
  <c r="BQ390"/>
  <c r="BP390"/>
  <c r="BO390"/>
  <c r="BN390"/>
  <c r="BM390"/>
  <c r="BL390"/>
  <c r="BK390"/>
  <c r="BJ390"/>
  <c r="BI390"/>
  <c r="BH390"/>
  <c r="BG390"/>
  <c r="BF390"/>
  <c r="BE390"/>
  <c r="BD390"/>
  <c r="BC390"/>
  <c r="BB390"/>
  <c r="BA390" s="1"/>
  <c r="AZ390"/>
  <c r="AX390"/>
  <c r="AW390"/>
  <c r="AV390"/>
  <c r="AC390"/>
  <c r="H390"/>
  <c r="G390"/>
  <c r="BT389"/>
  <c r="BS389"/>
  <c r="BR389"/>
  <c r="BQ389"/>
  <c r="BP389"/>
  <c r="BO389"/>
  <c r="BN389"/>
  <c r="BM389"/>
  <c r="BL389" s="1"/>
  <c r="BK389"/>
  <c r="BJ389"/>
  <c r="BI389"/>
  <c r="BH389"/>
  <c r="BG389"/>
  <c r="BF389"/>
  <c r="BE389"/>
  <c r="BD389"/>
  <c r="BC389"/>
  <c r="BB389"/>
  <c r="BA389"/>
  <c r="AX389"/>
  <c r="AW389"/>
  <c r="AV389"/>
  <c r="AC389"/>
  <c r="H389"/>
  <c r="G389" s="1"/>
  <c r="BT388"/>
  <c r="BS388"/>
  <c r="BR388"/>
  <c r="BQ388"/>
  <c r="BP388"/>
  <c r="BO388"/>
  <c r="BN388"/>
  <c r="BM388"/>
  <c r="BL388"/>
  <c r="BK388"/>
  <c r="BJ388"/>
  <c r="BI388"/>
  <c r="BH388"/>
  <c r="BG388"/>
  <c r="BF388"/>
  <c r="BE388"/>
  <c r="BD388"/>
  <c r="BC388"/>
  <c r="BB388"/>
  <c r="BA388" s="1"/>
  <c r="AZ388"/>
  <c r="AX388"/>
  <c r="AW388"/>
  <c r="AV388"/>
  <c r="AC388"/>
  <c r="H388"/>
  <c r="G388"/>
  <c r="BT387"/>
  <c r="BS387"/>
  <c r="BR387"/>
  <c r="BQ387"/>
  <c r="BP387"/>
  <c r="BO387"/>
  <c r="BN387"/>
  <c r="BM387"/>
  <c r="BL387" s="1"/>
  <c r="BK387"/>
  <c r="BJ387"/>
  <c r="BI387"/>
  <c r="BH387"/>
  <c r="BG387"/>
  <c r="BF387"/>
  <c r="BE387"/>
  <c r="BD387"/>
  <c r="BC387"/>
  <c r="BB387"/>
  <c r="BA387"/>
  <c r="AX387"/>
  <c r="AW387"/>
  <c r="AV387"/>
  <c r="AC387"/>
  <c r="H387"/>
  <c r="G387" s="1"/>
  <c r="BT386"/>
  <c r="BS386"/>
  <c r="BR386"/>
  <c r="BQ386"/>
  <c r="BP386"/>
  <c r="BO386"/>
  <c r="BN386"/>
  <c r="BM386"/>
  <c r="BL386"/>
  <c r="BK386"/>
  <c r="BJ386"/>
  <c r="BI386"/>
  <c r="BH386"/>
  <c r="BG386"/>
  <c r="BF386"/>
  <c r="BE386"/>
  <c r="BD386"/>
  <c r="BC386"/>
  <c r="BB386"/>
  <c r="BA386" s="1"/>
  <c r="AZ386"/>
  <c r="AX386"/>
  <c r="AW386"/>
  <c r="AV386"/>
  <c r="AC386"/>
  <c r="H386"/>
  <c r="G386"/>
  <c r="BT385"/>
  <c r="BS385"/>
  <c r="BR385"/>
  <c r="BQ385"/>
  <c r="BP385"/>
  <c r="BO385"/>
  <c r="BN385"/>
  <c r="BM385"/>
  <c r="BL385" s="1"/>
  <c r="BK385"/>
  <c r="BJ385"/>
  <c r="BI385"/>
  <c r="BH385"/>
  <c r="BG385"/>
  <c r="BF385"/>
  <c r="BE385"/>
  <c r="BD385"/>
  <c r="BC385"/>
  <c r="BB385"/>
  <c r="BA385"/>
  <c r="AX385"/>
  <c r="AW385"/>
  <c r="AV385"/>
  <c r="AC385"/>
  <c r="H385"/>
  <c r="G385" s="1"/>
  <c r="BT384"/>
  <c r="BS384"/>
  <c r="BR384"/>
  <c r="BQ384"/>
  <c r="BP384"/>
  <c r="BO384"/>
  <c r="BN384"/>
  <c r="BM384"/>
  <c r="BL384"/>
  <c r="BK384"/>
  <c r="BJ384"/>
  <c r="BI384"/>
  <c r="BH384"/>
  <c r="BG384"/>
  <c r="BF384"/>
  <c r="BE384"/>
  <c r="BD384"/>
  <c r="BC384"/>
  <c r="BB384"/>
  <c r="BA384" s="1"/>
  <c r="AZ384"/>
  <c r="AX384"/>
  <c r="AW384"/>
  <c r="AV384"/>
  <c r="AC384"/>
  <c r="H384"/>
  <c r="G384"/>
  <c r="BT383"/>
  <c r="BS383"/>
  <c r="BR383"/>
  <c r="BQ383"/>
  <c r="BP383"/>
  <c r="BO383"/>
  <c r="BN383"/>
  <c r="BM383"/>
  <c r="BL383" s="1"/>
  <c r="BK383"/>
  <c r="BJ383"/>
  <c r="BI383"/>
  <c r="BH383"/>
  <c r="BG383"/>
  <c r="BF383"/>
  <c r="BE383"/>
  <c r="BD383"/>
  <c r="BC383"/>
  <c r="BB383"/>
  <c r="BA383"/>
  <c r="AX383"/>
  <c r="AW383"/>
  <c r="AV383"/>
  <c r="AC383"/>
  <c r="H383"/>
  <c r="G383" s="1"/>
  <c r="BT382"/>
  <c r="BS382"/>
  <c r="BR382"/>
  <c r="BQ382"/>
  <c r="BP382"/>
  <c r="BO382"/>
  <c r="BN382"/>
  <c r="BM382"/>
  <c r="BL382"/>
  <c r="BK382"/>
  <c r="BJ382"/>
  <c r="BI382"/>
  <c r="BH382"/>
  <c r="BG382"/>
  <c r="BF382"/>
  <c r="BE382"/>
  <c r="BD382"/>
  <c r="BC382"/>
  <c r="BB382"/>
  <c r="BA382" s="1"/>
  <c r="AZ382"/>
  <c r="AX382"/>
  <c r="AW382"/>
  <c r="AV382"/>
  <c r="AC382"/>
  <c r="H382"/>
  <c r="G382"/>
  <c r="BT381"/>
  <c r="BS381"/>
  <c r="BR381"/>
  <c r="BQ381"/>
  <c r="BP381"/>
  <c r="BO381"/>
  <c r="BN381"/>
  <c r="BM381"/>
  <c r="BL381" s="1"/>
  <c r="BK381"/>
  <c r="BJ381"/>
  <c r="BI381"/>
  <c r="BH381"/>
  <c r="BG381"/>
  <c r="BF381"/>
  <c r="BE381"/>
  <c r="BD381"/>
  <c r="BC381"/>
  <c r="BB381"/>
  <c r="BA381"/>
  <c r="AX381"/>
  <c r="AW381"/>
  <c r="AV381"/>
  <c r="AC381"/>
  <c r="H381"/>
  <c r="G381" s="1"/>
  <c r="BT380"/>
  <c r="BS380"/>
  <c r="BR380"/>
  <c r="BQ380"/>
  <c r="BP380"/>
  <c r="BO380"/>
  <c r="BN380"/>
  <c r="BM380"/>
  <c r="BL380"/>
  <c r="BK380"/>
  <c r="BJ380"/>
  <c r="BI380"/>
  <c r="BH380"/>
  <c r="BG380"/>
  <c r="BF380"/>
  <c r="BE380"/>
  <c r="BD380"/>
  <c r="BC380"/>
  <c r="BB380"/>
  <c r="BA380" s="1"/>
  <c r="AZ380"/>
  <c r="AX380"/>
  <c r="AW380"/>
  <c r="AV380"/>
  <c r="AC380"/>
  <c r="H380"/>
  <c r="G380"/>
  <c r="BT379"/>
  <c r="BS379"/>
  <c r="BR379"/>
  <c r="BQ379"/>
  <c r="BP379"/>
  <c r="BO379"/>
  <c r="BN379"/>
  <c r="BM379"/>
  <c r="BL379" s="1"/>
  <c r="BK379"/>
  <c r="BJ379"/>
  <c r="BI379"/>
  <c r="BH379"/>
  <c r="BG379"/>
  <c r="BF379"/>
  <c r="BE379"/>
  <c r="BD379"/>
  <c r="BC379"/>
  <c r="BB379"/>
  <c r="BA379"/>
  <c r="AX379"/>
  <c r="AW379"/>
  <c r="AV379"/>
  <c r="AC379"/>
  <c r="H379"/>
  <c r="G379" s="1"/>
  <c r="BT378"/>
  <c r="BS378"/>
  <c r="BR378"/>
  <c r="BQ378"/>
  <c r="BP378"/>
  <c r="BO378"/>
  <c r="BN378"/>
  <c r="BM378"/>
  <c r="BL378"/>
  <c r="BK378"/>
  <c r="BJ378"/>
  <c r="BI378"/>
  <c r="BH378"/>
  <c r="BG378"/>
  <c r="BF378"/>
  <c r="BE378"/>
  <c r="BD378"/>
  <c r="BC378"/>
  <c r="BB378"/>
  <c r="BA378" s="1"/>
  <c r="AZ378"/>
  <c r="AX378"/>
  <c r="AW378"/>
  <c r="AV378"/>
  <c r="AC378"/>
  <c r="H378"/>
  <c r="G378"/>
  <c r="BT377"/>
  <c r="BS377"/>
  <c r="BR377"/>
  <c r="BQ377"/>
  <c r="BP377"/>
  <c r="BO377"/>
  <c r="BN377"/>
  <c r="BM377"/>
  <c r="BL377" s="1"/>
  <c r="BK377"/>
  <c r="BJ377"/>
  <c r="BI377"/>
  <c r="BH377"/>
  <c r="BG377"/>
  <c r="BF377"/>
  <c r="BE377"/>
  <c r="BD377"/>
  <c r="BC377"/>
  <c r="BB377"/>
  <c r="BA377"/>
  <c r="AX377"/>
  <c r="AW377"/>
  <c r="AV377"/>
  <c r="AC377"/>
  <c r="H377"/>
  <c r="G377" s="1"/>
  <c r="BT376"/>
  <c r="BS376"/>
  <c r="BR376"/>
  <c r="BQ376"/>
  <c r="BP376"/>
  <c r="BO376"/>
  <c r="BN376"/>
  <c r="BM376"/>
  <c r="BL376"/>
  <c r="BK376"/>
  <c r="BJ376"/>
  <c r="BI376"/>
  <c r="BH376"/>
  <c r="BG376"/>
  <c r="BF376"/>
  <c r="BE376"/>
  <c r="BD376"/>
  <c r="BC376"/>
  <c r="BB376"/>
  <c r="BA376" s="1"/>
  <c r="AZ376"/>
  <c r="AX376"/>
  <c r="AW376"/>
  <c r="AV376"/>
  <c r="AC376"/>
  <c r="H376"/>
  <c r="G376"/>
  <c r="BT375"/>
  <c r="BS375"/>
  <c r="BR375"/>
  <c r="BQ375"/>
  <c r="BP375"/>
  <c r="BO375"/>
  <c r="BN375"/>
  <c r="BM375"/>
  <c r="BL375" s="1"/>
  <c r="BK375"/>
  <c r="BJ375"/>
  <c r="BI375"/>
  <c r="BH375"/>
  <c r="BG375"/>
  <c r="BF375"/>
  <c r="BE375"/>
  <c r="BD375"/>
  <c r="BC375"/>
  <c r="BB375"/>
  <c r="BA375"/>
  <c r="AX375"/>
  <c r="AW375"/>
  <c r="AV375"/>
  <c r="AC375"/>
  <c r="H375"/>
  <c r="G375" s="1"/>
  <c r="BT374"/>
  <c r="BS374"/>
  <c r="BR374"/>
  <c r="BQ374"/>
  <c r="BP374"/>
  <c r="BO374"/>
  <c r="BN374"/>
  <c r="BM374"/>
  <c r="BL374"/>
  <c r="BK374"/>
  <c r="BJ374"/>
  <c r="BI374"/>
  <c r="BH374"/>
  <c r="BG374"/>
  <c r="BF374"/>
  <c r="BE374"/>
  <c r="BD374"/>
  <c r="BC374"/>
  <c r="BB374"/>
  <c r="BA374" s="1"/>
  <c r="AZ374"/>
  <c r="AX374"/>
  <c r="AW374"/>
  <c r="AV374"/>
  <c r="AC374"/>
  <c r="H374"/>
  <c r="G374"/>
  <c r="BT373"/>
  <c r="BS373"/>
  <c r="BR373"/>
  <c r="BQ373"/>
  <c r="BP373"/>
  <c r="BO373"/>
  <c r="BN373"/>
  <c r="BM373"/>
  <c r="BL373" s="1"/>
  <c r="BK373"/>
  <c r="BJ373"/>
  <c r="BI373"/>
  <c r="BH373"/>
  <c r="BG373"/>
  <c r="BF373"/>
  <c r="BE373"/>
  <c r="BD373"/>
  <c r="BC373"/>
  <c r="BB373"/>
  <c r="BA373"/>
  <c r="AX373"/>
  <c r="AW373"/>
  <c r="AV373"/>
  <c r="AC373"/>
  <c r="H373"/>
  <c r="G373" s="1"/>
  <c r="BT372"/>
  <c r="BS372"/>
  <c r="BR372"/>
  <c r="BQ372"/>
  <c r="BP372"/>
  <c r="BO372"/>
  <c r="BN372"/>
  <c r="BM372"/>
  <c r="BL372"/>
  <c r="BK372"/>
  <c r="BJ372"/>
  <c r="BI372"/>
  <c r="BH372"/>
  <c r="BG372"/>
  <c r="BF372"/>
  <c r="BE372"/>
  <c r="BD372"/>
  <c r="BC372"/>
  <c r="BB372"/>
  <c r="BA372" s="1"/>
  <c r="AZ372"/>
  <c r="AX372"/>
  <c r="AW372"/>
  <c r="AV372"/>
  <c r="AC372"/>
  <c r="H372"/>
  <c r="G372"/>
  <c r="BT371"/>
  <c r="BS371"/>
  <c r="BR371"/>
  <c r="BQ371"/>
  <c r="BP371"/>
  <c r="BO371"/>
  <c r="BN371"/>
  <c r="BM371"/>
  <c r="BL371" s="1"/>
  <c r="BK371"/>
  <c r="BJ371"/>
  <c r="BI371"/>
  <c r="BH371"/>
  <c r="BG371"/>
  <c r="BF371"/>
  <c r="BE371"/>
  <c r="BD371"/>
  <c r="BC371"/>
  <c r="BB371"/>
  <c r="BA371"/>
  <c r="AX371"/>
  <c r="AW371"/>
  <c r="AV371"/>
  <c r="AC371"/>
  <c r="H371"/>
  <c r="G371" s="1"/>
  <c r="BT370"/>
  <c r="BS370"/>
  <c r="BR370"/>
  <c r="BQ370"/>
  <c r="BP370"/>
  <c r="BO370"/>
  <c r="BN370"/>
  <c r="BM370"/>
  <c r="BL370"/>
  <c r="BK370"/>
  <c r="BJ370"/>
  <c r="BI370"/>
  <c r="BH370"/>
  <c r="BG370"/>
  <c r="BF370"/>
  <c r="BE370"/>
  <c r="BD370"/>
  <c r="BC370"/>
  <c r="BB370"/>
  <c r="BA370" s="1"/>
  <c r="AZ370"/>
  <c r="AX370"/>
  <c r="AW370"/>
  <c r="AV370"/>
  <c r="AC370"/>
  <c r="H370"/>
  <c r="G370"/>
  <c r="BT369"/>
  <c r="BS369"/>
  <c r="BR369"/>
  <c r="BQ369"/>
  <c r="BP369"/>
  <c r="BO369"/>
  <c r="BN369"/>
  <c r="BM369"/>
  <c r="BK369"/>
  <c r="BJ369"/>
  <c r="BI369"/>
  <c r="BH369"/>
  <c r="BG369"/>
  <c r="BF369"/>
  <c r="BE369"/>
  <c r="BD369"/>
  <c r="BC369"/>
  <c r="BB369"/>
  <c r="BA369"/>
  <c r="AX369"/>
  <c r="AW369"/>
  <c r="AV369"/>
  <c r="AC369"/>
  <c r="H369"/>
  <c r="G369" s="1"/>
  <c r="BT368"/>
  <c r="BS368"/>
  <c r="BR368"/>
  <c r="BQ368"/>
  <c r="BP368"/>
  <c r="BO368"/>
  <c r="BN368"/>
  <c r="BM368"/>
  <c r="BL368"/>
  <c r="BK368"/>
  <c r="BJ368"/>
  <c r="BI368"/>
  <c r="BH368"/>
  <c r="BG368"/>
  <c r="BF368"/>
  <c r="BE368"/>
  <c r="BD368"/>
  <c r="BC368"/>
  <c r="BB368"/>
  <c r="BA368" s="1"/>
  <c r="AZ368"/>
  <c r="AX368"/>
  <c r="AW368"/>
  <c r="AV368"/>
  <c r="AC368"/>
  <c r="H368"/>
  <c r="G368"/>
  <c r="BT367"/>
  <c r="BS367"/>
  <c r="BR367"/>
  <c r="BQ367"/>
  <c r="BP367"/>
  <c r="BO367"/>
  <c r="BN367"/>
  <c r="BM367"/>
  <c r="BL367" s="1"/>
  <c r="BK367"/>
  <c r="BJ367"/>
  <c r="BI367"/>
  <c r="BH367"/>
  <c r="BG367"/>
  <c r="BF367"/>
  <c r="BE367"/>
  <c r="BD367"/>
  <c r="BC367"/>
  <c r="BB367"/>
  <c r="BA367"/>
  <c r="AX367"/>
  <c r="AW367"/>
  <c r="AV367"/>
  <c r="AC367"/>
  <c r="H367"/>
  <c r="G367" s="1"/>
  <c r="BT366"/>
  <c r="BS366"/>
  <c r="BR366"/>
  <c r="BQ366"/>
  <c r="BP366"/>
  <c r="BO366"/>
  <c r="BN366"/>
  <c r="BM366"/>
  <c r="BL366"/>
  <c r="BK366"/>
  <c r="BJ366"/>
  <c r="BI366"/>
  <c r="BH366"/>
  <c r="BG366"/>
  <c r="BF366"/>
  <c r="BE366"/>
  <c r="BD366"/>
  <c r="BC366"/>
  <c r="BB366"/>
  <c r="BA366" s="1"/>
  <c r="AZ366"/>
  <c r="AX366"/>
  <c r="AW366"/>
  <c r="AV366"/>
  <c r="AC366"/>
  <c r="H366"/>
  <c r="G366"/>
  <c r="BT365"/>
  <c r="BS365"/>
  <c r="BR365"/>
  <c r="BQ365"/>
  <c r="BP365"/>
  <c r="BO365"/>
  <c r="BN365"/>
  <c r="BM365"/>
  <c r="BL365" s="1"/>
  <c r="BK365"/>
  <c r="BJ365"/>
  <c r="BI365"/>
  <c r="BH365"/>
  <c r="BG365"/>
  <c r="BF365"/>
  <c r="BE365"/>
  <c r="BD365"/>
  <c r="BC365"/>
  <c r="BB365"/>
  <c r="BA365"/>
  <c r="AX365"/>
  <c r="AW365"/>
  <c r="AV365"/>
  <c r="AC365"/>
  <c r="H365"/>
  <c r="G365" s="1"/>
  <c r="BT364"/>
  <c r="BS364"/>
  <c r="BR364"/>
  <c r="BQ364"/>
  <c r="BP364"/>
  <c r="BO364"/>
  <c r="BN364"/>
  <c r="BM364"/>
  <c r="BL364"/>
  <c r="BK364"/>
  <c r="BJ364"/>
  <c r="BI364"/>
  <c r="BH364"/>
  <c r="BG364"/>
  <c r="BF364"/>
  <c r="BE364"/>
  <c r="BD364"/>
  <c r="BC364"/>
  <c r="BB364"/>
  <c r="BA364" s="1"/>
  <c r="AZ364"/>
  <c r="AX364"/>
  <c r="AW364"/>
  <c r="AV364"/>
  <c r="AC364"/>
  <c r="G364" s="1"/>
  <c r="H364"/>
  <c r="BT363"/>
  <c r="BS363"/>
  <c r="BR363"/>
  <c r="BQ363"/>
  <c r="BP363"/>
  <c r="BO363"/>
  <c r="BN363"/>
  <c r="BM363"/>
  <c r="BL363" s="1"/>
  <c r="BK363"/>
  <c r="BJ363"/>
  <c r="BI363"/>
  <c r="BH363"/>
  <c r="BG363"/>
  <c r="BF363"/>
  <c r="BE363"/>
  <c r="BD363"/>
  <c r="BC363"/>
  <c r="BB363"/>
  <c r="BA363"/>
  <c r="AX363"/>
  <c r="AW363"/>
  <c r="AV363"/>
  <c r="AC363"/>
  <c r="H363"/>
  <c r="G363" s="1"/>
  <c r="BT362"/>
  <c r="BS362"/>
  <c r="BR362"/>
  <c r="BQ362"/>
  <c r="BP362"/>
  <c r="BO362"/>
  <c r="BN362"/>
  <c r="BM362"/>
  <c r="BL362"/>
  <c r="BK362"/>
  <c r="BJ362"/>
  <c r="BI362"/>
  <c r="BH362"/>
  <c r="BG362"/>
  <c r="BF362"/>
  <c r="BE362"/>
  <c r="BD362"/>
  <c r="BC362"/>
  <c r="BB362"/>
  <c r="BA362" s="1"/>
  <c r="AZ362"/>
  <c r="AX362"/>
  <c r="AW362"/>
  <c r="AV362"/>
  <c r="AC362"/>
  <c r="G362" s="1"/>
  <c r="H362"/>
  <c r="BT361"/>
  <c r="BS361"/>
  <c r="BR361"/>
  <c r="BQ361"/>
  <c r="BP361"/>
  <c r="BO361"/>
  <c r="BN361"/>
  <c r="BM361"/>
  <c r="BL361" s="1"/>
  <c r="BK361"/>
  <c r="BJ361"/>
  <c r="BI361"/>
  <c r="BH361"/>
  <c r="BG361"/>
  <c r="BF361"/>
  <c r="BE361"/>
  <c r="BD361"/>
  <c r="BC361"/>
  <c r="BB361"/>
  <c r="BA361"/>
  <c r="AX361"/>
  <c r="AW361"/>
  <c r="AV361"/>
  <c r="AC361"/>
  <c r="H361"/>
  <c r="G361" s="1"/>
  <c r="BT360"/>
  <c r="BS360"/>
  <c r="BR360"/>
  <c r="BQ360"/>
  <c r="BP360"/>
  <c r="BO360"/>
  <c r="BN360"/>
  <c r="BM360"/>
  <c r="BL360"/>
  <c r="BK360"/>
  <c r="BJ360"/>
  <c r="BI360"/>
  <c r="BH360"/>
  <c r="BG360"/>
  <c r="BF360"/>
  <c r="BE360"/>
  <c r="BD360"/>
  <c r="BC360"/>
  <c r="BB360"/>
  <c r="BA360" s="1"/>
  <c r="AZ360"/>
  <c r="AX360"/>
  <c r="AW360"/>
  <c r="AV360"/>
  <c r="AC360"/>
  <c r="G360" s="1"/>
  <c r="H360"/>
  <c r="BT359"/>
  <c r="BS359"/>
  <c r="BR359"/>
  <c r="BQ359"/>
  <c r="BP359"/>
  <c r="BO359"/>
  <c r="BN359"/>
  <c r="BM359"/>
  <c r="BL359" s="1"/>
  <c r="BK359"/>
  <c r="BJ359"/>
  <c r="BI359"/>
  <c r="BH359"/>
  <c r="BG359"/>
  <c r="BF359"/>
  <c r="BE359"/>
  <c r="BD359"/>
  <c r="BC359"/>
  <c r="BB359"/>
  <c r="BA359"/>
  <c r="AX359"/>
  <c r="AW359"/>
  <c r="AV359"/>
  <c r="AC359"/>
  <c r="H359"/>
  <c r="G359" s="1"/>
  <c r="BT358"/>
  <c r="BS358"/>
  <c r="BR358"/>
  <c r="BQ358"/>
  <c r="BP358"/>
  <c r="BO358"/>
  <c r="BN358"/>
  <c r="BM358"/>
  <c r="BL358"/>
  <c r="BK358"/>
  <c r="BJ358"/>
  <c r="BI358"/>
  <c r="BH358"/>
  <c r="BG358"/>
  <c r="BF358"/>
  <c r="BE358"/>
  <c r="BD358"/>
  <c r="BC358"/>
  <c r="BB358"/>
  <c r="BA358" s="1"/>
  <c r="AZ358"/>
  <c r="AX358"/>
  <c r="AW358"/>
  <c r="AV358"/>
  <c r="AC358"/>
  <c r="G358" s="1"/>
  <c r="H358"/>
  <c r="BT357"/>
  <c r="BS357"/>
  <c r="BR357"/>
  <c r="BQ357"/>
  <c r="BP357"/>
  <c r="BO357"/>
  <c r="BN357"/>
  <c r="BM357"/>
  <c r="BL357" s="1"/>
  <c r="BK357"/>
  <c r="BJ357"/>
  <c r="BI357"/>
  <c r="BH357"/>
  <c r="BG357"/>
  <c r="BF357"/>
  <c r="BE357"/>
  <c r="BD357"/>
  <c r="BC357"/>
  <c r="BB357"/>
  <c r="BA357"/>
  <c r="AX357"/>
  <c r="AW357"/>
  <c r="AV357"/>
  <c r="AC357"/>
  <c r="H357"/>
  <c r="G357" s="1"/>
  <c r="BT356"/>
  <c r="BS356"/>
  <c r="BR356"/>
  <c r="BQ356"/>
  <c r="BP356"/>
  <c r="BO356"/>
  <c r="BN356"/>
  <c r="BM356"/>
  <c r="BL356"/>
  <c r="BK356"/>
  <c r="BJ356"/>
  <c r="BI356"/>
  <c r="BH356"/>
  <c r="BG356"/>
  <c r="BF356"/>
  <c r="BE356"/>
  <c r="BD356"/>
  <c r="BC356"/>
  <c r="BB356"/>
  <c r="BA356" s="1"/>
  <c r="AZ356"/>
  <c r="AX356"/>
  <c r="AW356"/>
  <c r="AV356"/>
  <c r="AC356"/>
  <c r="H356"/>
  <c r="G356"/>
  <c r="BT355"/>
  <c r="BS355"/>
  <c r="BR355"/>
  <c r="BQ355"/>
  <c r="BP355"/>
  <c r="BO355"/>
  <c r="BN355"/>
  <c r="BM355"/>
  <c r="BL355" s="1"/>
  <c r="BK355"/>
  <c r="BJ355"/>
  <c r="BI355"/>
  <c r="BH355"/>
  <c r="BG355"/>
  <c r="BF355"/>
  <c r="BE355"/>
  <c r="BD355"/>
  <c r="BC355"/>
  <c r="BB355"/>
  <c r="BA355"/>
  <c r="AX355"/>
  <c r="AW355"/>
  <c r="AV355"/>
  <c r="AC355"/>
  <c r="H355"/>
  <c r="G355" s="1"/>
  <c r="BT354"/>
  <c r="BS354"/>
  <c r="BR354"/>
  <c r="BQ354"/>
  <c r="BP354"/>
  <c r="BO354"/>
  <c r="BN354"/>
  <c r="BM354"/>
  <c r="BL354"/>
  <c r="BK354"/>
  <c r="BJ354"/>
  <c r="BI354"/>
  <c r="BH354"/>
  <c r="BG354"/>
  <c r="BF354"/>
  <c r="BE354"/>
  <c r="BD354"/>
  <c r="BC354"/>
  <c r="BB354"/>
  <c r="BA354" s="1"/>
  <c r="AZ354"/>
  <c r="AX354"/>
  <c r="AW354"/>
  <c r="AV354"/>
  <c r="AC354"/>
  <c r="H354"/>
  <c r="G354"/>
  <c r="BT353"/>
  <c r="BS353"/>
  <c r="BR353"/>
  <c r="BQ353"/>
  <c r="BP353"/>
  <c r="BO353"/>
  <c r="BN353"/>
  <c r="BM353"/>
  <c r="BL353" s="1"/>
  <c r="BK353"/>
  <c r="BJ353"/>
  <c r="BI353"/>
  <c r="BH353"/>
  <c r="BG353"/>
  <c r="BF353"/>
  <c r="BE353"/>
  <c r="BD353"/>
  <c r="BC353"/>
  <c r="BB353"/>
  <c r="BA353"/>
  <c r="AX353"/>
  <c r="AW353"/>
  <c r="AV353"/>
  <c r="AC353"/>
  <c r="H353"/>
  <c r="G353" s="1"/>
  <c r="BT352"/>
  <c r="BS352"/>
  <c r="BR352"/>
  <c r="BQ352"/>
  <c r="BP352"/>
  <c r="BO352"/>
  <c r="BN352"/>
  <c r="BM352"/>
  <c r="BL352"/>
  <c r="BK352"/>
  <c r="BJ352"/>
  <c r="BI352"/>
  <c r="BH352"/>
  <c r="BG352"/>
  <c r="BF352"/>
  <c r="BE352"/>
  <c r="BD352"/>
  <c r="BC352"/>
  <c r="BB352"/>
  <c r="BA352" s="1"/>
  <c r="AZ352"/>
  <c r="AX352"/>
  <c r="AW352"/>
  <c r="AV352"/>
  <c r="AC352"/>
  <c r="H352"/>
  <c r="G352"/>
  <c r="BT351"/>
  <c r="BS351"/>
  <c r="BR351"/>
  <c r="BQ351"/>
  <c r="BP351"/>
  <c r="BO351"/>
  <c r="BN351"/>
  <c r="BM351"/>
  <c r="BL351" s="1"/>
  <c r="BK351"/>
  <c r="BJ351"/>
  <c r="BI351"/>
  <c r="BH351"/>
  <c r="BG351"/>
  <c r="BF351"/>
  <c r="BE351"/>
  <c r="BD351"/>
  <c r="BC351"/>
  <c r="BB351"/>
  <c r="BA351"/>
  <c r="AX351"/>
  <c r="AW351"/>
  <c r="AV351"/>
  <c r="AC351"/>
  <c r="H351"/>
  <c r="G351" s="1"/>
  <c r="BT350"/>
  <c r="BS350"/>
  <c r="BR350"/>
  <c r="BQ350"/>
  <c r="BP350"/>
  <c r="BO350"/>
  <c r="BN350"/>
  <c r="BM350"/>
  <c r="BL350"/>
  <c r="BK350"/>
  <c r="BJ350"/>
  <c r="BI350"/>
  <c r="BH350"/>
  <c r="BG350"/>
  <c r="BF350"/>
  <c r="BE350"/>
  <c r="BD350"/>
  <c r="BC350"/>
  <c r="BB350"/>
  <c r="BA350" s="1"/>
  <c r="AZ350"/>
  <c r="AX350"/>
  <c r="AW350"/>
  <c r="AV350"/>
  <c r="AC350"/>
  <c r="H350"/>
  <c r="G350"/>
  <c r="BT349"/>
  <c r="BS349"/>
  <c r="BR349"/>
  <c r="BQ349"/>
  <c r="BP349"/>
  <c r="BO349"/>
  <c r="BN349"/>
  <c r="BM349"/>
  <c r="BL349" s="1"/>
  <c r="BK349"/>
  <c r="BJ349"/>
  <c r="BI349"/>
  <c r="BH349"/>
  <c r="BG349"/>
  <c r="BF349"/>
  <c r="BE349"/>
  <c r="BD349"/>
  <c r="BC349"/>
  <c r="BB349"/>
  <c r="BA349"/>
  <c r="AX349"/>
  <c r="AW349"/>
  <c r="AV349"/>
  <c r="AC349"/>
  <c r="H349"/>
  <c r="G349" s="1"/>
  <c r="BT348"/>
  <c r="BS348"/>
  <c r="BR348"/>
  <c r="BQ348"/>
  <c r="BP348"/>
  <c r="BO348"/>
  <c r="BN348"/>
  <c r="BM348"/>
  <c r="BL348"/>
  <c r="BK348"/>
  <c r="BJ348"/>
  <c r="BI348"/>
  <c r="BH348"/>
  <c r="BG348"/>
  <c r="BF348"/>
  <c r="BE348"/>
  <c r="BD348"/>
  <c r="BC348"/>
  <c r="BB348"/>
  <c r="BA348" s="1"/>
  <c r="AZ348"/>
  <c r="AX348"/>
  <c r="AW348"/>
  <c r="AV348"/>
  <c r="AC348"/>
  <c r="H348"/>
  <c r="G348"/>
  <c r="BT347"/>
  <c r="BS347"/>
  <c r="BR347"/>
  <c r="BQ347"/>
  <c r="BP347"/>
  <c r="BO347"/>
  <c r="BN347"/>
  <c r="BM347"/>
  <c r="BL347" s="1"/>
  <c r="BK347"/>
  <c r="BJ347"/>
  <c r="BI347"/>
  <c r="BH347"/>
  <c r="BG347"/>
  <c r="BF347"/>
  <c r="BE347"/>
  <c r="BD347"/>
  <c r="BC347"/>
  <c r="BB347"/>
  <c r="BA347"/>
  <c r="AX347"/>
  <c r="AW347"/>
  <c r="AV347"/>
  <c r="AC347"/>
  <c r="H347"/>
  <c r="G347" s="1"/>
  <c r="BT346"/>
  <c r="BS346"/>
  <c r="BR346"/>
  <c r="BQ346"/>
  <c r="BP346"/>
  <c r="BO346"/>
  <c r="BN346"/>
  <c r="BM346"/>
  <c r="BL346"/>
  <c r="BK346"/>
  <c r="BJ346"/>
  <c r="BI346"/>
  <c r="BH346"/>
  <c r="BG346"/>
  <c r="BF346"/>
  <c r="BE346"/>
  <c r="BD346"/>
  <c r="BC346"/>
  <c r="BB346"/>
  <c r="BA346" s="1"/>
  <c r="AZ346"/>
  <c r="AX346"/>
  <c r="AW346"/>
  <c r="AV346"/>
  <c r="AC346"/>
  <c r="H346"/>
  <c r="G346"/>
  <c r="BT345"/>
  <c r="BS345"/>
  <c r="BR345"/>
  <c r="BQ345"/>
  <c r="BP345"/>
  <c r="BO345"/>
  <c r="BN345"/>
  <c r="BM345"/>
  <c r="BL345" s="1"/>
  <c r="BK345"/>
  <c r="BJ345"/>
  <c r="BI345"/>
  <c r="BH345"/>
  <c r="BG345"/>
  <c r="BF345"/>
  <c r="BE345"/>
  <c r="BD345"/>
  <c r="BC345"/>
  <c r="BB345"/>
  <c r="BA345"/>
  <c r="AX345"/>
  <c r="AW345"/>
  <c r="AV345"/>
  <c r="AC345"/>
  <c r="H345"/>
  <c r="G345" s="1"/>
  <c r="BT344"/>
  <c r="BS344"/>
  <c r="BR344"/>
  <c r="BQ344"/>
  <c r="BP344"/>
  <c r="BO344"/>
  <c r="BN344"/>
  <c r="BM344"/>
  <c r="BL344"/>
  <c r="BK344"/>
  <c r="BJ344"/>
  <c r="BI344"/>
  <c r="BH344"/>
  <c r="BG344"/>
  <c r="BF344"/>
  <c r="BE344"/>
  <c r="BD344"/>
  <c r="BC344"/>
  <c r="BB344"/>
  <c r="BA344" s="1"/>
  <c r="AZ344"/>
  <c r="AX344"/>
  <c r="AW344"/>
  <c r="AV344"/>
  <c r="AC344"/>
  <c r="H344"/>
  <c r="G344"/>
  <c r="BT343"/>
  <c r="BS343"/>
  <c r="BR343"/>
  <c r="BQ343"/>
  <c r="BP343"/>
  <c r="BO343"/>
  <c r="BN343"/>
  <c r="BM343"/>
  <c r="BL343" s="1"/>
  <c r="BK343"/>
  <c r="BJ343"/>
  <c r="BI343"/>
  <c r="BH343"/>
  <c r="BG343"/>
  <c r="BF343"/>
  <c r="BE343"/>
  <c r="BD343"/>
  <c r="BC343"/>
  <c r="BB343"/>
  <c r="BA343"/>
  <c r="AX343"/>
  <c r="AW343"/>
  <c r="AV343"/>
  <c r="AC343"/>
  <c r="H343"/>
  <c r="G343" s="1"/>
  <c r="BT342"/>
  <c r="BS342"/>
  <c r="BR342"/>
  <c r="BQ342"/>
  <c r="BP342"/>
  <c r="BO342"/>
  <c r="BN342"/>
  <c r="BM342"/>
  <c r="BL342"/>
  <c r="BK342"/>
  <c r="BJ342"/>
  <c r="BI342"/>
  <c r="BH342"/>
  <c r="BG342"/>
  <c r="BF342"/>
  <c r="BE342"/>
  <c r="BD342"/>
  <c r="BC342"/>
  <c r="BB342"/>
  <c r="BA342" s="1"/>
  <c r="AZ342"/>
  <c r="AX342"/>
  <c r="AW342"/>
  <c r="AV342"/>
  <c r="AC342"/>
  <c r="H342"/>
  <c r="G342"/>
  <c r="BT341"/>
  <c r="BS341"/>
  <c r="BR341"/>
  <c r="BQ341"/>
  <c r="BP341"/>
  <c r="BO341"/>
  <c r="BN341"/>
  <c r="BM341"/>
  <c r="BL341" s="1"/>
  <c r="BK341"/>
  <c r="BJ341"/>
  <c r="BI341"/>
  <c r="BH341"/>
  <c r="BG341"/>
  <c r="BF341"/>
  <c r="BE341"/>
  <c r="BD341"/>
  <c r="BC341"/>
  <c r="BB341"/>
  <c r="BA341"/>
  <c r="AX341"/>
  <c r="AW341"/>
  <c r="AV341"/>
  <c r="AC341"/>
  <c r="H341"/>
  <c r="G341" s="1"/>
  <c r="BT340"/>
  <c r="BS340"/>
  <c r="BR340"/>
  <c r="BQ340"/>
  <c r="BP340"/>
  <c r="BO340"/>
  <c r="BN340"/>
  <c r="BM340"/>
  <c r="BL340"/>
  <c r="BK340"/>
  <c r="BJ340"/>
  <c r="BI340"/>
  <c r="BH340"/>
  <c r="BG340"/>
  <c r="BF340"/>
  <c r="BE340"/>
  <c r="BD340"/>
  <c r="BC340"/>
  <c r="BB340"/>
  <c r="BA340" s="1"/>
  <c r="AZ340"/>
  <c r="AX340"/>
  <c r="AW340"/>
  <c r="AV340"/>
  <c r="AC340"/>
  <c r="H340"/>
  <c r="G340"/>
  <c r="BT339"/>
  <c r="BS339"/>
  <c r="BR339"/>
  <c r="BQ339"/>
  <c r="BP339"/>
  <c r="BO339"/>
  <c r="BN339"/>
  <c r="BM339"/>
  <c r="BL339" s="1"/>
  <c r="BK339"/>
  <c r="BJ339"/>
  <c r="BI339"/>
  <c r="BH339"/>
  <c r="BG339"/>
  <c r="BF339"/>
  <c r="BE339"/>
  <c r="BD339"/>
  <c r="BC339"/>
  <c r="BB339"/>
  <c r="BA339"/>
  <c r="AX339"/>
  <c r="AW339"/>
  <c r="AV339"/>
  <c r="AC339"/>
  <c r="H339"/>
  <c r="G339" s="1"/>
  <c r="BT338"/>
  <c r="BS338"/>
  <c r="BR338"/>
  <c r="BQ338"/>
  <c r="BP338"/>
  <c r="BO338"/>
  <c r="BN338"/>
  <c r="BM338"/>
  <c r="BL338"/>
  <c r="BK338"/>
  <c r="BJ338"/>
  <c r="BI338"/>
  <c r="BH338"/>
  <c r="BG338"/>
  <c r="BF338"/>
  <c r="BE338"/>
  <c r="BD338"/>
  <c r="BC338"/>
  <c r="BB338"/>
  <c r="BA338" s="1"/>
  <c r="AZ338"/>
  <c r="AX338"/>
  <c r="AW338"/>
  <c r="AV338"/>
  <c r="AC338"/>
  <c r="H338"/>
  <c r="G338"/>
  <c r="BT337"/>
  <c r="BS337"/>
  <c r="BR337"/>
  <c r="BQ337"/>
  <c r="BP337"/>
  <c r="BO337"/>
  <c r="BN337"/>
  <c r="BM337"/>
  <c r="BL337" s="1"/>
  <c r="BK337"/>
  <c r="BJ337"/>
  <c r="BI337"/>
  <c r="BH337"/>
  <c r="BG337"/>
  <c r="BF337"/>
  <c r="BE337"/>
  <c r="BD337"/>
  <c r="BC337"/>
  <c r="BB337"/>
  <c r="BA337"/>
  <c r="AX337"/>
  <c r="AW337"/>
  <c r="AV337"/>
  <c r="AC337"/>
  <c r="H337"/>
  <c r="G337" s="1"/>
  <c r="BT336"/>
  <c r="BS336"/>
  <c r="BR336"/>
  <c r="BQ336"/>
  <c r="BP336"/>
  <c r="BO336"/>
  <c r="BN336"/>
  <c r="BM336"/>
  <c r="BL336"/>
  <c r="BK336"/>
  <c r="BJ336"/>
  <c r="BI336"/>
  <c r="BH336"/>
  <c r="BG336"/>
  <c r="BF336"/>
  <c r="BE336"/>
  <c r="BD336"/>
  <c r="BC336"/>
  <c r="BB336"/>
  <c r="BA336" s="1"/>
  <c r="AZ336"/>
  <c r="AX336"/>
  <c r="AW336"/>
  <c r="AV336"/>
  <c r="AC336"/>
  <c r="H336"/>
  <c r="G336"/>
  <c r="BT335"/>
  <c r="BS335"/>
  <c r="BR335"/>
  <c r="BQ335"/>
  <c r="BP335"/>
  <c r="BO335"/>
  <c r="BN335"/>
  <c r="BM335"/>
  <c r="BL335" s="1"/>
  <c r="BK335"/>
  <c r="BJ335"/>
  <c r="BI335"/>
  <c r="BH335"/>
  <c r="BG335"/>
  <c r="BF335"/>
  <c r="BE335"/>
  <c r="BD335"/>
  <c r="BC335"/>
  <c r="BB335"/>
  <c r="BA335"/>
  <c r="AX335"/>
  <c r="AW335"/>
  <c r="AV335"/>
  <c r="AC335"/>
  <c r="H335"/>
  <c r="G335" s="1"/>
  <c r="BT334"/>
  <c r="BS334"/>
  <c r="BR334"/>
  <c r="BQ334"/>
  <c r="BP334"/>
  <c r="BO334"/>
  <c r="BN334"/>
  <c r="BM334"/>
  <c r="BL334"/>
  <c r="BK334"/>
  <c r="BJ334"/>
  <c r="BI334"/>
  <c r="BH334"/>
  <c r="BG334"/>
  <c r="BF334"/>
  <c r="BE334"/>
  <c r="BD334"/>
  <c r="BC334"/>
  <c r="BB334"/>
  <c r="BA334" s="1"/>
  <c r="AZ334"/>
  <c r="AX334"/>
  <c r="AW334"/>
  <c r="AV334"/>
  <c r="AC334"/>
  <c r="H334"/>
  <c r="G334"/>
  <c r="BT333"/>
  <c r="BS333"/>
  <c r="BR333"/>
  <c r="BQ333"/>
  <c r="BP333"/>
  <c r="BO333"/>
  <c r="BN333"/>
  <c r="BM333"/>
  <c r="BL333" s="1"/>
  <c r="BK333"/>
  <c r="BJ333"/>
  <c r="BI333"/>
  <c r="BH333"/>
  <c r="BG333"/>
  <c r="BF333"/>
  <c r="BE333"/>
  <c r="BD333"/>
  <c r="BC333"/>
  <c r="BB333"/>
  <c r="BA333"/>
  <c r="AX333"/>
  <c r="AW333"/>
  <c r="AV333"/>
  <c r="AC333"/>
  <c r="H333"/>
  <c r="G333" s="1"/>
  <c r="BT332"/>
  <c r="BS332"/>
  <c r="BR332"/>
  <c r="BQ332"/>
  <c r="BP332"/>
  <c r="BO332"/>
  <c r="BN332"/>
  <c r="BM332"/>
  <c r="BL332"/>
  <c r="BK332"/>
  <c r="BJ332"/>
  <c r="BI332"/>
  <c r="BH332"/>
  <c r="BG332"/>
  <c r="BF332"/>
  <c r="BE332"/>
  <c r="BD332"/>
  <c r="BC332"/>
  <c r="BB332"/>
  <c r="BA332" s="1"/>
  <c r="AZ332"/>
  <c r="AX332"/>
  <c r="AW332"/>
  <c r="AV332"/>
  <c r="AC332"/>
  <c r="H332"/>
  <c r="G332"/>
  <c r="BT331"/>
  <c r="BS331"/>
  <c r="BR331"/>
  <c r="BQ331"/>
  <c r="BP331"/>
  <c r="BO331"/>
  <c r="BN331"/>
  <c r="BM331"/>
  <c r="BL331" s="1"/>
  <c r="BK331"/>
  <c r="BJ331"/>
  <c r="BI331"/>
  <c r="BH331"/>
  <c r="BG331"/>
  <c r="BF331"/>
  <c r="BE331"/>
  <c r="BD331"/>
  <c r="BC331"/>
  <c r="BB331"/>
  <c r="BA331"/>
  <c r="AX331"/>
  <c r="AW331"/>
  <c r="AV331"/>
  <c r="AC331"/>
  <c r="H331"/>
  <c r="G331" s="1"/>
  <c r="BT330"/>
  <c r="BS330"/>
  <c r="BR330"/>
  <c r="BQ330"/>
  <c r="BP330"/>
  <c r="BO330"/>
  <c r="BN330"/>
  <c r="BM330"/>
  <c r="BL330"/>
  <c r="BK330"/>
  <c r="BJ330"/>
  <c r="BI330"/>
  <c r="BH330"/>
  <c r="BG330"/>
  <c r="BF330"/>
  <c r="BE330"/>
  <c r="BD330"/>
  <c r="BC330"/>
  <c r="BB330"/>
  <c r="BA330" s="1"/>
  <c r="AZ330"/>
  <c r="AX330"/>
  <c r="AW330"/>
  <c r="AV330"/>
  <c r="AC330"/>
  <c r="H330"/>
  <c r="G330"/>
  <c r="BT329"/>
  <c r="BS329"/>
  <c r="BR329"/>
  <c r="BQ329"/>
  <c r="BP329"/>
  <c r="BO329"/>
  <c r="BN329"/>
  <c r="BM329"/>
  <c r="BL329" s="1"/>
  <c r="BK329"/>
  <c r="BJ329"/>
  <c r="BI329"/>
  <c r="BH329"/>
  <c r="BG329"/>
  <c r="BF329"/>
  <c r="BE329"/>
  <c r="BD329"/>
  <c r="BC329"/>
  <c r="BB329"/>
  <c r="BA329"/>
  <c r="AX329"/>
  <c r="AW329"/>
  <c r="AV329"/>
  <c r="AC329"/>
  <c r="H329"/>
  <c r="G329" s="1"/>
  <c r="BT328"/>
  <c r="BS328"/>
  <c r="BR328"/>
  <c r="BQ328"/>
  <c r="BP328"/>
  <c r="BO328"/>
  <c r="BN328"/>
  <c r="BM328"/>
  <c r="BL328"/>
  <c r="BK328"/>
  <c r="BJ328"/>
  <c r="BI328"/>
  <c r="BH328"/>
  <c r="BG328"/>
  <c r="BF328"/>
  <c r="BE328"/>
  <c r="BD328"/>
  <c r="BC328"/>
  <c r="BB328"/>
  <c r="BA328" s="1"/>
  <c r="AZ328"/>
  <c r="AX328"/>
  <c r="AW328"/>
  <c r="AV328"/>
  <c r="AC328"/>
  <c r="H328"/>
  <c r="G328"/>
  <c r="BT327"/>
  <c r="BS327"/>
  <c r="BR327"/>
  <c r="BQ327"/>
  <c r="BP327"/>
  <c r="BO327"/>
  <c r="BN327"/>
  <c r="BM327"/>
  <c r="BL327" s="1"/>
  <c r="BK327"/>
  <c r="BJ327"/>
  <c r="BI327"/>
  <c r="BH327"/>
  <c r="BG327"/>
  <c r="BF327"/>
  <c r="BE327"/>
  <c r="BD327"/>
  <c r="BC327"/>
  <c r="BB327"/>
  <c r="BA327"/>
  <c r="AX327"/>
  <c r="AW327"/>
  <c r="AV327"/>
  <c r="AC327"/>
  <c r="H327"/>
  <c r="G327" s="1"/>
  <c r="BT326"/>
  <c r="BS326"/>
  <c r="BR326"/>
  <c r="BQ326"/>
  <c r="BP326"/>
  <c r="BO326"/>
  <c r="BN326"/>
  <c r="BM326"/>
  <c r="BL326"/>
  <c r="BK326"/>
  <c r="BJ326"/>
  <c r="BI326"/>
  <c r="BH326"/>
  <c r="BG326"/>
  <c r="BF326"/>
  <c r="BE326"/>
  <c r="BD326"/>
  <c r="BC326"/>
  <c r="BB326"/>
  <c r="BA326" s="1"/>
  <c r="AZ326"/>
  <c r="AX326"/>
  <c r="AW326"/>
  <c r="AV326"/>
  <c r="AC326"/>
  <c r="G326" s="1"/>
  <c r="H326"/>
  <c r="BT325"/>
  <c r="BS325"/>
  <c r="BR325"/>
  <c r="BQ325"/>
  <c r="BP325"/>
  <c r="BO325"/>
  <c r="BN325"/>
  <c r="BM325"/>
  <c r="BL325" s="1"/>
  <c r="BK325"/>
  <c r="BJ325"/>
  <c r="BI325"/>
  <c r="BH325"/>
  <c r="BG325"/>
  <c r="BF325"/>
  <c r="BE325"/>
  <c r="BD325"/>
  <c r="BC325"/>
  <c r="BB325"/>
  <c r="BA325"/>
  <c r="AX325"/>
  <c r="AW325"/>
  <c r="AV325"/>
  <c r="AC325"/>
  <c r="H325"/>
  <c r="G325" s="1"/>
  <c r="BT324"/>
  <c r="BS324"/>
  <c r="BR324"/>
  <c r="BQ324"/>
  <c r="BP324"/>
  <c r="BO324"/>
  <c r="BN324"/>
  <c r="BM324"/>
  <c r="BL324"/>
  <c r="BK324"/>
  <c r="BJ324"/>
  <c r="BI324"/>
  <c r="BH324"/>
  <c r="BG324"/>
  <c r="BF324"/>
  <c r="BE324"/>
  <c r="BD324"/>
  <c r="BC324"/>
  <c r="BB324"/>
  <c r="BA324" s="1"/>
  <c r="AZ324"/>
  <c r="AX324"/>
  <c r="AW324"/>
  <c r="AV324"/>
  <c r="AC324"/>
  <c r="G324" s="1"/>
  <c r="H324"/>
  <c r="BT323"/>
  <c r="BS323"/>
  <c r="BR323"/>
  <c r="BQ323"/>
  <c r="BP323"/>
  <c r="BO323"/>
  <c r="BN323"/>
  <c r="BM323"/>
  <c r="BL323" s="1"/>
  <c r="BK323"/>
  <c r="BJ323"/>
  <c r="BI323"/>
  <c r="BH323"/>
  <c r="BG323"/>
  <c r="BF323"/>
  <c r="BE323"/>
  <c r="BD323"/>
  <c r="BC323"/>
  <c r="BB323"/>
  <c r="BA323"/>
  <c r="AX323"/>
  <c r="AW323"/>
  <c r="AV323"/>
  <c r="AC323"/>
  <c r="H323"/>
  <c r="G323" s="1"/>
  <c r="BT322"/>
  <c r="BS322"/>
  <c r="BR322"/>
  <c r="BQ322"/>
  <c r="BP322"/>
  <c r="BO322"/>
  <c r="BN322"/>
  <c r="BM322"/>
  <c r="BL322"/>
  <c r="BK322"/>
  <c r="BJ322"/>
  <c r="BI322"/>
  <c r="BH322"/>
  <c r="BG322"/>
  <c r="BF322"/>
  <c r="BE322"/>
  <c r="BD322"/>
  <c r="BC322"/>
  <c r="BB322"/>
  <c r="BA322" s="1"/>
  <c r="AZ322"/>
  <c r="AX322"/>
  <c r="AW322"/>
  <c r="AV322"/>
  <c r="AC322"/>
  <c r="G322" s="1"/>
  <c r="H322"/>
  <c r="BT321"/>
  <c r="BS321"/>
  <c r="BR321"/>
  <c r="BQ321"/>
  <c r="BP321"/>
  <c r="BO321"/>
  <c r="BN321"/>
  <c r="BM321"/>
  <c r="BL321" s="1"/>
  <c r="BK321"/>
  <c r="BJ321"/>
  <c r="BI321"/>
  <c r="BH321"/>
  <c r="BG321"/>
  <c r="BF321"/>
  <c r="BE321"/>
  <c r="BD321"/>
  <c r="BC321"/>
  <c r="BB321"/>
  <c r="BA321"/>
  <c r="AX321"/>
  <c r="AW321"/>
  <c r="AV321"/>
  <c r="AC321"/>
  <c r="H321"/>
  <c r="G321" s="1"/>
  <c r="BT320"/>
  <c r="BS320"/>
  <c r="BR320"/>
  <c r="BQ320"/>
  <c r="BP320"/>
  <c r="BO320"/>
  <c r="BN320"/>
  <c r="BM320"/>
  <c r="BL320"/>
  <c r="BK320"/>
  <c r="BJ320"/>
  <c r="BI320"/>
  <c r="BH320"/>
  <c r="BG320"/>
  <c r="BF320"/>
  <c r="BE320"/>
  <c r="BD320"/>
  <c r="BC320"/>
  <c r="BB320"/>
  <c r="BA320" s="1"/>
  <c r="AZ320"/>
  <c r="AX320"/>
  <c r="AW320"/>
  <c r="AV320"/>
  <c r="AC320"/>
  <c r="G320" s="1"/>
  <c r="H320"/>
  <c r="BT319"/>
  <c r="BS319"/>
  <c r="BR319"/>
  <c r="BQ319"/>
  <c r="BP319"/>
  <c r="BO319"/>
  <c r="BN319"/>
  <c r="BM319"/>
  <c r="BL319" s="1"/>
  <c r="BK319"/>
  <c r="BJ319"/>
  <c r="BI319"/>
  <c r="BH319"/>
  <c r="BG319"/>
  <c r="BF319"/>
  <c r="BE319"/>
  <c r="BD319"/>
  <c r="BC319"/>
  <c r="BB319"/>
  <c r="BA319"/>
  <c r="AX319"/>
  <c r="AW319"/>
  <c r="AV319"/>
  <c r="AC319"/>
  <c r="H319"/>
  <c r="G319" s="1"/>
  <c r="BT318"/>
  <c r="BS318"/>
  <c r="BR318"/>
  <c r="BQ318"/>
  <c r="BP318"/>
  <c r="BO318"/>
  <c r="BN318"/>
  <c r="BM318"/>
  <c r="BL318"/>
  <c r="BK318"/>
  <c r="BJ318"/>
  <c r="BI318"/>
  <c r="BH318"/>
  <c r="BG318"/>
  <c r="BF318"/>
  <c r="BE318"/>
  <c r="BD318"/>
  <c r="BC318"/>
  <c r="BB318"/>
  <c r="BA318" s="1"/>
  <c r="AZ318"/>
  <c r="AX318"/>
  <c r="AW318"/>
  <c r="AV318"/>
  <c r="AC318"/>
  <c r="H318"/>
  <c r="G318"/>
  <c r="BT317"/>
  <c r="BS317"/>
  <c r="BR317"/>
  <c r="BQ317"/>
  <c r="BP317"/>
  <c r="BO317"/>
  <c r="BN317"/>
  <c r="BM317"/>
  <c r="BL317" s="1"/>
  <c r="BK317"/>
  <c r="BJ317"/>
  <c r="BI317"/>
  <c r="BH317"/>
  <c r="BG317"/>
  <c r="BF317"/>
  <c r="BE317"/>
  <c r="BD317"/>
  <c r="BC317"/>
  <c r="BB317"/>
  <c r="BA317"/>
  <c r="AX317"/>
  <c r="AW317"/>
  <c r="AV317"/>
  <c r="AC317"/>
  <c r="H317"/>
  <c r="G317" s="1"/>
  <c r="BT316"/>
  <c r="BS316"/>
  <c r="BR316"/>
  <c r="BQ316"/>
  <c r="BP316"/>
  <c r="BO316"/>
  <c r="BN316"/>
  <c r="BM316"/>
  <c r="BL316"/>
  <c r="BK316"/>
  <c r="BJ316"/>
  <c r="BI316"/>
  <c r="BH316"/>
  <c r="BG316"/>
  <c r="BF316"/>
  <c r="BE316"/>
  <c r="BD316"/>
  <c r="BC316"/>
  <c r="BB316"/>
  <c r="BA316" s="1"/>
  <c r="AZ316"/>
  <c r="AX316"/>
  <c r="AW316"/>
  <c r="AV316"/>
  <c r="AC316"/>
  <c r="H316"/>
  <c r="G316"/>
  <c r="BT315"/>
  <c r="BS315"/>
  <c r="BR315"/>
  <c r="BQ315"/>
  <c r="BP315"/>
  <c r="BO315"/>
  <c r="BN315"/>
  <c r="BM315"/>
  <c r="BL315" s="1"/>
  <c r="BK315"/>
  <c r="BJ315"/>
  <c r="BI315"/>
  <c r="BH315"/>
  <c r="BG315"/>
  <c r="BF315"/>
  <c r="BE315"/>
  <c r="BD315"/>
  <c r="BC315"/>
  <c r="BB315"/>
  <c r="BA315"/>
  <c r="AX315"/>
  <c r="AW315"/>
  <c r="AV315"/>
  <c r="AC315"/>
  <c r="H315"/>
  <c r="G315" s="1"/>
  <c r="BT314"/>
  <c r="BS314"/>
  <c r="BR314"/>
  <c r="BQ314"/>
  <c r="BP314"/>
  <c r="BO314"/>
  <c r="BN314"/>
  <c r="BM314"/>
  <c r="BL314"/>
  <c r="BK314"/>
  <c r="BJ314"/>
  <c r="BI314"/>
  <c r="BH314"/>
  <c r="BG314"/>
  <c r="BF314"/>
  <c r="BE314"/>
  <c r="BD314"/>
  <c r="BC314"/>
  <c r="BB314"/>
  <c r="BA314" s="1"/>
  <c r="AZ314"/>
  <c r="AX314"/>
  <c r="AW314"/>
  <c r="AV314"/>
  <c r="AC314"/>
  <c r="H314"/>
  <c r="G314"/>
  <c r="BT313"/>
  <c r="BS313"/>
  <c r="BR313"/>
  <c r="BQ313"/>
  <c r="BP313"/>
  <c r="BO313"/>
  <c r="BN313"/>
  <c r="BM313"/>
  <c r="BL313" s="1"/>
  <c r="BK313"/>
  <c r="BJ313"/>
  <c r="BI313"/>
  <c r="BH313"/>
  <c r="BG313"/>
  <c r="BF313"/>
  <c r="BE313"/>
  <c r="BD313"/>
  <c r="BC313"/>
  <c r="BB313"/>
  <c r="BA313"/>
  <c r="AX313"/>
  <c r="AW313"/>
  <c r="AV313"/>
  <c r="AC313"/>
  <c r="H313"/>
  <c r="G313" s="1"/>
  <c r="BT312"/>
  <c r="BS312"/>
  <c r="BR312"/>
  <c r="BQ312"/>
  <c r="BP312"/>
  <c r="BO312"/>
  <c r="BN312"/>
  <c r="BM312"/>
  <c r="BL312"/>
  <c r="BK312"/>
  <c r="BJ312"/>
  <c r="BI312"/>
  <c r="BH312"/>
  <c r="BG312"/>
  <c r="BF312"/>
  <c r="BE312"/>
  <c r="BD312"/>
  <c r="BC312"/>
  <c r="BB312"/>
  <c r="BA312" s="1"/>
  <c r="AZ312"/>
  <c r="AX312"/>
  <c r="AW312"/>
  <c r="AV312"/>
  <c r="AC312"/>
  <c r="H312"/>
  <c r="G312"/>
  <c r="BT311"/>
  <c r="BS311"/>
  <c r="BR311"/>
  <c r="BQ311"/>
  <c r="BP311"/>
  <c r="BO311"/>
  <c r="BN311"/>
  <c r="BM311"/>
  <c r="BL311" s="1"/>
  <c r="BK311"/>
  <c r="BJ311"/>
  <c r="BI311"/>
  <c r="BH311"/>
  <c r="BG311"/>
  <c r="BF311"/>
  <c r="BE311"/>
  <c r="BD311"/>
  <c r="BC311"/>
  <c r="BB311"/>
  <c r="BA311"/>
  <c r="AX311"/>
  <c r="AW311"/>
  <c r="AV311"/>
  <c r="AC311"/>
  <c r="H311"/>
  <c r="G311" s="1"/>
  <c r="BT310"/>
  <c r="BS310"/>
  <c r="BR310"/>
  <c r="BQ310"/>
  <c r="BP310"/>
  <c r="BO310"/>
  <c r="BN310"/>
  <c r="BM310"/>
  <c r="BL310"/>
  <c r="BK310"/>
  <c r="BJ310"/>
  <c r="BI310"/>
  <c r="BH310"/>
  <c r="BG310"/>
  <c r="BF310"/>
  <c r="BE310"/>
  <c r="BD310"/>
  <c r="BC310"/>
  <c r="BB310"/>
  <c r="BA310" s="1"/>
  <c r="AZ310"/>
  <c r="AX310"/>
  <c r="AW310"/>
  <c r="AV310"/>
  <c r="AC310"/>
  <c r="H310"/>
  <c r="G310"/>
  <c r="BT309"/>
  <c r="BS309"/>
  <c r="BR309"/>
  <c r="BQ309"/>
  <c r="BP309"/>
  <c r="BO309"/>
  <c r="BN309"/>
  <c r="BM309"/>
  <c r="BL309" s="1"/>
  <c r="BK309"/>
  <c r="BJ309"/>
  <c r="BI309"/>
  <c r="BH309"/>
  <c r="BG309"/>
  <c r="BF309"/>
  <c r="BE309"/>
  <c r="BD309"/>
  <c r="BC309"/>
  <c r="BB309"/>
  <c r="BA309"/>
  <c r="AX309"/>
  <c r="AW309"/>
  <c r="AV309"/>
  <c r="AC309"/>
  <c r="H309"/>
  <c r="G309" s="1"/>
  <c r="BT308"/>
  <c r="BS308"/>
  <c r="BR308"/>
  <c r="BQ308"/>
  <c r="BP308"/>
  <c r="BO308"/>
  <c r="BN308"/>
  <c r="BM308"/>
  <c r="BL308"/>
  <c r="BK308"/>
  <c r="BJ308"/>
  <c r="BI308"/>
  <c r="BH308"/>
  <c r="BG308"/>
  <c r="BF308"/>
  <c r="BE308"/>
  <c r="BD308"/>
  <c r="BC308"/>
  <c r="BB308"/>
  <c r="BA308" s="1"/>
  <c r="AZ308"/>
  <c r="AX308"/>
  <c r="AW308"/>
  <c r="AV308"/>
  <c r="AC308"/>
  <c r="H308"/>
  <c r="G308"/>
  <c r="BT307"/>
  <c r="BS307"/>
  <c r="BR307"/>
  <c r="BQ307"/>
  <c r="BP307"/>
  <c r="BO307"/>
  <c r="BN307"/>
  <c r="BM307"/>
  <c r="BL307" s="1"/>
  <c r="BK307"/>
  <c r="BJ307"/>
  <c r="BI307"/>
  <c r="BH307"/>
  <c r="BG307"/>
  <c r="BF307"/>
  <c r="BE307"/>
  <c r="BD307"/>
  <c r="BC307"/>
  <c r="BB307"/>
  <c r="BA307"/>
  <c r="AZ307" s="1"/>
  <c r="AX307"/>
  <c r="AW307"/>
  <c r="AV307"/>
  <c r="AC307"/>
  <c r="H307"/>
  <c r="G307" s="1"/>
  <c r="BT306"/>
  <c r="BS306"/>
  <c r="BR306"/>
  <c r="BQ306"/>
  <c r="BP306"/>
  <c r="BO306"/>
  <c r="BN306"/>
  <c r="BM306"/>
  <c r="BL306"/>
  <c r="BK306"/>
  <c r="BJ306"/>
  <c r="BI306"/>
  <c r="BH306"/>
  <c r="BG306"/>
  <c r="BF306"/>
  <c r="BE306"/>
  <c r="BD306"/>
  <c r="BC306"/>
  <c r="BB306"/>
  <c r="BA306" s="1"/>
  <c r="AZ306" s="1"/>
  <c r="AX306"/>
  <c r="AW306"/>
  <c r="AV306"/>
  <c r="AC306"/>
  <c r="G306" s="1"/>
  <c r="H306"/>
  <c r="BT305"/>
  <c r="BS305"/>
  <c r="BR305"/>
  <c r="BQ305"/>
  <c r="BP305"/>
  <c r="BO305"/>
  <c r="BN305"/>
  <c r="BM305"/>
  <c r="BL305" s="1"/>
  <c r="BK305"/>
  <c r="BJ305"/>
  <c r="BI305"/>
  <c r="BH305"/>
  <c r="BG305"/>
  <c r="BF305"/>
  <c r="BE305"/>
  <c r="BD305"/>
  <c r="BC305"/>
  <c r="BB305"/>
  <c r="BA305"/>
  <c r="AZ305" s="1"/>
  <c r="AX305"/>
  <c r="AW305"/>
  <c r="AV305"/>
  <c r="AC305"/>
  <c r="H305"/>
  <c r="G305" s="1"/>
  <c r="BT304"/>
  <c r="BS304"/>
  <c r="BR304"/>
  <c r="BQ304"/>
  <c r="BP304"/>
  <c r="BO304"/>
  <c r="BN304"/>
  <c r="BM304"/>
  <c r="BL304"/>
  <c r="BK304"/>
  <c r="BJ304"/>
  <c r="BI304"/>
  <c r="BH304"/>
  <c r="BG304"/>
  <c r="BF304"/>
  <c r="BE304"/>
  <c r="BD304"/>
  <c r="BC304"/>
  <c r="BB304"/>
  <c r="BA304" s="1"/>
  <c r="AZ304" s="1"/>
  <c r="AX304"/>
  <c r="AW304"/>
  <c r="AV304"/>
  <c r="AC304"/>
  <c r="G304" s="1"/>
  <c r="H304"/>
  <c r="BT303"/>
  <c r="BS303"/>
  <c r="BR303"/>
  <c r="BQ303"/>
  <c r="BP303"/>
  <c r="BO303"/>
  <c r="BN303"/>
  <c r="BM303"/>
  <c r="BL303" s="1"/>
  <c r="BK303"/>
  <c r="BJ303"/>
  <c r="BI303"/>
  <c r="BH303"/>
  <c r="BG303"/>
  <c r="BF303"/>
  <c r="BE303"/>
  <c r="BD303"/>
  <c r="BC303"/>
  <c r="BB303"/>
  <c r="BA303"/>
  <c r="AZ303" s="1"/>
  <c r="AX303"/>
  <c r="AW303"/>
  <c r="AV303"/>
  <c r="AC303"/>
  <c r="H303"/>
  <c r="G303" s="1"/>
  <c r="BT302"/>
  <c r="BS302"/>
  <c r="BR302"/>
  <c r="BQ302"/>
  <c r="BP302"/>
  <c r="BO302"/>
  <c r="BN302"/>
  <c r="BM302"/>
  <c r="BL302"/>
  <c r="BK302"/>
  <c r="BJ302"/>
  <c r="BI302"/>
  <c r="BH302"/>
  <c r="BG302"/>
  <c r="BF302"/>
  <c r="BE302"/>
  <c r="BD302"/>
  <c r="BC302"/>
  <c r="BB302"/>
  <c r="BA302" s="1"/>
  <c r="AZ302" s="1"/>
  <c r="AX302"/>
  <c r="AW302"/>
  <c r="AV302"/>
  <c r="AC302"/>
  <c r="G302" s="1"/>
  <c r="H302"/>
  <c r="BT301"/>
  <c r="BS301"/>
  <c r="BR301"/>
  <c r="BQ301"/>
  <c r="BP301"/>
  <c r="BO301"/>
  <c r="BN301"/>
  <c r="BM301"/>
  <c r="BL301" s="1"/>
  <c r="BK301"/>
  <c r="BJ301"/>
  <c r="BI301"/>
  <c r="BH301"/>
  <c r="BG301"/>
  <c r="BF301"/>
  <c r="BE301"/>
  <c r="BD301"/>
  <c r="BC301"/>
  <c r="BB301"/>
  <c r="BA301"/>
  <c r="AZ301" s="1"/>
  <c r="AX301"/>
  <c r="AW301"/>
  <c r="AV301"/>
  <c r="AC301"/>
  <c r="H301"/>
  <c r="G301" s="1"/>
  <c r="BT300"/>
  <c r="BS300"/>
  <c r="BR300"/>
  <c r="BQ300"/>
  <c r="BP300"/>
  <c r="BO300"/>
  <c r="BN300"/>
  <c r="BM300"/>
  <c r="BL300"/>
  <c r="BK300"/>
  <c r="BJ300"/>
  <c r="BI300"/>
  <c r="BH300"/>
  <c r="BG300"/>
  <c r="BF300"/>
  <c r="BE300"/>
  <c r="BD300"/>
  <c r="BC300"/>
  <c r="BB300"/>
  <c r="BA300" s="1"/>
  <c r="AZ300" s="1"/>
  <c r="AX300"/>
  <c r="AW300"/>
  <c r="AV300"/>
  <c r="AC300"/>
  <c r="G300" s="1"/>
  <c r="H300"/>
  <c r="BT299"/>
  <c r="BS299"/>
  <c r="BR299"/>
  <c r="BQ299"/>
  <c r="BP299"/>
  <c r="BO299"/>
  <c r="BN299"/>
  <c r="BM299"/>
  <c r="BL299" s="1"/>
  <c r="BK299"/>
  <c r="BJ299"/>
  <c r="BI299"/>
  <c r="BH299"/>
  <c r="BG299"/>
  <c r="BF299"/>
  <c r="BE299"/>
  <c r="BD299"/>
  <c r="BC299"/>
  <c r="BB299"/>
  <c r="BA299"/>
  <c r="AZ299" s="1"/>
  <c r="AX299"/>
  <c r="AW299"/>
  <c r="AV299"/>
  <c r="AC299"/>
  <c r="H299"/>
  <c r="G299" s="1"/>
  <c r="BT298"/>
  <c r="BS298"/>
  <c r="BR298"/>
  <c r="BQ298"/>
  <c r="BP298"/>
  <c r="BO298"/>
  <c r="BN298"/>
  <c r="BM298"/>
  <c r="BL298"/>
  <c r="BK298"/>
  <c r="BJ298"/>
  <c r="BI298"/>
  <c r="BH298"/>
  <c r="BG298"/>
  <c r="BF298"/>
  <c r="BE298"/>
  <c r="BD298"/>
  <c r="BC298"/>
  <c r="BB298"/>
  <c r="BA298" s="1"/>
  <c r="AZ298" s="1"/>
  <c r="AX298"/>
  <c r="AW298"/>
  <c r="AV298"/>
  <c r="AC298"/>
  <c r="G298" s="1"/>
  <c r="H298"/>
  <c r="BT297"/>
  <c r="BS297"/>
  <c r="BR297"/>
  <c r="BQ297"/>
  <c r="BP297"/>
  <c r="BO297"/>
  <c r="BN297"/>
  <c r="BM297"/>
  <c r="BL297" s="1"/>
  <c r="BK297"/>
  <c r="BJ297"/>
  <c r="BI297"/>
  <c r="BH297"/>
  <c r="BG297"/>
  <c r="BF297"/>
  <c r="BE297"/>
  <c r="BD297"/>
  <c r="BC297"/>
  <c r="BB297"/>
  <c r="BA297"/>
  <c r="AZ297" s="1"/>
  <c r="AX297"/>
  <c r="AW297"/>
  <c r="AV297"/>
  <c r="AC297"/>
  <c r="H297"/>
  <c r="G297" s="1"/>
  <c r="BT296"/>
  <c r="BS296"/>
  <c r="BR296"/>
  <c r="BQ296"/>
  <c r="BP296"/>
  <c r="BO296"/>
  <c r="BN296"/>
  <c r="BM296"/>
  <c r="BL296"/>
  <c r="BK296"/>
  <c r="BJ296"/>
  <c r="BI296"/>
  <c r="BH296"/>
  <c r="BG296"/>
  <c r="BF296"/>
  <c r="BE296"/>
  <c r="BD296"/>
  <c r="BC296"/>
  <c r="BB296"/>
  <c r="BA296" s="1"/>
  <c r="AZ296" s="1"/>
  <c r="AX296"/>
  <c r="AW296"/>
  <c r="AV296"/>
  <c r="AC296"/>
  <c r="G296" s="1"/>
  <c r="H296"/>
  <c r="BT295"/>
  <c r="BS295"/>
  <c r="BR295"/>
  <c r="BQ295"/>
  <c r="BP295"/>
  <c r="BO295"/>
  <c r="BN295"/>
  <c r="BM295"/>
  <c r="BL295" s="1"/>
  <c r="BK295"/>
  <c r="BJ295"/>
  <c r="BI295"/>
  <c r="BH295"/>
  <c r="BG295"/>
  <c r="BF295"/>
  <c r="BE295"/>
  <c r="BD295"/>
  <c r="BC295"/>
  <c r="BB295"/>
  <c r="BA295"/>
  <c r="AZ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G294" s="1"/>
  <c r="H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Z292" s="1"/>
  <c r="AX292"/>
  <c r="AW292"/>
  <c r="AV292"/>
  <c r="AC292"/>
  <c r="G292" s="1"/>
  <c r="H292"/>
  <c r="BT291"/>
  <c r="BS291"/>
  <c r="BR291"/>
  <c r="BQ291"/>
  <c r="BP291"/>
  <c r="BO291"/>
  <c r="BN291"/>
  <c r="BM291"/>
  <c r="BL291" s="1"/>
  <c r="BK291"/>
  <c r="BJ291"/>
  <c r="BI291"/>
  <c r="BH291"/>
  <c r="BG291"/>
  <c r="BF291"/>
  <c r="BE291"/>
  <c r="BD291"/>
  <c r="BC291"/>
  <c r="BB291"/>
  <c r="BA291"/>
  <c r="AZ291" s="1"/>
  <c r="AX291"/>
  <c r="AW291"/>
  <c r="AV291"/>
  <c r="AC291"/>
  <c r="H291"/>
  <c r="G291" s="1"/>
  <c r="BT290"/>
  <c r="BS290"/>
  <c r="BR290"/>
  <c r="BQ290"/>
  <c r="BP290"/>
  <c r="BO290"/>
  <c r="BN290"/>
  <c r="BM290"/>
  <c r="BL290"/>
  <c r="BK290"/>
  <c r="BJ290"/>
  <c r="BI290"/>
  <c r="BH290"/>
  <c r="BG290"/>
  <c r="BF290"/>
  <c r="BE290"/>
  <c r="BD290"/>
  <c r="BC290"/>
  <c r="BB290"/>
  <c r="BA290" s="1"/>
  <c r="AZ290" s="1"/>
  <c r="AX290"/>
  <c r="AW290"/>
  <c r="AV290"/>
  <c r="AC290"/>
  <c r="G290" s="1"/>
  <c r="H290"/>
  <c r="BT289"/>
  <c r="BS289"/>
  <c r="BR289"/>
  <c r="BQ289"/>
  <c r="BP289"/>
  <c r="BO289"/>
  <c r="BN289"/>
  <c r="BM289"/>
  <c r="BL289" s="1"/>
  <c r="BK289"/>
  <c r="BJ289"/>
  <c r="BI289"/>
  <c r="BH289"/>
  <c r="BG289"/>
  <c r="BF289"/>
  <c r="BE289"/>
  <c r="BD289"/>
  <c r="BC289"/>
  <c r="BB289"/>
  <c r="BA289"/>
  <c r="AZ289" s="1"/>
  <c r="AX289"/>
  <c r="AW289"/>
  <c r="AV289"/>
  <c r="AC289"/>
  <c r="H289"/>
  <c r="G289" s="1"/>
  <c r="BT288"/>
  <c r="BS288"/>
  <c r="BR288"/>
  <c r="BQ288"/>
  <c r="BP288"/>
  <c r="BO288"/>
  <c r="BN288"/>
  <c r="BM288"/>
  <c r="BL288"/>
  <c r="BK288"/>
  <c r="BJ288"/>
  <c r="BI288"/>
  <c r="BH288"/>
  <c r="BG288"/>
  <c r="BF288"/>
  <c r="BE288"/>
  <c r="BD288"/>
  <c r="BC288"/>
  <c r="BB288"/>
  <c r="BA288" s="1"/>
  <c r="AZ288" s="1"/>
  <c r="AX288"/>
  <c r="AW288"/>
  <c r="AV288"/>
  <c r="AC288"/>
  <c r="G288" s="1"/>
  <c r="H288"/>
  <c r="BT287"/>
  <c r="BS287"/>
  <c r="BR287"/>
  <c r="BQ287"/>
  <c r="BP287"/>
  <c r="BO287"/>
  <c r="BN287"/>
  <c r="BM287"/>
  <c r="BL287" s="1"/>
  <c r="BK287"/>
  <c r="BJ287"/>
  <c r="BI287"/>
  <c r="BH287"/>
  <c r="BG287"/>
  <c r="BF287"/>
  <c r="BE287"/>
  <c r="BD287"/>
  <c r="BC287"/>
  <c r="BB287"/>
  <c r="BA287"/>
  <c r="AZ287" s="1"/>
  <c r="AX287"/>
  <c r="AW287"/>
  <c r="AV287"/>
  <c r="AC287"/>
  <c r="H287"/>
  <c r="G287" s="1"/>
  <c r="BT286"/>
  <c r="BS286"/>
  <c r="BR286"/>
  <c r="BQ286"/>
  <c r="BP286"/>
  <c r="BO286"/>
  <c r="BN286"/>
  <c r="BM286"/>
  <c r="BL286"/>
  <c r="BK286"/>
  <c r="BJ286"/>
  <c r="BI286"/>
  <c r="BH286"/>
  <c r="BG286"/>
  <c r="BF286"/>
  <c r="BE286"/>
  <c r="BD286"/>
  <c r="BC286"/>
  <c r="BB286"/>
  <c r="BA286" s="1"/>
  <c r="AZ286" s="1"/>
  <c r="AX286"/>
  <c r="AW286"/>
  <c r="AV286"/>
  <c r="AC286"/>
  <c r="G286" s="1"/>
  <c r="H286"/>
  <c r="BT285"/>
  <c r="BS285"/>
  <c r="BR285"/>
  <c r="BQ285"/>
  <c r="BP285"/>
  <c r="BO285"/>
  <c r="BN285"/>
  <c r="BM285"/>
  <c r="BL285" s="1"/>
  <c r="BK285"/>
  <c r="BJ285"/>
  <c r="BI285"/>
  <c r="BH285"/>
  <c r="BG285"/>
  <c r="BF285"/>
  <c r="BE285"/>
  <c r="BD285"/>
  <c r="BC285"/>
  <c r="BB285"/>
  <c r="BA285"/>
  <c r="AZ285" s="1"/>
  <c r="AX285"/>
  <c r="AW285"/>
  <c r="AV285"/>
  <c r="AC285"/>
  <c r="H285"/>
  <c r="G285" s="1"/>
  <c r="BT284"/>
  <c r="BS284"/>
  <c r="BR284"/>
  <c r="BQ284"/>
  <c r="BP284"/>
  <c r="BO284"/>
  <c r="BN284"/>
  <c r="BM284"/>
  <c r="BL284"/>
  <c r="BK284"/>
  <c r="BJ284"/>
  <c r="BI284"/>
  <c r="BH284"/>
  <c r="BG284"/>
  <c r="BF284"/>
  <c r="BE284"/>
  <c r="BD284"/>
  <c r="BC284"/>
  <c r="BB284"/>
  <c r="BA284" s="1"/>
  <c r="AZ284" s="1"/>
  <c r="AX284"/>
  <c r="AW284"/>
  <c r="AV284"/>
  <c r="AC284"/>
  <c r="G284" s="1"/>
  <c r="H284"/>
  <c r="BT283"/>
  <c r="BS283"/>
  <c r="BR283"/>
  <c r="BQ283"/>
  <c r="BP283"/>
  <c r="BO283"/>
  <c r="BN283"/>
  <c r="BM283"/>
  <c r="BL283" s="1"/>
  <c r="BK283"/>
  <c r="BJ283"/>
  <c r="BI283"/>
  <c r="BH283"/>
  <c r="BG283"/>
  <c r="BF283"/>
  <c r="BE283"/>
  <c r="BD283"/>
  <c r="BC283"/>
  <c r="BB283"/>
  <c r="BA283"/>
  <c r="AZ283" s="1"/>
  <c r="AX283"/>
  <c r="AW283"/>
  <c r="AV283"/>
  <c r="AC283"/>
  <c r="H283"/>
  <c r="G283" s="1"/>
  <c r="BT282"/>
  <c r="BS282"/>
  <c r="BR282"/>
  <c r="BQ282"/>
  <c r="BP282"/>
  <c r="BO282"/>
  <c r="BN282"/>
  <c r="BM282"/>
  <c r="BL282"/>
  <c r="BK282"/>
  <c r="BJ282"/>
  <c r="BI282"/>
  <c r="BH282"/>
  <c r="BG282"/>
  <c r="BF282"/>
  <c r="BE282"/>
  <c r="BD282"/>
  <c r="BC282"/>
  <c r="BB282"/>
  <c r="BA282" s="1"/>
  <c r="AZ282" s="1"/>
  <c r="AX282"/>
  <c r="AW282"/>
  <c r="AV282"/>
  <c r="AC282"/>
  <c r="G282" s="1"/>
  <c r="H282"/>
  <c r="BT281"/>
  <c r="BS281"/>
  <c r="BR281"/>
  <c r="BQ281"/>
  <c r="BP281"/>
  <c r="BO281"/>
  <c r="BN281"/>
  <c r="BM281"/>
  <c r="BL281" s="1"/>
  <c r="BK281"/>
  <c r="BJ281"/>
  <c r="BI281"/>
  <c r="BH281"/>
  <c r="BG281"/>
  <c r="BF281"/>
  <c r="BE281"/>
  <c r="BD281"/>
  <c r="BC281"/>
  <c r="BB281"/>
  <c r="BA281"/>
  <c r="AZ281" s="1"/>
  <c r="AX281"/>
  <c r="AW281"/>
  <c r="AV281"/>
  <c r="AC281"/>
  <c r="H281"/>
  <c r="G281" s="1"/>
  <c r="BT280"/>
  <c r="BS280"/>
  <c r="BR280"/>
  <c r="BQ280"/>
  <c r="BP280"/>
  <c r="BO280"/>
  <c r="BN280"/>
  <c r="BM280"/>
  <c r="BL280"/>
  <c r="BK280"/>
  <c r="BJ280"/>
  <c r="BI280"/>
  <c r="BH280"/>
  <c r="BG280"/>
  <c r="BF280"/>
  <c r="BE280"/>
  <c r="BD280"/>
  <c r="BC280"/>
  <c r="BB280"/>
  <c r="BA280" s="1"/>
  <c r="AZ280" s="1"/>
  <c r="AX280"/>
  <c r="AW280"/>
  <c r="AV280"/>
  <c r="AC280"/>
  <c r="G280" s="1"/>
  <c r="H280"/>
  <c r="BT279"/>
  <c r="BS279"/>
  <c r="BR279"/>
  <c r="BQ279"/>
  <c r="BP279"/>
  <c r="BO279"/>
  <c r="BN279"/>
  <c r="BM279"/>
  <c r="BL279" s="1"/>
  <c r="BK279"/>
  <c r="BJ279"/>
  <c r="BI279"/>
  <c r="BH279"/>
  <c r="BG279"/>
  <c r="BF279"/>
  <c r="BE279"/>
  <c r="BD279"/>
  <c r="BC279"/>
  <c r="BB279"/>
  <c r="BA279"/>
  <c r="AZ279" s="1"/>
  <c r="AX279"/>
  <c r="AW279"/>
  <c r="AV279"/>
  <c r="AC279"/>
  <c r="H279"/>
  <c r="G279" s="1"/>
  <c r="BT278"/>
  <c r="BS278"/>
  <c r="BR278"/>
  <c r="BQ278"/>
  <c r="BP278"/>
  <c r="BO278"/>
  <c r="BN278"/>
  <c r="BM278"/>
  <c r="BL278"/>
  <c r="BK278"/>
  <c r="BJ278"/>
  <c r="BI278"/>
  <c r="BH278"/>
  <c r="BG278"/>
  <c r="BF278"/>
  <c r="BE278"/>
  <c r="BD278"/>
  <c r="BC278"/>
  <c r="BB278"/>
  <c r="BA278" s="1"/>
  <c r="AZ278" s="1"/>
  <c r="AX278"/>
  <c r="AW278"/>
  <c r="AV278"/>
  <c r="AC278"/>
  <c r="G278" s="1"/>
  <c r="H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Z276" s="1"/>
  <c r="AX276"/>
  <c r="AW276"/>
  <c r="AV276"/>
  <c r="AC276"/>
  <c r="G276" s="1"/>
  <c r="H276"/>
  <c r="BT275"/>
  <c r="BS275"/>
  <c r="BR275"/>
  <c r="BQ275"/>
  <c r="BP275"/>
  <c r="BO275"/>
  <c r="BN275"/>
  <c r="BM275"/>
  <c r="BL275" s="1"/>
  <c r="BK275"/>
  <c r="BJ275"/>
  <c r="BI275"/>
  <c r="BH275"/>
  <c r="BG275"/>
  <c r="BF275"/>
  <c r="BE275"/>
  <c r="BD275"/>
  <c r="BC275"/>
  <c r="BB275"/>
  <c r="BA275"/>
  <c r="AZ275" s="1"/>
  <c r="AX275"/>
  <c r="AW275"/>
  <c r="AV275"/>
  <c r="AC275"/>
  <c r="H275"/>
  <c r="G275" s="1"/>
  <c r="BT274"/>
  <c r="BS274"/>
  <c r="BR274"/>
  <c r="BQ274"/>
  <c r="BP274"/>
  <c r="BO274"/>
  <c r="BN274"/>
  <c r="BM274"/>
  <c r="BL274"/>
  <c r="BK274"/>
  <c r="BJ274"/>
  <c r="BI274"/>
  <c r="BH274"/>
  <c r="BG274"/>
  <c r="BF274"/>
  <c r="BE274"/>
  <c r="BD274"/>
  <c r="BC274"/>
  <c r="BB274"/>
  <c r="BA274" s="1"/>
  <c r="AZ274" s="1"/>
  <c r="AX274"/>
  <c r="AW274"/>
  <c r="AV274"/>
  <c r="AC274"/>
  <c r="G274" s="1"/>
  <c r="H274"/>
  <c r="BT273"/>
  <c r="BS273"/>
  <c r="BR273"/>
  <c r="BQ273"/>
  <c r="BP273"/>
  <c r="BO273"/>
  <c r="BN273"/>
  <c r="BM273"/>
  <c r="BL273" s="1"/>
  <c r="BK273"/>
  <c r="BJ273"/>
  <c r="BI273"/>
  <c r="BH273"/>
  <c r="BG273"/>
  <c r="BF273"/>
  <c r="BE273"/>
  <c r="BD273"/>
  <c r="BC273"/>
  <c r="BB273"/>
  <c r="BA273"/>
  <c r="AZ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G272" s="1"/>
  <c r="H272"/>
  <c r="BT271"/>
  <c r="BS271"/>
  <c r="BR271"/>
  <c r="BQ271"/>
  <c r="BP271"/>
  <c r="BO271"/>
  <c r="BN271"/>
  <c r="BM271"/>
  <c r="BL271" s="1"/>
  <c r="BK271"/>
  <c r="BJ271"/>
  <c r="BI271"/>
  <c r="BH271"/>
  <c r="BG271"/>
  <c r="BF271"/>
  <c r="BE271"/>
  <c r="BD271"/>
  <c r="BC271"/>
  <c r="BB271"/>
  <c r="BA271"/>
  <c r="AZ271" s="1"/>
  <c r="AX271"/>
  <c r="AW271"/>
  <c r="AV271"/>
  <c r="AC271"/>
  <c r="H271"/>
  <c r="G271" s="1"/>
  <c r="BT270"/>
  <c r="BS270"/>
  <c r="BR270"/>
  <c r="BQ270"/>
  <c r="BP270"/>
  <c r="BO270"/>
  <c r="BN270"/>
  <c r="BM270"/>
  <c r="BL270"/>
  <c r="BK270"/>
  <c r="BJ270"/>
  <c r="BI270"/>
  <c r="BH270"/>
  <c r="BG270"/>
  <c r="BF270"/>
  <c r="BE270"/>
  <c r="BD270"/>
  <c r="BC270"/>
  <c r="BB270"/>
  <c r="BA270" s="1"/>
  <c r="AZ270" s="1"/>
  <c r="AX270"/>
  <c r="AW270"/>
  <c r="AV270"/>
  <c r="AC270"/>
  <c r="G270" s="1"/>
  <c r="H270"/>
  <c r="BT269"/>
  <c r="BS269"/>
  <c r="BR269"/>
  <c r="BQ269"/>
  <c r="BP269"/>
  <c r="BO269"/>
  <c r="BN269"/>
  <c r="BM269"/>
  <c r="BL269" s="1"/>
  <c r="BK269"/>
  <c r="BJ269"/>
  <c r="BI269"/>
  <c r="BH269"/>
  <c r="BG269"/>
  <c r="BF269"/>
  <c r="BE269"/>
  <c r="BD269"/>
  <c r="BC269"/>
  <c r="BA269" s="1"/>
  <c r="AZ269" s="1"/>
  <c r="BB269"/>
  <c r="AX269"/>
  <c r="AW269"/>
  <c r="AV269"/>
  <c r="AC269"/>
  <c r="H269"/>
  <c r="G269" s="1"/>
  <c r="BT268"/>
  <c r="BS268"/>
  <c r="BR268"/>
  <c r="BQ268"/>
  <c r="BP268"/>
  <c r="BO268"/>
  <c r="BN268"/>
  <c r="BM268"/>
  <c r="BL268"/>
  <c r="BK268"/>
  <c r="BJ268"/>
  <c r="BI268"/>
  <c r="BH268"/>
  <c r="BG268"/>
  <c r="BF268"/>
  <c r="BE268"/>
  <c r="BD268"/>
  <c r="BC268"/>
  <c r="BB268"/>
  <c r="BA268" s="1"/>
  <c r="AZ268" s="1"/>
  <c r="AX268"/>
  <c r="AW268"/>
  <c r="AV268"/>
  <c r="AC268"/>
  <c r="G268" s="1"/>
  <c r="H268"/>
  <c r="BT267"/>
  <c r="BS267"/>
  <c r="BR267"/>
  <c r="BQ267"/>
  <c r="BP267"/>
  <c r="BO267"/>
  <c r="BN267"/>
  <c r="BM267"/>
  <c r="BL267" s="1"/>
  <c r="BK267"/>
  <c r="BJ267"/>
  <c r="BI267"/>
  <c r="BH267"/>
  <c r="BG267"/>
  <c r="BF267"/>
  <c r="BE267"/>
  <c r="BD267"/>
  <c r="BC267"/>
  <c r="BB267"/>
  <c r="BA267"/>
  <c r="AX267"/>
  <c r="AW267"/>
  <c r="AV267"/>
  <c r="AC267"/>
  <c r="H267"/>
  <c r="G267" s="1"/>
  <c r="BT266"/>
  <c r="BS266"/>
  <c r="BR266"/>
  <c r="BQ266"/>
  <c r="BP266"/>
  <c r="BO266"/>
  <c r="BN266"/>
  <c r="BM266"/>
  <c r="BL266"/>
  <c r="BK266"/>
  <c r="BJ266"/>
  <c r="BI266"/>
  <c r="BH266"/>
  <c r="BG266"/>
  <c r="BF266"/>
  <c r="BE266"/>
  <c r="BD266"/>
  <c r="BC266"/>
  <c r="BB266"/>
  <c r="BA266" s="1"/>
  <c r="AZ266" s="1"/>
  <c r="AX266"/>
  <c r="AW266"/>
  <c r="AV266"/>
  <c r="AC266"/>
  <c r="G266" s="1"/>
  <c r="H266"/>
  <c r="BT265"/>
  <c r="BS265"/>
  <c r="BR265"/>
  <c r="BQ265"/>
  <c r="BP265"/>
  <c r="BO265"/>
  <c r="BN265"/>
  <c r="BM265"/>
  <c r="BL265" s="1"/>
  <c r="BK265"/>
  <c r="BJ265"/>
  <c r="BI265"/>
  <c r="BH265"/>
  <c r="BG265"/>
  <c r="BF265"/>
  <c r="BE265"/>
  <c r="BD265"/>
  <c r="BC265"/>
  <c r="BB265"/>
  <c r="BA265"/>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G264" s="1"/>
  <c r="H264"/>
  <c r="BT263"/>
  <c r="BS263"/>
  <c r="BR263"/>
  <c r="BQ263"/>
  <c r="BP263"/>
  <c r="BO263"/>
  <c r="BN263"/>
  <c r="BM263"/>
  <c r="BL263" s="1"/>
  <c r="BK263"/>
  <c r="BJ263"/>
  <c r="BI263"/>
  <c r="BH263"/>
  <c r="BG263"/>
  <c r="BF263"/>
  <c r="BE263"/>
  <c r="BD263"/>
  <c r="BC263"/>
  <c r="BB263"/>
  <c r="BA263"/>
  <c r="AX263"/>
  <c r="AW263"/>
  <c r="AV263"/>
  <c r="AC263"/>
  <c r="H263"/>
  <c r="G263" s="1"/>
  <c r="BT262"/>
  <c r="BS262"/>
  <c r="BR262"/>
  <c r="BQ262"/>
  <c r="BP262"/>
  <c r="BO262"/>
  <c r="BN262"/>
  <c r="BM262"/>
  <c r="BL262"/>
  <c r="BK262"/>
  <c r="BJ262"/>
  <c r="BI262"/>
  <c r="BH262"/>
  <c r="BG262"/>
  <c r="BF262"/>
  <c r="BE262"/>
  <c r="BD262"/>
  <c r="BC262"/>
  <c r="BB262"/>
  <c r="BA262" s="1"/>
  <c r="AZ262" s="1"/>
  <c r="AX262"/>
  <c r="AW262"/>
  <c r="AV262"/>
  <c r="AC262"/>
  <c r="G262" s="1"/>
  <c r="H262"/>
  <c r="BT261"/>
  <c r="BS261"/>
  <c r="BR261"/>
  <c r="BQ261"/>
  <c r="BP261"/>
  <c r="BO261"/>
  <c r="BN261"/>
  <c r="BM261"/>
  <c r="BL261" s="1"/>
  <c r="BK261"/>
  <c r="BJ261"/>
  <c r="BI261"/>
  <c r="BH261"/>
  <c r="BG261"/>
  <c r="BF261"/>
  <c r="BE261"/>
  <c r="BD261"/>
  <c r="BC261"/>
  <c r="BB261"/>
  <c r="BA261"/>
  <c r="AX261"/>
  <c r="AW261"/>
  <c r="AV261"/>
  <c r="AC261"/>
  <c r="H261"/>
  <c r="G261" s="1"/>
  <c r="BT260"/>
  <c r="BS260"/>
  <c r="BR260"/>
  <c r="BQ260"/>
  <c r="BP260"/>
  <c r="BO260"/>
  <c r="BN260"/>
  <c r="BM260"/>
  <c r="BL260"/>
  <c r="BK260"/>
  <c r="BJ260"/>
  <c r="BI260"/>
  <c r="BH260"/>
  <c r="BG260"/>
  <c r="BF260"/>
  <c r="BE260"/>
  <c r="BD260"/>
  <c r="BC260"/>
  <c r="BB260"/>
  <c r="BA260" s="1"/>
  <c r="AZ260" s="1"/>
  <c r="AX260"/>
  <c r="AW260"/>
  <c r="AV260"/>
  <c r="AC260"/>
  <c r="G260" s="1"/>
  <c r="H260"/>
  <c r="BT259"/>
  <c r="BS259"/>
  <c r="BR259"/>
  <c r="BQ259"/>
  <c r="BP259"/>
  <c r="BO259"/>
  <c r="BN259"/>
  <c r="BM259"/>
  <c r="BL259" s="1"/>
  <c r="BK259"/>
  <c r="BJ259"/>
  <c r="BI259"/>
  <c r="BH259"/>
  <c r="BG259"/>
  <c r="BF259"/>
  <c r="BE259"/>
  <c r="BD259"/>
  <c r="BC259"/>
  <c r="BB259"/>
  <c r="BA259"/>
  <c r="AX259"/>
  <c r="AW259"/>
  <c r="AV259"/>
  <c r="AC259"/>
  <c r="H259"/>
  <c r="G259" s="1"/>
  <c r="BT258"/>
  <c r="BS258"/>
  <c r="BR258"/>
  <c r="BQ258"/>
  <c r="BP258"/>
  <c r="BO258"/>
  <c r="BN258"/>
  <c r="BM258"/>
  <c r="BL258"/>
  <c r="BK258"/>
  <c r="BJ258"/>
  <c r="BI258"/>
  <c r="BH258"/>
  <c r="BG258"/>
  <c r="BF258"/>
  <c r="BE258"/>
  <c r="BD258"/>
  <c r="BC258"/>
  <c r="BB258"/>
  <c r="BA258" s="1"/>
  <c r="AZ258" s="1"/>
  <c r="AX258"/>
  <c r="AW258"/>
  <c r="AV258"/>
  <c r="AC258"/>
  <c r="G258" s="1"/>
  <c r="H258"/>
  <c r="BT257"/>
  <c r="BS257"/>
  <c r="BR257"/>
  <c r="BQ257"/>
  <c r="BP257"/>
  <c r="BO257"/>
  <c r="BN257"/>
  <c r="BM257"/>
  <c r="BL257" s="1"/>
  <c r="BK257"/>
  <c r="BJ257"/>
  <c r="BI257"/>
  <c r="BH257"/>
  <c r="BG257"/>
  <c r="BF257"/>
  <c r="BE257"/>
  <c r="BD257"/>
  <c r="BC257"/>
  <c r="BB257"/>
  <c r="BA257"/>
  <c r="AX257"/>
  <c r="AW257"/>
  <c r="AV257"/>
  <c r="AC257"/>
  <c r="H257"/>
  <c r="G257" s="1"/>
  <c r="BT256"/>
  <c r="BS256"/>
  <c r="BR256"/>
  <c r="BQ256"/>
  <c r="BP256"/>
  <c r="BO256"/>
  <c r="BN256"/>
  <c r="BM256"/>
  <c r="BL256"/>
  <c r="BK256"/>
  <c r="BJ256"/>
  <c r="BI256"/>
  <c r="BH256"/>
  <c r="BG256"/>
  <c r="BF256"/>
  <c r="BE256"/>
  <c r="BD256"/>
  <c r="BC256"/>
  <c r="BB256"/>
  <c r="BA256" s="1"/>
  <c r="AZ256" s="1"/>
  <c r="AX256"/>
  <c r="AW256"/>
  <c r="AV256"/>
  <c r="AC256"/>
  <c r="G256" s="1"/>
  <c r="H256"/>
  <c r="BT255"/>
  <c r="BS255"/>
  <c r="BR255"/>
  <c r="BQ255"/>
  <c r="BP255"/>
  <c r="BO255"/>
  <c r="BN255"/>
  <c r="BM255"/>
  <c r="BL255" s="1"/>
  <c r="BK255"/>
  <c r="BJ255"/>
  <c r="BI255"/>
  <c r="BH255"/>
  <c r="BG255"/>
  <c r="BF255"/>
  <c r="BE255"/>
  <c r="BD255"/>
  <c r="BC255"/>
  <c r="BA255" s="1"/>
  <c r="BB255"/>
  <c r="AX255"/>
  <c r="AW255"/>
  <c r="AV255"/>
  <c r="AC255"/>
  <c r="H255"/>
  <c r="G255" s="1"/>
  <c r="BT254"/>
  <c r="BS254"/>
  <c r="BR254"/>
  <c r="BQ254"/>
  <c r="BP254"/>
  <c r="BO254"/>
  <c r="BN254"/>
  <c r="BM254"/>
  <c r="BL254"/>
  <c r="BK254"/>
  <c r="BJ254"/>
  <c r="BI254"/>
  <c r="BH254"/>
  <c r="BG254"/>
  <c r="BF254"/>
  <c r="BE254"/>
  <c r="BD254"/>
  <c r="BC254"/>
  <c r="BB254"/>
  <c r="BA254" s="1"/>
  <c r="AZ254" s="1"/>
  <c r="AX254"/>
  <c r="AW254"/>
  <c r="AV254"/>
  <c r="AC254"/>
  <c r="G254" s="1"/>
  <c r="H254"/>
  <c r="BT253"/>
  <c r="BS253"/>
  <c r="BR253"/>
  <c r="BQ253"/>
  <c r="BP253"/>
  <c r="BO253"/>
  <c r="BN253"/>
  <c r="BM253"/>
  <c r="BL253" s="1"/>
  <c r="BK253"/>
  <c r="BJ253"/>
  <c r="BI253"/>
  <c r="BH253"/>
  <c r="BG253"/>
  <c r="BF253"/>
  <c r="BE253"/>
  <c r="BD253"/>
  <c r="BC253"/>
  <c r="BB253"/>
  <c r="BA253"/>
  <c r="AZ253" s="1"/>
  <c r="AX253"/>
  <c r="AW253"/>
  <c r="AV253"/>
  <c r="AC253"/>
  <c r="H253"/>
  <c r="G253" s="1"/>
  <c r="BT252"/>
  <c r="BS252"/>
  <c r="BR252"/>
  <c r="BQ252"/>
  <c r="BP252"/>
  <c r="BO252"/>
  <c r="BN252"/>
  <c r="BM252"/>
  <c r="BL252"/>
  <c r="BK252"/>
  <c r="BJ252"/>
  <c r="BI252"/>
  <c r="BH252"/>
  <c r="BG252"/>
  <c r="BF252"/>
  <c r="BE252"/>
  <c r="BD252"/>
  <c r="BC252"/>
  <c r="BB252"/>
  <c r="BA252" s="1"/>
  <c r="AZ252" s="1"/>
  <c r="AX252"/>
  <c r="AW252"/>
  <c r="AV252"/>
  <c r="AC252"/>
  <c r="G252" s="1"/>
  <c r="H252"/>
  <c r="BT251"/>
  <c r="BS251"/>
  <c r="BR251"/>
  <c r="BQ251"/>
  <c r="BP251"/>
  <c r="BO251"/>
  <c r="BN251"/>
  <c r="BM251"/>
  <c r="BL251" s="1"/>
  <c r="BK251"/>
  <c r="BJ251"/>
  <c r="BI251"/>
  <c r="BH251"/>
  <c r="BG251"/>
  <c r="BF251"/>
  <c r="BE251"/>
  <c r="BD251"/>
  <c r="BC251"/>
  <c r="BB251"/>
  <c r="BA251"/>
  <c r="AZ251" s="1"/>
  <c r="AX251"/>
  <c r="AW251"/>
  <c r="AV251"/>
  <c r="AC251"/>
  <c r="H251"/>
  <c r="G251" s="1"/>
  <c r="BT250"/>
  <c r="BS250"/>
  <c r="BR250"/>
  <c r="BQ250"/>
  <c r="BP250"/>
  <c r="BO250"/>
  <c r="BN250"/>
  <c r="BM250"/>
  <c r="BL250"/>
  <c r="BK250"/>
  <c r="BJ250"/>
  <c r="BI250"/>
  <c r="BH250"/>
  <c r="BG250"/>
  <c r="BF250"/>
  <c r="BE250"/>
  <c r="BD250"/>
  <c r="BC250"/>
  <c r="BB250"/>
  <c r="BA250" s="1"/>
  <c r="AZ250" s="1"/>
  <c r="AX250"/>
  <c r="AW250"/>
  <c r="AV250"/>
  <c r="AC250"/>
  <c r="G250" s="1"/>
  <c r="H250"/>
  <c r="BT249"/>
  <c r="BS249"/>
  <c r="BR249"/>
  <c r="BQ249"/>
  <c r="BP249"/>
  <c r="BO249"/>
  <c r="BN249"/>
  <c r="BM249"/>
  <c r="BL249" s="1"/>
  <c r="BK249"/>
  <c r="BJ249"/>
  <c r="BI249"/>
  <c r="BH249"/>
  <c r="BG249"/>
  <c r="BF249"/>
  <c r="BE249"/>
  <c r="BD249"/>
  <c r="BC249"/>
  <c r="BA249" s="1"/>
  <c r="AZ249" s="1"/>
  <c r="BB249"/>
  <c r="AX249"/>
  <c r="AW249"/>
  <c r="AV249"/>
  <c r="AC249"/>
  <c r="H249"/>
  <c r="G249" s="1"/>
  <c r="BT248"/>
  <c r="BS248"/>
  <c r="BR248"/>
  <c r="BQ248"/>
  <c r="BP248"/>
  <c r="BO248"/>
  <c r="BN248"/>
  <c r="BM248"/>
  <c r="BL248"/>
  <c r="BK248"/>
  <c r="BJ248"/>
  <c r="BI248"/>
  <c r="BH248"/>
  <c r="BG248"/>
  <c r="BF248"/>
  <c r="BE248"/>
  <c r="BD248"/>
  <c r="BC248"/>
  <c r="BB248"/>
  <c r="BA248" s="1"/>
  <c r="AZ248" s="1"/>
  <c r="AX248"/>
  <c r="AW248"/>
  <c r="AV248"/>
  <c r="AC248"/>
  <c r="G248" s="1"/>
  <c r="H248"/>
  <c r="BT247"/>
  <c r="BS247"/>
  <c r="BR247"/>
  <c r="BQ247"/>
  <c r="BP247"/>
  <c r="BO247"/>
  <c r="BN247"/>
  <c r="BM247"/>
  <c r="BL247" s="1"/>
  <c r="BK247"/>
  <c r="BJ247"/>
  <c r="BI247"/>
  <c r="BH247"/>
  <c r="BG247"/>
  <c r="BF247"/>
  <c r="BE247"/>
  <c r="BD247"/>
  <c r="BC247"/>
  <c r="BB247"/>
  <c r="BA247"/>
  <c r="AX247"/>
  <c r="AW247"/>
  <c r="AV247"/>
  <c r="AC247"/>
  <c r="H247"/>
  <c r="G247" s="1"/>
  <c r="BT246"/>
  <c r="BS246"/>
  <c r="BR246"/>
  <c r="BQ246"/>
  <c r="BP246"/>
  <c r="BO246"/>
  <c r="BN246"/>
  <c r="BM246"/>
  <c r="BL246"/>
  <c r="BK246"/>
  <c r="BJ246"/>
  <c r="BI246"/>
  <c r="BH246"/>
  <c r="BG246"/>
  <c r="BF246"/>
  <c r="BE246"/>
  <c r="BD246"/>
  <c r="BC246"/>
  <c r="BB246"/>
  <c r="BA246" s="1"/>
  <c r="AZ246" s="1"/>
  <c r="AX246"/>
  <c r="AW246"/>
  <c r="AV246"/>
  <c r="AC246"/>
  <c r="G246" s="1"/>
  <c r="H246"/>
  <c r="BT245"/>
  <c r="BS245"/>
  <c r="BR245"/>
  <c r="BQ245"/>
  <c r="BP245"/>
  <c r="BO245"/>
  <c r="BN245"/>
  <c r="BM245"/>
  <c r="BL245" s="1"/>
  <c r="BK245"/>
  <c r="BJ245"/>
  <c r="BI245"/>
  <c r="BH245"/>
  <c r="BG245"/>
  <c r="BF245"/>
  <c r="BE245"/>
  <c r="BD245"/>
  <c r="BC245"/>
  <c r="BB245"/>
  <c r="BA245"/>
  <c r="AX245"/>
  <c r="AW245"/>
  <c r="AV245"/>
  <c r="AC245"/>
  <c r="H245"/>
  <c r="G245" s="1"/>
  <c r="BT244"/>
  <c r="BS244"/>
  <c r="BR244"/>
  <c r="BQ244"/>
  <c r="BP244"/>
  <c r="BO244"/>
  <c r="BN244"/>
  <c r="BM244"/>
  <c r="BL244"/>
  <c r="BK244"/>
  <c r="BJ244"/>
  <c r="BI244"/>
  <c r="BH244"/>
  <c r="BG244"/>
  <c r="BF244"/>
  <c r="BE244"/>
  <c r="BD244"/>
  <c r="BC244"/>
  <c r="BB244"/>
  <c r="BA244" s="1"/>
  <c r="AZ244" s="1"/>
  <c r="AX244"/>
  <c r="AW244"/>
  <c r="AV244"/>
  <c r="AC244"/>
  <c r="G244" s="1"/>
  <c r="H244"/>
  <c r="BT243"/>
  <c r="BS243"/>
  <c r="BR243"/>
  <c r="BQ243"/>
  <c r="BP243"/>
  <c r="BO243"/>
  <c r="BN243"/>
  <c r="BM243"/>
  <c r="BL243" s="1"/>
  <c r="BK243"/>
  <c r="BJ243"/>
  <c r="BI243"/>
  <c r="BH243"/>
  <c r="BG243"/>
  <c r="BF243"/>
  <c r="BE243"/>
  <c r="BD243"/>
  <c r="BC243"/>
  <c r="BB243"/>
  <c r="BA243"/>
  <c r="AX243"/>
  <c r="AW243"/>
  <c r="AV243"/>
  <c r="AC243"/>
  <c r="H243"/>
  <c r="G243" s="1"/>
  <c r="BT242"/>
  <c r="BS242"/>
  <c r="BR242"/>
  <c r="BQ242"/>
  <c r="BP242"/>
  <c r="BO242"/>
  <c r="BN242"/>
  <c r="BM242"/>
  <c r="BL242"/>
  <c r="BK242"/>
  <c r="BJ242"/>
  <c r="BI242"/>
  <c r="BH242"/>
  <c r="BG242"/>
  <c r="BF242"/>
  <c r="BE242"/>
  <c r="BD242"/>
  <c r="BC242"/>
  <c r="BB242"/>
  <c r="BA242" s="1"/>
  <c r="AZ242" s="1"/>
  <c r="AX242"/>
  <c r="AW242"/>
  <c r="AV242"/>
  <c r="AC242"/>
  <c r="G242" s="1"/>
  <c r="H242"/>
  <c r="BT241"/>
  <c r="BS241"/>
  <c r="BR241"/>
  <c r="BQ241"/>
  <c r="BP241"/>
  <c r="BO241"/>
  <c r="BN241"/>
  <c r="BM241"/>
  <c r="BL241" s="1"/>
  <c r="BK241"/>
  <c r="BJ241"/>
  <c r="BI241"/>
  <c r="BH241"/>
  <c r="BG241"/>
  <c r="BF241"/>
  <c r="BE241"/>
  <c r="BD241"/>
  <c r="BC241"/>
  <c r="BB241"/>
  <c r="BA241"/>
  <c r="AX241"/>
  <c r="AW241"/>
  <c r="AV241"/>
  <c r="AC241"/>
  <c r="H241"/>
  <c r="G241" s="1"/>
  <c r="BT240"/>
  <c r="BS240"/>
  <c r="BR240"/>
  <c r="BQ240"/>
  <c r="BP240"/>
  <c r="BO240"/>
  <c r="BN240"/>
  <c r="BM240"/>
  <c r="BL240"/>
  <c r="BK240"/>
  <c r="BJ240"/>
  <c r="BI240"/>
  <c r="BH240"/>
  <c r="BG240"/>
  <c r="BF240"/>
  <c r="BE240"/>
  <c r="BD240"/>
  <c r="BC240"/>
  <c r="BB240"/>
  <c r="BA240" s="1"/>
  <c r="AZ240" s="1"/>
  <c r="AX240"/>
  <c r="AW240"/>
  <c r="AV240"/>
  <c r="AC240"/>
  <c r="G240" s="1"/>
  <c r="H240"/>
  <c r="BT239"/>
  <c r="BS239"/>
  <c r="BR239"/>
  <c r="BQ239"/>
  <c r="BP239"/>
  <c r="BO239"/>
  <c r="BN239"/>
  <c r="BM239"/>
  <c r="BL239" s="1"/>
  <c r="BK239"/>
  <c r="BJ239"/>
  <c r="BI239"/>
  <c r="BH239"/>
  <c r="BG239"/>
  <c r="BF239"/>
  <c r="BE239"/>
  <c r="BD239"/>
  <c r="BC239"/>
  <c r="BB239"/>
  <c r="BA239"/>
  <c r="AX239"/>
  <c r="AW239"/>
  <c r="AV239"/>
  <c r="AC239"/>
  <c r="H239"/>
  <c r="G239" s="1"/>
  <c r="BT238"/>
  <c r="BS238"/>
  <c r="BR238"/>
  <c r="BQ238"/>
  <c r="BP238"/>
  <c r="BO238"/>
  <c r="BN238"/>
  <c r="BM238"/>
  <c r="BL238"/>
  <c r="BK238"/>
  <c r="BJ238"/>
  <c r="BI238"/>
  <c r="BH238"/>
  <c r="BG238"/>
  <c r="BF238"/>
  <c r="BE238"/>
  <c r="BD238"/>
  <c r="BC238"/>
  <c r="BB238"/>
  <c r="BA238" s="1"/>
  <c r="AZ238" s="1"/>
  <c r="AX238"/>
  <c r="AW238"/>
  <c r="AV238"/>
  <c r="AC238"/>
  <c r="G238" s="1"/>
  <c r="H238"/>
  <c r="BT237"/>
  <c r="BS237"/>
  <c r="BR237"/>
  <c r="BQ237"/>
  <c r="BP237"/>
  <c r="BO237"/>
  <c r="BN237"/>
  <c r="BM237"/>
  <c r="BL237" s="1"/>
  <c r="BK237"/>
  <c r="BJ237"/>
  <c r="BI237"/>
  <c r="BH237"/>
  <c r="BG237"/>
  <c r="BF237"/>
  <c r="BE237"/>
  <c r="BD237"/>
  <c r="BC237"/>
  <c r="BB237"/>
  <c r="BA237"/>
  <c r="AX237"/>
  <c r="AW237"/>
  <c r="AV237"/>
  <c r="AC237"/>
  <c r="H237"/>
  <c r="G237" s="1"/>
  <c r="BT236"/>
  <c r="BS236"/>
  <c r="BR236"/>
  <c r="BQ236"/>
  <c r="BP236"/>
  <c r="BO236"/>
  <c r="BN236"/>
  <c r="BM236"/>
  <c r="BL236"/>
  <c r="BK236"/>
  <c r="BJ236"/>
  <c r="BI236"/>
  <c r="BH236"/>
  <c r="BG236"/>
  <c r="BF236"/>
  <c r="BE236"/>
  <c r="BD236"/>
  <c r="BC236"/>
  <c r="BB236"/>
  <c r="BA236" s="1"/>
  <c r="AZ236" s="1"/>
  <c r="AX236"/>
  <c r="AW236"/>
  <c r="AV236"/>
  <c r="AC236"/>
  <c r="G236" s="1"/>
  <c r="H236"/>
  <c r="BT235"/>
  <c r="BS235"/>
  <c r="BR235"/>
  <c r="BQ235"/>
  <c r="BP235"/>
  <c r="BO235"/>
  <c r="BN235"/>
  <c r="BM235"/>
  <c r="BL235" s="1"/>
  <c r="BK235"/>
  <c r="BJ235"/>
  <c r="BI235"/>
  <c r="BH235"/>
  <c r="BG235"/>
  <c r="BF235"/>
  <c r="BE235"/>
  <c r="BD235"/>
  <c r="BC235"/>
  <c r="BB235"/>
  <c r="BA235"/>
  <c r="AX235"/>
  <c r="AW235"/>
  <c r="AV235"/>
  <c r="AC235"/>
  <c r="H235"/>
  <c r="G235" s="1"/>
  <c r="BT234"/>
  <c r="BS234"/>
  <c r="BR234"/>
  <c r="BQ234"/>
  <c r="BP234"/>
  <c r="BO234"/>
  <c r="BN234"/>
  <c r="BM234"/>
  <c r="BL234"/>
  <c r="BK234"/>
  <c r="BJ234"/>
  <c r="BI234"/>
  <c r="BH234"/>
  <c r="BG234"/>
  <c r="BF234"/>
  <c r="BE234"/>
  <c r="BD234"/>
  <c r="BC234"/>
  <c r="BB234"/>
  <c r="BA234" s="1"/>
  <c r="AZ234" s="1"/>
  <c r="AX234"/>
  <c r="AW234"/>
  <c r="AV234"/>
  <c r="AC234"/>
  <c r="G234" s="1"/>
  <c r="H234"/>
  <c r="BT233"/>
  <c r="BS233"/>
  <c r="BR233"/>
  <c r="BQ233"/>
  <c r="BP233"/>
  <c r="BO233"/>
  <c r="BN233"/>
  <c r="BM233"/>
  <c r="BL233" s="1"/>
  <c r="BK233"/>
  <c r="BJ233"/>
  <c r="BI233"/>
  <c r="BH233"/>
  <c r="BG233"/>
  <c r="BF233"/>
  <c r="BE233"/>
  <c r="BD233"/>
  <c r="BC233"/>
  <c r="BB233"/>
  <c r="BA233"/>
  <c r="AX233"/>
  <c r="AW233"/>
  <c r="AV233"/>
  <c r="AC233"/>
  <c r="H233"/>
  <c r="G233" s="1"/>
  <c r="BT232"/>
  <c r="BS232"/>
  <c r="BR232"/>
  <c r="BQ232"/>
  <c r="BP232"/>
  <c r="BO232"/>
  <c r="BN232"/>
  <c r="BM232"/>
  <c r="BL232"/>
  <c r="BK232"/>
  <c r="BJ232"/>
  <c r="BI232"/>
  <c r="BH232"/>
  <c r="BG232"/>
  <c r="BF232"/>
  <c r="BE232"/>
  <c r="BD232"/>
  <c r="BC232"/>
  <c r="BB232"/>
  <c r="BA232" s="1"/>
  <c r="AZ232" s="1"/>
  <c r="AX232"/>
  <c r="AW232"/>
  <c r="AV232"/>
  <c r="AC232"/>
  <c r="G232" s="1"/>
  <c r="H232"/>
  <c r="BT231"/>
  <c r="BS231"/>
  <c r="BR231"/>
  <c r="BQ231"/>
  <c r="BP231"/>
  <c r="BO231"/>
  <c r="BN231"/>
  <c r="BM231"/>
  <c r="BL231" s="1"/>
  <c r="BK231"/>
  <c r="BJ231"/>
  <c r="BI231"/>
  <c r="BH231"/>
  <c r="BG231"/>
  <c r="BF231"/>
  <c r="BE231"/>
  <c r="BD231"/>
  <c r="BC231"/>
  <c r="BB231"/>
  <c r="BA231"/>
  <c r="AX231"/>
  <c r="AW231"/>
  <c r="AV231"/>
  <c r="AC231"/>
  <c r="H231"/>
  <c r="G231" s="1"/>
  <c r="BT230"/>
  <c r="BS230"/>
  <c r="BR230"/>
  <c r="BQ230"/>
  <c r="BP230"/>
  <c r="BO230"/>
  <c r="BN230"/>
  <c r="BM230"/>
  <c r="BL230"/>
  <c r="BK230"/>
  <c r="BJ230"/>
  <c r="BI230"/>
  <c r="BH230"/>
  <c r="BG230"/>
  <c r="BF230"/>
  <c r="BE230"/>
  <c r="BD230"/>
  <c r="BC230"/>
  <c r="BB230"/>
  <c r="BA230" s="1"/>
  <c r="AZ230" s="1"/>
  <c r="AX230"/>
  <c r="AW230"/>
  <c r="AV230"/>
  <c r="AC230"/>
  <c r="G230" s="1"/>
  <c r="H230"/>
  <c r="BT229"/>
  <c r="BS229"/>
  <c r="BR229"/>
  <c r="BQ229"/>
  <c r="BP229"/>
  <c r="BO229"/>
  <c r="BN229"/>
  <c r="BM229"/>
  <c r="BL229" s="1"/>
  <c r="BK229"/>
  <c r="BJ229"/>
  <c r="BI229"/>
  <c r="BH229"/>
  <c r="BG229"/>
  <c r="BF229"/>
  <c r="BE229"/>
  <c r="BD229"/>
  <c r="BC229"/>
  <c r="BA229" s="1"/>
  <c r="BB229"/>
  <c r="AX229"/>
  <c r="AW229"/>
  <c r="AV229"/>
  <c r="AC229"/>
  <c r="H229"/>
  <c r="G229" s="1"/>
  <c r="BT228"/>
  <c r="BS228"/>
  <c r="BR228"/>
  <c r="BQ228"/>
  <c r="BP228"/>
  <c r="BO228"/>
  <c r="BN228"/>
  <c r="BM228"/>
  <c r="BL228"/>
  <c r="BK228"/>
  <c r="BJ228"/>
  <c r="BI228"/>
  <c r="BH228"/>
  <c r="BG228"/>
  <c r="BF228"/>
  <c r="BE228"/>
  <c r="BD228"/>
  <c r="BC228"/>
  <c r="BB228"/>
  <c r="BA228" s="1"/>
  <c r="AZ228" s="1"/>
  <c r="AX228"/>
  <c r="AW228"/>
  <c r="AV228"/>
  <c r="AC228"/>
  <c r="G228" s="1"/>
  <c r="H228"/>
  <c r="BT227"/>
  <c r="BS227"/>
  <c r="BR227"/>
  <c r="BQ227"/>
  <c r="BP227"/>
  <c r="BO227"/>
  <c r="BN227"/>
  <c r="BM227"/>
  <c r="BL227" s="1"/>
  <c r="BK227"/>
  <c r="BJ227"/>
  <c r="BI227"/>
  <c r="BH227"/>
  <c r="BG227"/>
  <c r="BF227"/>
  <c r="BE227"/>
  <c r="BD227"/>
  <c r="BC227"/>
  <c r="BB227"/>
  <c r="BA227"/>
  <c r="AZ227" s="1"/>
  <c r="AX227"/>
  <c r="AW227"/>
  <c r="AV227"/>
  <c r="AC227"/>
  <c r="H227"/>
  <c r="G227" s="1"/>
  <c r="BT226"/>
  <c r="BS226"/>
  <c r="BR226"/>
  <c r="BQ226"/>
  <c r="BP226"/>
  <c r="BO226"/>
  <c r="BN226"/>
  <c r="BM226"/>
  <c r="BL226"/>
  <c r="BK226"/>
  <c r="BJ226"/>
  <c r="BI226"/>
  <c r="BH226"/>
  <c r="BG226"/>
  <c r="BF226"/>
  <c r="BE226"/>
  <c r="BD226"/>
  <c r="BC226"/>
  <c r="BB226"/>
  <c r="BA226" s="1"/>
  <c r="AZ226" s="1"/>
  <c r="AX226"/>
  <c r="AW226"/>
  <c r="AV226"/>
  <c r="AC226"/>
  <c r="G226" s="1"/>
  <c r="H226"/>
  <c r="BT225"/>
  <c r="BS225"/>
  <c r="BR225"/>
  <c r="BQ225"/>
  <c r="BP225"/>
  <c r="BO225"/>
  <c r="BN225"/>
  <c r="BM225"/>
  <c r="BL225" s="1"/>
  <c r="BK225"/>
  <c r="BJ225"/>
  <c r="BI225"/>
  <c r="BH225"/>
  <c r="BG225"/>
  <c r="BF225"/>
  <c r="BE225"/>
  <c r="BD225"/>
  <c r="BC225"/>
  <c r="BB225"/>
  <c r="BA225"/>
  <c r="AZ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G224" s="1"/>
  <c r="H224"/>
  <c r="BT223"/>
  <c r="BS223"/>
  <c r="BR223"/>
  <c r="BQ223"/>
  <c r="BP223"/>
  <c r="BO223"/>
  <c r="BN223"/>
  <c r="BM223"/>
  <c r="BL223" s="1"/>
  <c r="BK223"/>
  <c r="BJ223"/>
  <c r="BI223"/>
  <c r="BH223"/>
  <c r="BG223"/>
  <c r="BF223"/>
  <c r="BE223"/>
  <c r="BD223"/>
  <c r="BC223"/>
  <c r="BA223" s="1"/>
  <c r="AZ223" s="1"/>
  <c r="BB223"/>
  <c r="AX223"/>
  <c r="AW223"/>
  <c r="AV223"/>
  <c r="AC223"/>
  <c r="H223"/>
  <c r="G223" s="1"/>
  <c r="BT222"/>
  <c r="BS222"/>
  <c r="BR222"/>
  <c r="BQ222"/>
  <c r="BP222"/>
  <c r="BO222"/>
  <c r="BN222"/>
  <c r="BM222"/>
  <c r="BL222"/>
  <c r="BK222"/>
  <c r="BJ222"/>
  <c r="BI222"/>
  <c r="BH222"/>
  <c r="BG222"/>
  <c r="BF222"/>
  <c r="BE222"/>
  <c r="BD222"/>
  <c r="BC222"/>
  <c r="BB222"/>
  <c r="BA222" s="1"/>
  <c r="AZ222" s="1"/>
  <c r="AX222"/>
  <c r="AW222"/>
  <c r="AV222"/>
  <c r="AC222"/>
  <c r="G222" s="1"/>
  <c r="H222"/>
  <c r="BT221"/>
  <c r="BS221"/>
  <c r="BR221"/>
  <c r="BQ221"/>
  <c r="BP221"/>
  <c r="BO221"/>
  <c r="BN221"/>
  <c r="BM221"/>
  <c r="BL221" s="1"/>
  <c r="BK221"/>
  <c r="BJ221"/>
  <c r="BI221"/>
  <c r="BH221"/>
  <c r="BG221"/>
  <c r="BF221"/>
  <c r="BE221"/>
  <c r="BD221"/>
  <c r="BC221"/>
  <c r="BA221" s="1"/>
  <c r="BB221"/>
  <c r="AX221"/>
  <c r="AW221"/>
  <c r="AV221"/>
  <c r="AC221"/>
  <c r="H221"/>
  <c r="G221" s="1"/>
  <c r="BT220"/>
  <c r="BS220"/>
  <c r="BR220"/>
  <c r="BQ220"/>
  <c r="BP220"/>
  <c r="BO220"/>
  <c r="BN220"/>
  <c r="BM220"/>
  <c r="BL220"/>
  <c r="BK220"/>
  <c r="BJ220"/>
  <c r="BI220"/>
  <c r="BH220"/>
  <c r="BG220"/>
  <c r="BF220"/>
  <c r="BE220"/>
  <c r="BD220"/>
  <c r="BC220"/>
  <c r="BB220"/>
  <c r="BA220" s="1"/>
  <c r="AZ220" s="1"/>
  <c r="AX220"/>
  <c r="AW220"/>
  <c r="AV220"/>
  <c r="AC220"/>
  <c r="G220" s="1"/>
  <c r="H220"/>
  <c r="BT219"/>
  <c r="BS219"/>
  <c r="BR219"/>
  <c r="BQ219"/>
  <c r="BP219"/>
  <c r="BO219"/>
  <c r="BN219"/>
  <c r="BM219"/>
  <c r="BL219" s="1"/>
  <c r="BK219"/>
  <c r="BJ219"/>
  <c r="BI219"/>
  <c r="BH219"/>
  <c r="BG219"/>
  <c r="BF219"/>
  <c r="BE219"/>
  <c r="BD219"/>
  <c r="BC219"/>
  <c r="BB219"/>
  <c r="BA219"/>
  <c r="AZ219" s="1"/>
  <c r="AX219"/>
  <c r="AW219"/>
  <c r="AV219"/>
  <c r="AC219"/>
  <c r="H219"/>
  <c r="G219" s="1"/>
  <c r="BT218"/>
  <c r="BS218"/>
  <c r="BR218"/>
  <c r="BQ218"/>
  <c r="BP218"/>
  <c r="BO218"/>
  <c r="BN218"/>
  <c r="BM218"/>
  <c r="BL218"/>
  <c r="BK218"/>
  <c r="BJ218"/>
  <c r="BI218"/>
  <c r="BH218"/>
  <c r="BG218"/>
  <c r="BF218"/>
  <c r="BE218"/>
  <c r="BD218"/>
  <c r="BC218"/>
  <c r="BB218"/>
  <c r="BA218" s="1"/>
  <c r="AZ218" s="1"/>
  <c r="AX218"/>
  <c r="AW218"/>
  <c r="AV218"/>
  <c r="AC218"/>
  <c r="G218" s="1"/>
  <c r="H218"/>
  <c r="BT217"/>
  <c r="BS217"/>
  <c r="BR217"/>
  <c r="BQ217"/>
  <c r="BP217"/>
  <c r="BO217"/>
  <c r="BN217"/>
  <c r="BM217"/>
  <c r="BL217" s="1"/>
  <c r="BK217"/>
  <c r="BJ217"/>
  <c r="BI217"/>
  <c r="BH217"/>
  <c r="BG217"/>
  <c r="BF217"/>
  <c r="BE217"/>
  <c r="BD217"/>
  <c r="BC217"/>
  <c r="BB217"/>
  <c r="BA217"/>
  <c r="AZ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G216" s="1"/>
  <c r="H216"/>
  <c r="BT215"/>
  <c r="BS215"/>
  <c r="BR215"/>
  <c r="BQ215"/>
  <c r="BP215"/>
  <c r="BO215"/>
  <c r="BN215"/>
  <c r="BM215"/>
  <c r="BL215" s="1"/>
  <c r="BK215"/>
  <c r="BJ215"/>
  <c r="BI215"/>
  <c r="BH215"/>
  <c r="BG215"/>
  <c r="BF215"/>
  <c r="BE215"/>
  <c r="BD215"/>
  <c r="BC215"/>
  <c r="BB215"/>
  <c r="BA215"/>
  <c r="AZ215" s="1"/>
  <c r="AX215"/>
  <c r="AW215"/>
  <c r="AV215"/>
  <c r="AC215"/>
  <c r="H215"/>
  <c r="G215" s="1"/>
  <c r="BT214"/>
  <c r="BS214"/>
  <c r="BR214"/>
  <c r="BQ214"/>
  <c r="BP214"/>
  <c r="BO214"/>
  <c r="BN214"/>
  <c r="BM214"/>
  <c r="BL214"/>
  <c r="BK214"/>
  <c r="BJ214"/>
  <c r="BI214"/>
  <c r="BH214"/>
  <c r="BG214"/>
  <c r="BF214"/>
  <c r="BE214"/>
  <c r="BD214"/>
  <c r="BC214"/>
  <c r="BB214"/>
  <c r="BA214" s="1"/>
  <c r="AZ214" s="1"/>
  <c r="AX214"/>
  <c r="AW214"/>
  <c r="AV214"/>
  <c r="AC214"/>
  <c r="G214" s="1"/>
  <c r="H214"/>
  <c r="BT213"/>
  <c r="BS213"/>
  <c r="BR213"/>
  <c r="BQ213"/>
  <c r="BP213"/>
  <c r="BO213"/>
  <c r="BN213"/>
  <c r="BM213"/>
  <c r="BL213" s="1"/>
  <c r="BK213"/>
  <c r="BJ213"/>
  <c r="BI213"/>
  <c r="BH213"/>
  <c r="BG213"/>
  <c r="BF213"/>
  <c r="BE213"/>
  <c r="BD213"/>
  <c r="BC213"/>
  <c r="BA213" s="1"/>
  <c r="AZ213" s="1"/>
  <c r="BB213"/>
  <c r="AX213"/>
  <c r="AW213"/>
  <c r="AV213"/>
  <c r="AC213"/>
  <c r="H213"/>
  <c r="G213" s="1"/>
  <c r="BT212"/>
  <c r="BS212"/>
  <c r="BR212"/>
  <c r="BQ212"/>
  <c r="BP212"/>
  <c r="BO212"/>
  <c r="BN212"/>
  <c r="BM212"/>
  <c r="BL212"/>
  <c r="BK212"/>
  <c r="BJ212"/>
  <c r="BI212"/>
  <c r="BH212"/>
  <c r="BG212"/>
  <c r="BF212"/>
  <c r="BE212"/>
  <c r="BD212"/>
  <c r="BC212"/>
  <c r="BB212"/>
  <c r="BA212" s="1"/>
  <c r="AZ212" s="1"/>
  <c r="AX212"/>
  <c r="AW212"/>
  <c r="AV212"/>
  <c r="AC212"/>
  <c r="G212" s="1"/>
  <c r="H212"/>
  <c r="BT211"/>
  <c r="BS211"/>
  <c r="BR211"/>
  <c r="BQ211"/>
  <c r="BP211"/>
  <c r="BO211"/>
  <c r="BN211"/>
  <c r="BM211"/>
  <c r="BL211" s="1"/>
  <c r="BK211"/>
  <c r="BJ211"/>
  <c r="BI211"/>
  <c r="BH211"/>
  <c r="BG211"/>
  <c r="BF211"/>
  <c r="BE211"/>
  <c r="BD211"/>
  <c r="BC211"/>
  <c r="BB211"/>
  <c r="BA211"/>
  <c r="AX211"/>
  <c r="AW211"/>
  <c r="AV211"/>
  <c r="AC211"/>
  <c r="H211"/>
  <c r="G211" s="1"/>
  <c r="BT210"/>
  <c r="BS210"/>
  <c r="BR210"/>
  <c r="BQ210"/>
  <c r="BP210"/>
  <c r="BO210"/>
  <c r="BN210"/>
  <c r="BM210"/>
  <c r="BL210"/>
  <c r="BK210"/>
  <c r="BJ210"/>
  <c r="BI210"/>
  <c r="BH210"/>
  <c r="BG210"/>
  <c r="BF210"/>
  <c r="BE210"/>
  <c r="BD210"/>
  <c r="BC210"/>
  <c r="BB210"/>
  <c r="BA210" s="1"/>
  <c r="AZ210" s="1"/>
  <c r="AX210"/>
  <c r="AW210"/>
  <c r="AV210"/>
  <c r="AC210"/>
  <c r="G210" s="1"/>
  <c r="H210"/>
  <c r="BT209"/>
  <c r="BS209"/>
  <c r="BR209"/>
  <c r="BQ209"/>
  <c r="BP209"/>
  <c r="BO209"/>
  <c r="BN209"/>
  <c r="BM209"/>
  <c r="BL209" s="1"/>
  <c r="BK209"/>
  <c r="BJ209"/>
  <c r="BI209"/>
  <c r="BH209"/>
  <c r="BG209"/>
  <c r="BF209"/>
  <c r="BE209"/>
  <c r="BD209"/>
  <c r="BC209"/>
  <c r="BB209"/>
  <c r="BA209"/>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G208" s="1"/>
  <c r="H208"/>
  <c r="BT207"/>
  <c r="BS207"/>
  <c r="BR207"/>
  <c r="BQ207"/>
  <c r="BP207"/>
  <c r="BO207"/>
  <c r="BN207"/>
  <c r="BM207"/>
  <c r="BL207" s="1"/>
  <c r="BK207"/>
  <c r="BJ207"/>
  <c r="BI207"/>
  <c r="BH207"/>
  <c r="BG207"/>
  <c r="BF207"/>
  <c r="BE207"/>
  <c r="BD207"/>
  <c r="BC207"/>
  <c r="BB207"/>
  <c r="BA207"/>
  <c r="AX207"/>
  <c r="AW207"/>
  <c r="AV207"/>
  <c r="AC207"/>
  <c r="H207"/>
  <c r="G207" s="1"/>
  <c r="BT206"/>
  <c r="BS206"/>
  <c r="BR206"/>
  <c r="BQ206"/>
  <c r="BP206"/>
  <c r="BO206"/>
  <c r="BN206"/>
  <c r="BM206"/>
  <c r="BL206"/>
  <c r="BK206"/>
  <c r="BJ206"/>
  <c r="BI206"/>
  <c r="BH206"/>
  <c r="BG206"/>
  <c r="BF206"/>
  <c r="BE206"/>
  <c r="BD206"/>
  <c r="BC206"/>
  <c r="BB206"/>
  <c r="BA206" s="1"/>
  <c r="AZ206" s="1"/>
  <c r="AX206"/>
  <c r="AW206"/>
  <c r="AV206"/>
  <c r="AC206"/>
  <c r="G206" s="1"/>
  <c r="H206"/>
  <c r="BT205"/>
  <c r="BS205"/>
  <c r="BR205"/>
  <c r="BQ205"/>
  <c r="BP205"/>
  <c r="BO205"/>
  <c r="BN205"/>
  <c r="BM205"/>
  <c r="BL205" s="1"/>
  <c r="BK205"/>
  <c r="BJ205"/>
  <c r="BI205"/>
  <c r="BH205"/>
  <c r="BG205"/>
  <c r="BF205"/>
  <c r="BE205"/>
  <c r="BD205"/>
  <c r="BC205"/>
  <c r="BB205"/>
  <c r="BA205"/>
  <c r="AX205"/>
  <c r="AW205"/>
  <c r="AV205"/>
  <c r="AC205"/>
  <c r="H205"/>
  <c r="G205" s="1"/>
  <c r="BT204"/>
  <c r="BS204"/>
  <c r="BR204"/>
  <c r="BQ204"/>
  <c r="BP204"/>
  <c r="BO204"/>
  <c r="BN204"/>
  <c r="BM204"/>
  <c r="BL204"/>
  <c r="BK204"/>
  <c r="BJ204"/>
  <c r="BI204"/>
  <c r="BH204"/>
  <c r="BG204"/>
  <c r="BF204"/>
  <c r="BE204"/>
  <c r="BD204"/>
  <c r="BC204"/>
  <c r="BB204"/>
  <c r="BA204" s="1"/>
  <c r="AZ204" s="1"/>
  <c r="AX204"/>
  <c r="AW204"/>
  <c r="AV204"/>
  <c r="AC204"/>
  <c r="G204" s="1"/>
  <c r="H204"/>
  <c r="BT203"/>
  <c r="BS203"/>
  <c r="BR203"/>
  <c r="BQ203"/>
  <c r="BP203"/>
  <c r="BO203"/>
  <c r="BN203"/>
  <c r="BM203"/>
  <c r="BL203" s="1"/>
  <c r="BK203"/>
  <c r="BJ203"/>
  <c r="BI203"/>
  <c r="BH203"/>
  <c r="BG203"/>
  <c r="BF203"/>
  <c r="BE203"/>
  <c r="BD203"/>
  <c r="BC203"/>
  <c r="BB203"/>
  <c r="BA203"/>
  <c r="AX203"/>
  <c r="AW203"/>
  <c r="AV203"/>
  <c r="AC203"/>
  <c r="H203"/>
  <c r="G203" s="1"/>
  <c r="BT202"/>
  <c r="BS202"/>
  <c r="BR202"/>
  <c r="BQ202"/>
  <c r="BP202"/>
  <c r="BO202"/>
  <c r="BN202"/>
  <c r="BM202"/>
  <c r="BL202"/>
  <c r="BK202"/>
  <c r="BJ202"/>
  <c r="BI202"/>
  <c r="BH202"/>
  <c r="BG202"/>
  <c r="BF202"/>
  <c r="BE202"/>
  <c r="BD202"/>
  <c r="BC202"/>
  <c r="BB202"/>
  <c r="BA202" s="1"/>
  <c r="AZ202" s="1"/>
  <c r="AX202"/>
  <c r="AW202"/>
  <c r="AV202"/>
  <c r="AC202"/>
  <c r="G202" s="1"/>
  <c r="H202"/>
  <c r="BT201"/>
  <c r="BS201"/>
  <c r="BR201"/>
  <c r="BQ201"/>
  <c r="BP201"/>
  <c r="BO201"/>
  <c r="BN201"/>
  <c r="BM201"/>
  <c r="BL201" s="1"/>
  <c r="BK201"/>
  <c r="BJ201"/>
  <c r="BI201"/>
  <c r="BH201"/>
  <c r="BG201"/>
  <c r="BF201"/>
  <c r="BE201"/>
  <c r="BD201"/>
  <c r="BC201"/>
  <c r="BB201"/>
  <c r="BA201"/>
  <c r="AX201"/>
  <c r="AW201"/>
  <c r="AV201"/>
  <c r="AC201"/>
  <c r="H201"/>
  <c r="G201" s="1"/>
  <c r="BT200"/>
  <c r="BS200"/>
  <c r="BR200"/>
  <c r="BQ200"/>
  <c r="BP200"/>
  <c r="BO200"/>
  <c r="BN200"/>
  <c r="BM200"/>
  <c r="BL200"/>
  <c r="BK200"/>
  <c r="BJ200"/>
  <c r="BI200"/>
  <c r="BH200"/>
  <c r="BG200"/>
  <c r="BF200"/>
  <c r="BE200"/>
  <c r="BD200"/>
  <c r="BC200"/>
  <c r="BB200"/>
  <c r="BA200" s="1"/>
  <c r="AZ200" s="1"/>
  <c r="AX200"/>
  <c r="AW200"/>
  <c r="AV200"/>
  <c r="AC200"/>
  <c r="G200" s="1"/>
  <c r="H200"/>
  <c r="BT199"/>
  <c r="BS199"/>
  <c r="BR199"/>
  <c r="BQ199"/>
  <c r="BP199"/>
  <c r="BO199"/>
  <c r="BN199"/>
  <c r="BM199"/>
  <c r="BL199" s="1"/>
  <c r="BK199"/>
  <c r="BJ199"/>
  <c r="BI199"/>
  <c r="BH199"/>
  <c r="BG199"/>
  <c r="BF199"/>
  <c r="BE199"/>
  <c r="BD199"/>
  <c r="BC199"/>
  <c r="BA199" s="1"/>
  <c r="BB199"/>
  <c r="AX199"/>
  <c r="AW199"/>
  <c r="AV199"/>
  <c r="AC199"/>
  <c r="H199"/>
  <c r="G199" s="1"/>
  <c r="BT198"/>
  <c r="BS198"/>
  <c r="BR198"/>
  <c r="BQ198"/>
  <c r="BP198"/>
  <c r="BO198"/>
  <c r="BN198"/>
  <c r="BM198"/>
  <c r="BL198"/>
  <c r="BK198"/>
  <c r="BJ198"/>
  <c r="BI198"/>
  <c r="BH198"/>
  <c r="BG198"/>
  <c r="BF198"/>
  <c r="BE198"/>
  <c r="BD198"/>
  <c r="BC198"/>
  <c r="BB198"/>
  <c r="BA198" s="1"/>
  <c r="AZ198" s="1"/>
  <c r="AX198"/>
  <c r="AW198"/>
  <c r="AV198"/>
  <c r="AC198"/>
  <c r="G198" s="1"/>
  <c r="H198"/>
  <c r="BT197"/>
  <c r="BS197"/>
  <c r="BR197"/>
  <c r="BQ197"/>
  <c r="BP197"/>
  <c r="BO197"/>
  <c r="BN197"/>
  <c r="BM197"/>
  <c r="BL197" s="1"/>
  <c r="BK197"/>
  <c r="BJ197"/>
  <c r="BI197"/>
  <c r="BH197"/>
  <c r="BG197"/>
  <c r="BF197"/>
  <c r="BE197"/>
  <c r="BD197"/>
  <c r="BC197"/>
  <c r="BB197"/>
  <c r="BA197"/>
  <c r="AZ197" s="1"/>
  <c r="AX197"/>
  <c r="AW197"/>
  <c r="AV197"/>
  <c r="AC197"/>
  <c r="H197"/>
  <c r="G197" s="1"/>
  <c r="BT196"/>
  <c r="BS196"/>
  <c r="BR196"/>
  <c r="BQ196"/>
  <c r="BP196"/>
  <c r="BO196"/>
  <c r="BN196"/>
  <c r="BM196"/>
  <c r="BL196"/>
  <c r="BK196"/>
  <c r="BJ196"/>
  <c r="BI196"/>
  <c r="BH196"/>
  <c r="BG196"/>
  <c r="BF196"/>
  <c r="BE196"/>
  <c r="BD196"/>
  <c r="BC196"/>
  <c r="BB196"/>
  <c r="BA196" s="1"/>
  <c r="AZ196" s="1"/>
  <c r="AX196"/>
  <c r="AW196"/>
  <c r="AV196"/>
  <c r="AC196"/>
  <c r="G196" s="1"/>
  <c r="H196"/>
  <c r="BT195"/>
  <c r="BS195"/>
  <c r="BR195"/>
  <c r="BQ195"/>
  <c r="BP195"/>
  <c r="BO195"/>
  <c r="BN195"/>
  <c r="BM195"/>
  <c r="BL195" s="1"/>
  <c r="BK195"/>
  <c r="BJ195"/>
  <c r="BI195"/>
  <c r="BH195"/>
  <c r="BG195"/>
  <c r="BF195"/>
  <c r="BE195"/>
  <c r="BD195"/>
  <c r="BC195"/>
  <c r="BB195"/>
  <c r="BA195"/>
  <c r="AZ195" s="1"/>
  <c r="AX195"/>
  <c r="AW195"/>
  <c r="AV195"/>
  <c r="AC195"/>
  <c r="H195"/>
  <c r="G195" s="1"/>
  <c r="BT194"/>
  <c r="BS194"/>
  <c r="BR194"/>
  <c r="BQ194"/>
  <c r="BP194"/>
  <c r="BO194"/>
  <c r="BN194"/>
  <c r="BM194"/>
  <c r="BL194"/>
  <c r="BK194"/>
  <c r="BJ194"/>
  <c r="BI194"/>
  <c r="BH194"/>
  <c r="BG194"/>
  <c r="BF194"/>
  <c r="BE194"/>
  <c r="BD194"/>
  <c r="BC194"/>
  <c r="BB194"/>
  <c r="BA194" s="1"/>
  <c r="AZ194" s="1"/>
  <c r="AX194"/>
  <c r="AW194"/>
  <c r="AV194"/>
  <c r="AC194"/>
  <c r="G194" s="1"/>
  <c r="H194"/>
  <c r="BT193"/>
  <c r="BS193"/>
  <c r="BR193"/>
  <c r="BQ193"/>
  <c r="BP193"/>
  <c r="BO193"/>
  <c r="BN193"/>
  <c r="BM193"/>
  <c r="BL193" s="1"/>
  <c r="BK193"/>
  <c r="BJ193"/>
  <c r="BI193"/>
  <c r="BH193"/>
  <c r="BG193"/>
  <c r="BF193"/>
  <c r="BE193"/>
  <c r="BD193"/>
  <c r="BC193"/>
  <c r="BB193"/>
  <c r="BA193"/>
  <c r="AZ193" s="1"/>
  <c r="AX193"/>
  <c r="AW193"/>
  <c r="AV193"/>
  <c r="AC193"/>
  <c r="H193"/>
  <c r="G193" s="1"/>
  <c r="BT192"/>
  <c r="BS192"/>
  <c r="BR192"/>
  <c r="BQ192"/>
  <c r="BP192"/>
  <c r="BO192"/>
  <c r="BN192"/>
  <c r="BM192"/>
  <c r="BL192"/>
  <c r="BK192"/>
  <c r="BJ192"/>
  <c r="BI192"/>
  <c r="BH192"/>
  <c r="BG192"/>
  <c r="BF192"/>
  <c r="BE192"/>
  <c r="BD192"/>
  <c r="BC192"/>
  <c r="BB192"/>
  <c r="BA192" s="1"/>
  <c r="AZ192" s="1"/>
  <c r="AX192"/>
  <c r="AW192"/>
  <c r="AV192"/>
  <c r="AC192"/>
  <c r="G192" s="1"/>
  <c r="H192"/>
  <c r="BT191"/>
  <c r="BS191"/>
  <c r="BR191"/>
  <c r="BQ191"/>
  <c r="BP191"/>
  <c r="BO191"/>
  <c r="BN191"/>
  <c r="BM191"/>
  <c r="BL191" s="1"/>
  <c r="BK191"/>
  <c r="BJ191"/>
  <c r="BI191"/>
  <c r="BH191"/>
  <c r="BG191"/>
  <c r="BF191"/>
  <c r="BE191"/>
  <c r="BD191"/>
  <c r="BC191"/>
  <c r="BB191"/>
  <c r="BA191"/>
  <c r="AZ191" s="1"/>
  <c r="AX191"/>
  <c r="AW191"/>
  <c r="AV191"/>
  <c r="AC191"/>
  <c r="H191"/>
  <c r="G191" s="1"/>
  <c r="BT190"/>
  <c r="BS190"/>
  <c r="BR190"/>
  <c r="BQ190"/>
  <c r="BP190"/>
  <c r="BO190"/>
  <c r="BN190"/>
  <c r="BM190"/>
  <c r="BL190"/>
  <c r="BK190"/>
  <c r="BJ190"/>
  <c r="BI190"/>
  <c r="BH190"/>
  <c r="BG190"/>
  <c r="BF190"/>
  <c r="BE190"/>
  <c r="BD190"/>
  <c r="BC190"/>
  <c r="BB190"/>
  <c r="BA190" s="1"/>
  <c r="AZ190" s="1"/>
  <c r="AX190"/>
  <c r="AW190"/>
  <c r="AV190"/>
  <c r="AC190"/>
  <c r="G190" s="1"/>
  <c r="H190"/>
  <c r="BT189"/>
  <c r="BS189"/>
  <c r="BR189"/>
  <c r="BQ189"/>
  <c r="BP189"/>
  <c r="BO189"/>
  <c r="BN189"/>
  <c r="BM189"/>
  <c r="BL189" s="1"/>
  <c r="BK189"/>
  <c r="BJ189"/>
  <c r="BI189"/>
  <c r="BH189"/>
  <c r="BG189"/>
  <c r="BF189"/>
  <c r="BE189"/>
  <c r="BD189"/>
  <c r="BC189"/>
  <c r="BA189" s="1"/>
  <c r="AZ189" s="1"/>
  <c r="BB189"/>
  <c r="AX189"/>
  <c r="AW189"/>
  <c r="AV189"/>
  <c r="AC189"/>
  <c r="H189"/>
  <c r="G189" s="1"/>
  <c r="BT188"/>
  <c r="BS188"/>
  <c r="BR188"/>
  <c r="BQ188"/>
  <c r="BP188"/>
  <c r="BO188"/>
  <c r="BN188"/>
  <c r="BM188"/>
  <c r="BL188"/>
  <c r="BK188"/>
  <c r="BJ188"/>
  <c r="BI188"/>
  <c r="BH188"/>
  <c r="BG188"/>
  <c r="BF188"/>
  <c r="BE188"/>
  <c r="BD188"/>
  <c r="BC188"/>
  <c r="BB188"/>
  <c r="BA188" s="1"/>
  <c r="AZ188" s="1"/>
  <c r="AX188"/>
  <c r="AW188"/>
  <c r="AV188"/>
  <c r="AC188"/>
  <c r="G188" s="1"/>
  <c r="H188"/>
  <c r="BT187"/>
  <c r="BS187"/>
  <c r="BR187"/>
  <c r="BQ187"/>
  <c r="BP187"/>
  <c r="BO187"/>
  <c r="BN187"/>
  <c r="BM187"/>
  <c r="BL187" s="1"/>
  <c r="BK187"/>
  <c r="BJ187"/>
  <c r="BI187"/>
  <c r="BH187"/>
  <c r="BG187"/>
  <c r="BF187"/>
  <c r="BE187"/>
  <c r="BD187"/>
  <c r="BC187"/>
  <c r="BB187"/>
  <c r="BA187"/>
  <c r="AX187"/>
  <c r="AW187"/>
  <c r="AV187"/>
  <c r="AC187"/>
  <c r="H187"/>
  <c r="G187" s="1"/>
  <c r="BT186"/>
  <c r="BS186"/>
  <c r="BR186"/>
  <c r="BQ186"/>
  <c r="BP186"/>
  <c r="BO186"/>
  <c r="BN186"/>
  <c r="BM186"/>
  <c r="BL186"/>
  <c r="BK186"/>
  <c r="BJ186"/>
  <c r="BI186"/>
  <c r="BH186"/>
  <c r="BG186"/>
  <c r="BF186"/>
  <c r="BE186"/>
  <c r="BD186"/>
  <c r="BC186"/>
  <c r="BB186"/>
  <c r="BA186" s="1"/>
  <c r="AZ186" s="1"/>
  <c r="AX186"/>
  <c r="AW186"/>
  <c r="AV186"/>
  <c r="AC186"/>
  <c r="G186" s="1"/>
  <c r="H186"/>
  <c r="BT185"/>
  <c r="BS185"/>
  <c r="BR185"/>
  <c r="BQ185"/>
  <c r="BP185"/>
  <c r="BO185"/>
  <c r="BN185"/>
  <c r="BM185"/>
  <c r="BL185" s="1"/>
  <c r="BK185"/>
  <c r="BJ185"/>
  <c r="BI185"/>
  <c r="BH185"/>
  <c r="BG185"/>
  <c r="BF185"/>
  <c r="BE185"/>
  <c r="BD185"/>
  <c r="BC185"/>
  <c r="BB185"/>
  <c r="BA185"/>
  <c r="AX185"/>
  <c r="AW185"/>
  <c r="AV185"/>
  <c r="AC185"/>
  <c r="H185"/>
  <c r="G185" s="1"/>
  <c r="BT184"/>
  <c r="BS184"/>
  <c r="BR184"/>
  <c r="BQ184"/>
  <c r="BP184"/>
  <c r="BO184"/>
  <c r="BN184"/>
  <c r="BM184"/>
  <c r="BL184"/>
  <c r="BK184"/>
  <c r="BJ184"/>
  <c r="BI184"/>
  <c r="BH184"/>
  <c r="BG184"/>
  <c r="BF184"/>
  <c r="BE184"/>
  <c r="BD184"/>
  <c r="BC184"/>
  <c r="BB184"/>
  <c r="BA184" s="1"/>
  <c r="AZ184" s="1"/>
  <c r="AX184"/>
  <c r="AW184"/>
  <c r="AV184"/>
  <c r="AC184"/>
  <c r="G184" s="1"/>
  <c r="H184"/>
  <c r="BT183"/>
  <c r="BS183"/>
  <c r="BR183"/>
  <c r="BQ183"/>
  <c r="BP183"/>
  <c r="BO183"/>
  <c r="BN183"/>
  <c r="BM183"/>
  <c r="BL183" s="1"/>
  <c r="BK183"/>
  <c r="BJ183"/>
  <c r="BI183"/>
  <c r="BH183"/>
  <c r="BG183"/>
  <c r="BF183"/>
  <c r="BE183"/>
  <c r="BD183"/>
  <c r="BC183"/>
  <c r="BB183"/>
  <c r="BA183"/>
  <c r="AX183"/>
  <c r="AW183"/>
  <c r="AV183"/>
  <c r="AC183"/>
  <c r="H183"/>
  <c r="G183" s="1"/>
  <c r="BT182"/>
  <c r="BS182"/>
  <c r="BR182"/>
  <c r="BQ182"/>
  <c r="BP182"/>
  <c r="BO182"/>
  <c r="BN182"/>
  <c r="BM182"/>
  <c r="BL182"/>
  <c r="BK182"/>
  <c r="BJ182"/>
  <c r="BI182"/>
  <c r="BH182"/>
  <c r="BG182"/>
  <c r="BF182"/>
  <c r="BE182"/>
  <c r="BD182"/>
  <c r="BC182"/>
  <c r="BB182"/>
  <c r="BA182" s="1"/>
  <c r="AZ182" s="1"/>
  <c r="AX182"/>
  <c r="AW182"/>
  <c r="AV182"/>
  <c r="AC182"/>
  <c r="G182" s="1"/>
  <c r="H182"/>
  <c r="BT181"/>
  <c r="BS181"/>
  <c r="BR181"/>
  <c r="BQ181"/>
  <c r="BP181"/>
  <c r="BO181"/>
  <c r="BN181"/>
  <c r="BM181"/>
  <c r="BL181" s="1"/>
  <c r="BK181"/>
  <c r="BJ181"/>
  <c r="BI181"/>
  <c r="BH181"/>
  <c r="BG181"/>
  <c r="BF181"/>
  <c r="BE181"/>
  <c r="BD181"/>
  <c r="BC181"/>
  <c r="BB181"/>
  <c r="BA181"/>
  <c r="AX181"/>
  <c r="AW181"/>
  <c r="AV181"/>
  <c r="AC181"/>
  <c r="H181"/>
  <c r="G181" s="1"/>
  <c r="BT180"/>
  <c r="BS180"/>
  <c r="BR180"/>
  <c r="BQ180"/>
  <c r="BP180"/>
  <c r="BO180"/>
  <c r="BN180"/>
  <c r="BM180"/>
  <c r="BL180"/>
  <c r="BK180"/>
  <c r="BJ180"/>
  <c r="BI180"/>
  <c r="BH180"/>
  <c r="BG180"/>
  <c r="BF180"/>
  <c r="BE180"/>
  <c r="BD180"/>
  <c r="BC180"/>
  <c r="BB180"/>
  <c r="BA180" s="1"/>
  <c r="AZ180" s="1"/>
  <c r="AX180"/>
  <c r="AW180"/>
  <c r="AV180"/>
  <c r="AC180"/>
  <c r="G180" s="1"/>
  <c r="H180"/>
  <c r="BT179"/>
  <c r="BS179"/>
  <c r="BR179"/>
  <c r="BQ179"/>
  <c r="BP179"/>
  <c r="BO179"/>
  <c r="BN179"/>
  <c r="BM179"/>
  <c r="BL179" s="1"/>
  <c r="BK179"/>
  <c r="BJ179"/>
  <c r="BI179"/>
  <c r="BH179"/>
  <c r="BG179"/>
  <c r="BF179"/>
  <c r="BE179"/>
  <c r="BD179"/>
  <c r="BC179"/>
  <c r="BB179"/>
  <c r="BA179"/>
  <c r="AX179"/>
  <c r="AW179"/>
  <c r="AV179"/>
  <c r="AC179"/>
  <c r="H179"/>
  <c r="G179" s="1"/>
  <c r="BT178"/>
  <c r="BS178"/>
  <c r="BR178"/>
  <c r="BQ178"/>
  <c r="BP178"/>
  <c r="BO178"/>
  <c r="BN178"/>
  <c r="BM178"/>
  <c r="BL178"/>
  <c r="BK178"/>
  <c r="BJ178"/>
  <c r="BI178"/>
  <c r="BH178"/>
  <c r="BG178"/>
  <c r="BF178"/>
  <c r="BE178"/>
  <c r="BD178"/>
  <c r="BC178"/>
  <c r="BB178"/>
  <c r="BA178" s="1"/>
  <c r="AZ178" s="1"/>
  <c r="AX178"/>
  <c r="AW178"/>
  <c r="AV178"/>
  <c r="AC178"/>
  <c r="G178" s="1"/>
  <c r="H178"/>
  <c r="BT177"/>
  <c r="BS177"/>
  <c r="BR177"/>
  <c r="BQ177"/>
  <c r="BP177"/>
  <c r="BO177"/>
  <c r="BN177"/>
  <c r="BM177"/>
  <c r="BL177" s="1"/>
  <c r="BK177"/>
  <c r="BJ177"/>
  <c r="BI177"/>
  <c r="BH177"/>
  <c r="BG177"/>
  <c r="BF177"/>
  <c r="BE177"/>
  <c r="BD177"/>
  <c r="BC177"/>
  <c r="BB177"/>
  <c r="BA177"/>
  <c r="AX177"/>
  <c r="AW177"/>
  <c r="AV177"/>
  <c r="AC177"/>
  <c r="H177"/>
  <c r="G177" s="1"/>
  <c r="BT176"/>
  <c r="BS176"/>
  <c r="BR176"/>
  <c r="BQ176"/>
  <c r="BP176"/>
  <c r="BO176"/>
  <c r="BN176"/>
  <c r="BM176"/>
  <c r="BL176"/>
  <c r="BK176"/>
  <c r="BJ176"/>
  <c r="BI176"/>
  <c r="BH176"/>
  <c r="BG176"/>
  <c r="BF176"/>
  <c r="BE176"/>
  <c r="BD176"/>
  <c r="BC176"/>
  <c r="BB176"/>
  <c r="BA176" s="1"/>
  <c r="AZ176" s="1"/>
  <c r="AX176"/>
  <c r="AW176"/>
  <c r="AV176"/>
  <c r="AC176"/>
  <c r="G176" s="1"/>
  <c r="H176"/>
  <c r="BT175"/>
  <c r="BS175"/>
  <c r="BR175"/>
  <c r="BQ175"/>
  <c r="BP175"/>
  <c r="BO175"/>
  <c r="BN175"/>
  <c r="BM175"/>
  <c r="BL175" s="1"/>
  <c r="BK175"/>
  <c r="BJ175"/>
  <c r="BI175"/>
  <c r="BH175"/>
  <c r="BG175"/>
  <c r="BF175"/>
  <c r="BE175"/>
  <c r="BD175"/>
  <c r="BC175"/>
  <c r="BB175"/>
  <c r="BA175"/>
  <c r="AX175"/>
  <c r="AW175"/>
  <c r="AV175"/>
  <c r="AC175"/>
  <c r="H175"/>
  <c r="G175" s="1"/>
  <c r="BT174"/>
  <c r="BS174"/>
  <c r="BR174"/>
  <c r="BQ174"/>
  <c r="BP174"/>
  <c r="BO174"/>
  <c r="BN174"/>
  <c r="BM174"/>
  <c r="BL174"/>
  <c r="BK174"/>
  <c r="BJ174"/>
  <c r="BI174"/>
  <c r="BH174"/>
  <c r="BG174"/>
  <c r="BF174"/>
  <c r="BE174"/>
  <c r="BD174"/>
  <c r="BC174"/>
  <c r="BB174"/>
  <c r="BA174" s="1"/>
  <c r="AZ174" s="1"/>
  <c r="AX174"/>
  <c r="AW174"/>
  <c r="AV174"/>
  <c r="AC174"/>
  <c r="G174" s="1"/>
  <c r="H174"/>
  <c r="BT173"/>
  <c r="BS173"/>
  <c r="BR173"/>
  <c r="BQ173"/>
  <c r="BP173"/>
  <c r="BO173"/>
  <c r="BN173"/>
  <c r="BM173"/>
  <c r="BL173" s="1"/>
  <c r="BK173"/>
  <c r="BJ173"/>
  <c r="BI173"/>
  <c r="BH173"/>
  <c r="BG173"/>
  <c r="BF173"/>
  <c r="BE173"/>
  <c r="BD173"/>
  <c r="BC173"/>
  <c r="BB173"/>
  <c r="BA173"/>
  <c r="AX173"/>
  <c r="AW173"/>
  <c r="AV173"/>
  <c r="AC173"/>
  <c r="H173"/>
  <c r="G173" s="1"/>
  <c r="BT172"/>
  <c r="BS172"/>
  <c r="BR172"/>
  <c r="BQ172"/>
  <c r="BP172"/>
  <c r="BO172"/>
  <c r="BN172"/>
  <c r="BM172"/>
  <c r="BL172"/>
  <c r="BK172"/>
  <c r="BJ172"/>
  <c r="BI172"/>
  <c r="BH172"/>
  <c r="BG172"/>
  <c r="BF172"/>
  <c r="BE172"/>
  <c r="BD172"/>
  <c r="BC172"/>
  <c r="BB172"/>
  <c r="BA172" s="1"/>
  <c r="AZ172" s="1"/>
  <c r="AX172"/>
  <c r="AW172"/>
  <c r="AV172"/>
  <c r="AC172"/>
  <c r="G172" s="1"/>
  <c r="H172"/>
  <c r="BT171"/>
  <c r="BS171"/>
  <c r="BR171"/>
  <c r="BQ171"/>
  <c r="BP171"/>
  <c r="BO171"/>
  <c r="BN171"/>
  <c r="BM171"/>
  <c r="BL171" s="1"/>
  <c r="BK171"/>
  <c r="BJ171"/>
  <c r="BI171"/>
  <c r="BH171"/>
  <c r="BG171"/>
  <c r="BF171"/>
  <c r="BE171"/>
  <c r="BD171"/>
  <c r="BC171"/>
  <c r="BB171"/>
  <c r="BA171"/>
  <c r="AX171"/>
  <c r="AW171"/>
  <c r="AV171"/>
  <c r="AC171"/>
  <c r="H171"/>
  <c r="G171" s="1"/>
  <c r="BT170"/>
  <c r="BS170"/>
  <c r="BR170"/>
  <c r="BQ170"/>
  <c r="BP170"/>
  <c r="BO170"/>
  <c r="BN170"/>
  <c r="BM170"/>
  <c r="BL170"/>
  <c r="BK170"/>
  <c r="BJ170"/>
  <c r="BI170"/>
  <c r="BH170"/>
  <c r="BG170"/>
  <c r="BF170"/>
  <c r="BE170"/>
  <c r="BD170"/>
  <c r="BC170"/>
  <c r="BB170"/>
  <c r="BA170" s="1"/>
  <c r="AZ170" s="1"/>
  <c r="AX170"/>
  <c r="AW170"/>
  <c r="AV170"/>
  <c r="AC170"/>
  <c r="G170" s="1"/>
  <c r="H170"/>
  <c r="BT169"/>
  <c r="BS169"/>
  <c r="BR169"/>
  <c r="BQ169"/>
  <c r="BP169"/>
  <c r="BO169"/>
  <c r="BN169"/>
  <c r="BM169"/>
  <c r="BL169" s="1"/>
  <c r="BK169"/>
  <c r="BJ169"/>
  <c r="BI169"/>
  <c r="BH169"/>
  <c r="BG169"/>
  <c r="BF169"/>
  <c r="BE169"/>
  <c r="BD169"/>
  <c r="BC169"/>
  <c r="BB169"/>
  <c r="BA169"/>
  <c r="AX169"/>
  <c r="AW169"/>
  <c r="AV169"/>
  <c r="AC169"/>
  <c r="H169"/>
  <c r="G169" s="1"/>
  <c r="BT168"/>
  <c r="BS168"/>
  <c r="BR168"/>
  <c r="BQ168"/>
  <c r="BP168"/>
  <c r="BO168"/>
  <c r="BN168"/>
  <c r="BM168"/>
  <c r="BL168"/>
  <c r="BK168"/>
  <c r="BJ168"/>
  <c r="BI168"/>
  <c r="BH168"/>
  <c r="BG168"/>
  <c r="BF168"/>
  <c r="BE168"/>
  <c r="BD168"/>
  <c r="BC168"/>
  <c r="BB168"/>
  <c r="BA168" s="1"/>
  <c r="AZ168" s="1"/>
  <c r="AX168"/>
  <c r="AW168"/>
  <c r="AV168"/>
  <c r="AC168"/>
  <c r="G168" s="1"/>
  <c r="H168"/>
  <c r="BT167"/>
  <c r="BS167"/>
  <c r="BR167"/>
  <c r="BQ167"/>
  <c r="BP167"/>
  <c r="BO167"/>
  <c r="BN167"/>
  <c r="BM167"/>
  <c r="BL167" s="1"/>
  <c r="BK167"/>
  <c r="BJ167"/>
  <c r="BI167"/>
  <c r="BH167"/>
  <c r="BG167"/>
  <c r="BF167"/>
  <c r="BE167"/>
  <c r="BD167"/>
  <c r="BC167"/>
  <c r="BA167" s="1"/>
  <c r="BB167"/>
  <c r="AX167"/>
  <c r="AW167"/>
  <c r="AV167"/>
  <c r="AC167"/>
  <c r="H167"/>
  <c r="G167" s="1"/>
  <c r="BT166"/>
  <c r="BS166"/>
  <c r="BR166"/>
  <c r="BQ166"/>
  <c r="BP166"/>
  <c r="BO166"/>
  <c r="BN166"/>
  <c r="BM166"/>
  <c r="BL166"/>
  <c r="BK166"/>
  <c r="BJ166"/>
  <c r="BI166"/>
  <c r="BH166"/>
  <c r="BG166"/>
  <c r="BF166"/>
  <c r="BE166"/>
  <c r="BD166"/>
  <c r="BC166"/>
  <c r="BB166"/>
  <c r="BA166" s="1"/>
  <c r="AZ166" s="1"/>
  <c r="AX166"/>
  <c r="AW166"/>
  <c r="AV166"/>
  <c r="AC166"/>
  <c r="G166" s="1"/>
  <c r="H166"/>
  <c r="BT165"/>
  <c r="BS165"/>
  <c r="BR165"/>
  <c r="BQ165"/>
  <c r="BP165"/>
  <c r="BO165"/>
  <c r="BN165"/>
  <c r="BM165"/>
  <c r="BL165" s="1"/>
  <c r="BK165"/>
  <c r="BJ165"/>
  <c r="BI165"/>
  <c r="BH165"/>
  <c r="BG165"/>
  <c r="BF165"/>
  <c r="BE165"/>
  <c r="BD165"/>
  <c r="BC165"/>
  <c r="BB165"/>
  <c r="BA165"/>
  <c r="AZ165" s="1"/>
  <c r="AX165"/>
  <c r="AW165"/>
  <c r="AV165"/>
  <c r="AC165"/>
  <c r="H165"/>
  <c r="G165" s="1"/>
  <c r="BT164"/>
  <c r="BS164"/>
  <c r="BR164"/>
  <c r="BQ164"/>
  <c r="BP164"/>
  <c r="BO164"/>
  <c r="BN164"/>
  <c r="BM164"/>
  <c r="BL164"/>
  <c r="BK164"/>
  <c r="BJ164"/>
  <c r="BI164"/>
  <c r="BH164"/>
  <c r="BG164"/>
  <c r="BF164"/>
  <c r="BE164"/>
  <c r="BD164"/>
  <c r="BC164"/>
  <c r="BB164"/>
  <c r="BA164" s="1"/>
  <c r="AZ164" s="1"/>
  <c r="AX164"/>
  <c r="AW164"/>
  <c r="AV164"/>
  <c r="AC164"/>
  <c r="G164" s="1"/>
  <c r="H164"/>
  <c r="BT163"/>
  <c r="BS163"/>
  <c r="BR163"/>
  <c r="BQ163"/>
  <c r="BP163"/>
  <c r="BO163"/>
  <c r="BN163"/>
  <c r="BM163"/>
  <c r="BL163" s="1"/>
  <c r="BK163"/>
  <c r="BJ163"/>
  <c r="BI163"/>
  <c r="BH163"/>
  <c r="BG163"/>
  <c r="BF163"/>
  <c r="BE163"/>
  <c r="BD163"/>
  <c r="BC163"/>
  <c r="BB163"/>
  <c r="BA163"/>
  <c r="AZ163" s="1"/>
  <c r="AX163"/>
  <c r="AW163"/>
  <c r="AV163"/>
  <c r="AC163"/>
  <c r="H163"/>
  <c r="G163" s="1"/>
  <c r="BT162"/>
  <c r="BS162"/>
  <c r="BR162"/>
  <c r="BQ162"/>
  <c r="BP162"/>
  <c r="BO162"/>
  <c r="BN162"/>
  <c r="BM162"/>
  <c r="BL162"/>
  <c r="BK162"/>
  <c r="BJ162"/>
  <c r="BI162"/>
  <c r="BH162"/>
  <c r="BG162"/>
  <c r="BF162"/>
  <c r="BE162"/>
  <c r="BD162"/>
  <c r="BC162"/>
  <c r="BB162"/>
  <c r="BA162" s="1"/>
  <c r="AZ162" s="1"/>
  <c r="AX162"/>
  <c r="AW162"/>
  <c r="AV162"/>
  <c r="AC162"/>
  <c r="G162" s="1"/>
  <c r="H162"/>
  <c r="BT161"/>
  <c r="BS161"/>
  <c r="BR161"/>
  <c r="BQ161"/>
  <c r="BP161"/>
  <c r="BO161"/>
  <c r="BN161"/>
  <c r="BM161"/>
  <c r="BL161" s="1"/>
  <c r="BK161"/>
  <c r="BJ161"/>
  <c r="BI161"/>
  <c r="BH161"/>
  <c r="BG161"/>
  <c r="BF161"/>
  <c r="BE161"/>
  <c r="BD161"/>
  <c r="BC161"/>
  <c r="BB161"/>
  <c r="BA161"/>
  <c r="AZ161" s="1"/>
  <c r="AX161"/>
  <c r="AW161"/>
  <c r="AV161"/>
  <c r="AC161"/>
  <c r="H161"/>
  <c r="G161" s="1"/>
  <c r="BT160"/>
  <c r="BS160"/>
  <c r="BR160"/>
  <c r="BQ160"/>
  <c r="BP160"/>
  <c r="BO160"/>
  <c r="BN160"/>
  <c r="BM160"/>
  <c r="BL160"/>
  <c r="BK160"/>
  <c r="BJ160"/>
  <c r="BI160"/>
  <c r="BH160"/>
  <c r="BG160"/>
  <c r="BF160"/>
  <c r="BE160"/>
  <c r="BD160"/>
  <c r="BC160"/>
  <c r="BB160"/>
  <c r="BA160" s="1"/>
  <c r="AZ160" s="1"/>
  <c r="AX160"/>
  <c r="AW160"/>
  <c r="AV160"/>
  <c r="AC160"/>
  <c r="G160" s="1"/>
  <c r="H160"/>
  <c r="BT159"/>
  <c r="BS159"/>
  <c r="BR159"/>
  <c r="BQ159"/>
  <c r="BP159"/>
  <c r="BO159"/>
  <c r="BN159"/>
  <c r="BM159"/>
  <c r="BL159" s="1"/>
  <c r="BK159"/>
  <c r="BJ159"/>
  <c r="BI159"/>
  <c r="BH159"/>
  <c r="BG159"/>
  <c r="BF159"/>
  <c r="BE159"/>
  <c r="BD159"/>
  <c r="BC159"/>
  <c r="BB159"/>
  <c r="BA159"/>
  <c r="AZ159" s="1"/>
  <c r="AX159"/>
  <c r="AW159"/>
  <c r="AV159"/>
  <c r="AC159"/>
  <c r="H159"/>
  <c r="G159" s="1"/>
  <c r="BT158"/>
  <c r="BS158"/>
  <c r="BR158"/>
  <c r="BQ158"/>
  <c r="BP158"/>
  <c r="BO158"/>
  <c r="BN158"/>
  <c r="BM158"/>
  <c r="BL158"/>
  <c r="BK158"/>
  <c r="BJ158"/>
  <c r="BI158"/>
  <c r="BH158"/>
  <c r="BG158"/>
  <c r="BF158"/>
  <c r="BE158"/>
  <c r="BD158"/>
  <c r="BC158"/>
  <c r="BB158"/>
  <c r="BA158" s="1"/>
  <c r="AZ158" s="1"/>
  <c r="AX158"/>
  <c r="AW158"/>
  <c r="AV158"/>
  <c r="AC158"/>
  <c r="G158" s="1"/>
  <c r="H158"/>
  <c r="BT157"/>
  <c r="BS157"/>
  <c r="BR157"/>
  <c r="BQ157"/>
  <c r="BP157"/>
  <c r="BO157"/>
  <c r="BN157"/>
  <c r="BM157"/>
  <c r="BL157" s="1"/>
  <c r="BK157"/>
  <c r="BJ157"/>
  <c r="BI157"/>
  <c r="BH157"/>
  <c r="BG157"/>
  <c r="BF157"/>
  <c r="BE157"/>
  <c r="BD157"/>
  <c r="BC157"/>
  <c r="BB157"/>
  <c r="BA157"/>
  <c r="AZ157" s="1"/>
  <c r="AX157"/>
  <c r="AW157"/>
  <c r="AV157"/>
  <c r="AC157"/>
  <c r="H157"/>
  <c r="G157" s="1"/>
  <c r="BT156"/>
  <c r="BS156"/>
  <c r="BR156"/>
  <c r="BQ156"/>
  <c r="BP156"/>
  <c r="BO156"/>
  <c r="BN156"/>
  <c r="BM156"/>
  <c r="BL156"/>
  <c r="BK156"/>
  <c r="BJ156"/>
  <c r="BI156"/>
  <c r="BH156"/>
  <c r="BG156"/>
  <c r="BF156"/>
  <c r="BE156"/>
  <c r="BD156"/>
  <c r="BC156"/>
  <c r="BB156"/>
  <c r="BA156" s="1"/>
  <c r="AZ156" s="1"/>
  <c r="AX156"/>
  <c r="AW156"/>
  <c r="AV156"/>
  <c r="AC156"/>
  <c r="G156" s="1"/>
  <c r="H156"/>
  <c r="BT155"/>
  <c r="BS155"/>
  <c r="BR155"/>
  <c r="BQ155"/>
  <c r="BP155"/>
  <c r="BO155"/>
  <c r="BN155"/>
  <c r="BM155"/>
  <c r="BL155" s="1"/>
  <c r="BK155"/>
  <c r="BJ155"/>
  <c r="BI155"/>
  <c r="BH155"/>
  <c r="BG155"/>
  <c r="BF155"/>
  <c r="BE155"/>
  <c r="BD155"/>
  <c r="BC155"/>
  <c r="BB155"/>
  <c r="BA155"/>
  <c r="AZ155" s="1"/>
  <c r="AX155"/>
  <c r="AW155"/>
  <c r="AV155"/>
  <c r="AC155"/>
  <c r="H155"/>
  <c r="G155" s="1"/>
  <c r="BT154"/>
  <c r="BS154"/>
  <c r="BR154"/>
  <c r="BQ154"/>
  <c r="BP154"/>
  <c r="BO154"/>
  <c r="BN154"/>
  <c r="BM154"/>
  <c r="BL154"/>
  <c r="BK154"/>
  <c r="BJ154"/>
  <c r="BI154"/>
  <c r="BH154"/>
  <c r="BG154"/>
  <c r="BF154"/>
  <c r="BE154"/>
  <c r="BD154"/>
  <c r="BC154"/>
  <c r="BB154"/>
  <c r="BA154" s="1"/>
  <c r="AZ154" s="1"/>
  <c r="AX154"/>
  <c r="AW154"/>
  <c r="AV154"/>
  <c r="AC154"/>
  <c r="G154" s="1"/>
  <c r="H154"/>
  <c r="BT153"/>
  <c r="BS153"/>
  <c r="BR153"/>
  <c r="BQ153"/>
  <c r="BP153"/>
  <c r="BO153"/>
  <c r="BN153"/>
  <c r="BM153"/>
  <c r="BL153" s="1"/>
  <c r="BK153"/>
  <c r="BJ153"/>
  <c r="BI153"/>
  <c r="BH153"/>
  <c r="BG153"/>
  <c r="BF153"/>
  <c r="BE153"/>
  <c r="BD153"/>
  <c r="BC153"/>
  <c r="BB153"/>
  <c r="BA153"/>
  <c r="AZ153" s="1"/>
  <c r="AX153"/>
  <c r="AW153"/>
  <c r="AV153"/>
  <c r="AC153"/>
  <c r="H153"/>
  <c r="G153" s="1"/>
  <c r="BT152"/>
  <c r="BS152"/>
  <c r="BR152"/>
  <c r="BQ152"/>
  <c r="BP152"/>
  <c r="BO152"/>
  <c r="BN152"/>
  <c r="BM152"/>
  <c r="BL152"/>
  <c r="BK152"/>
  <c r="BJ152"/>
  <c r="BI152"/>
  <c r="BH152"/>
  <c r="BG152"/>
  <c r="BF152"/>
  <c r="BE152"/>
  <c r="BD152"/>
  <c r="BC152"/>
  <c r="BB152"/>
  <c r="BA152" s="1"/>
  <c r="AZ152" s="1"/>
  <c r="AX152"/>
  <c r="AW152"/>
  <c r="AV152"/>
  <c r="AC152"/>
  <c r="G152" s="1"/>
  <c r="H152"/>
  <c r="BT151"/>
  <c r="BS151"/>
  <c r="BR151"/>
  <c r="BQ151"/>
  <c r="BP151"/>
  <c r="BO151"/>
  <c r="BN151"/>
  <c r="BM151"/>
  <c r="BL151" s="1"/>
  <c r="BK151"/>
  <c r="BJ151"/>
  <c r="BI151"/>
  <c r="BH151"/>
  <c r="BG151"/>
  <c r="BF151"/>
  <c r="BE151"/>
  <c r="BD151"/>
  <c r="BC151"/>
  <c r="BB151"/>
  <c r="BA151"/>
  <c r="AZ151" s="1"/>
  <c r="AX151"/>
  <c r="AW151"/>
  <c r="AV151"/>
  <c r="AC151"/>
  <c r="H151"/>
  <c r="G151" s="1"/>
  <c r="BT150"/>
  <c r="BS150"/>
  <c r="BR150"/>
  <c r="BQ150"/>
  <c r="BP150"/>
  <c r="BO150"/>
  <c r="BN150"/>
  <c r="BM150"/>
  <c r="BL150"/>
  <c r="BK150"/>
  <c r="BJ150"/>
  <c r="BI150"/>
  <c r="BH150"/>
  <c r="BG150"/>
  <c r="BF150"/>
  <c r="BE150"/>
  <c r="BD150"/>
  <c r="BC150"/>
  <c r="BB150"/>
  <c r="BA150" s="1"/>
  <c r="AZ150" s="1"/>
  <c r="AX150"/>
  <c r="AW150"/>
  <c r="AV150"/>
  <c r="AC150"/>
  <c r="G150" s="1"/>
  <c r="H150"/>
  <c r="BT149"/>
  <c r="BS149"/>
  <c r="BR149"/>
  <c r="BQ149"/>
  <c r="BP149"/>
  <c r="BO149"/>
  <c r="BN149"/>
  <c r="BM149"/>
  <c r="BL149" s="1"/>
  <c r="BK149"/>
  <c r="BJ149"/>
  <c r="BI149"/>
  <c r="BH149"/>
  <c r="BG149"/>
  <c r="BF149"/>
  <c r="BE149"/>
  <c r="BD149"/>
  <c r="BC149"/>
  <c r="BB149"/>
  <c r="BA149"/>
  <c r="AZ149" s="1"/>
  <c r="AX149"/>
  <c r="AW149"/>
  <c r="AV149"/>
  <c r="AC149"/>
  <c r="H149"/>
  <c r="G149" s="1"/>
  <c r="BT148"/>
  <c r="BS148"/>
  <c r="BR148"/>
  <c r="BQ148"/>
  <c r="BP148"/>
  <c r="BO148"/>
  <c r="BN148"/>
  <c r="BM148"/>
  <c r="BL148"/>
  <c r="BK148"/>
  <c r="BJ148"/>
  <c r="BI148"/>
  <c r="BH148"/>
  <c r="BG148"/>
  <c r="BF148"/>
  <c r="BE148"/>
  <c r="BD148"/>
  <c r="BC148"/>
  <c r="BB148"/>
  <c r="BA148" s="1"/>
  <c r="AZ148" s="1"/>
  <c r="AX148"/>
  <c r="AW148"/>
  <c r="AV148"/>
  <c r="AC148"/>
  <c r="G148" s="1"/>
  <c r="H148"/>
  <c r="BT147"/>
  <c r="BS147"/>
  <c r="BR147"/>
  <c r="BQ147"/>
  <c r="BP147"/>
  <c r="BO147"/>
  <c r="BN147"/>
  <c r="BM147"/>
  <c r="BL147" s="1"/>
  <c r="BK147"/>
  <c r="BJ147"/>
  <c r="BI147"/>
  <c r="BH147"/>
  <c r="BG147"/>
  <c r="BF147"/>
  <c r="BE147"/>
  <c r="BD147"/>
  <c r="BC147"/>
  <c r="BB147"/>
  <c r="BA147"/>
  <c r="AZ147" s="1"/>
  <c r="AX147"/>
  <c r="AW147"/>
  <c r="AV147"/>
  <c r="AC147"/>
  <c r="H147"/>
  <c r="G147" s="1"/>
  <c r="BT146"/>
  <c r="BS146"/>
  <c r="BR146"/>
  <c r="BQ146"/>
  <c r="BP146"/>
  <c r="BO146"/>
  <c r="BN146"/>
  <c r="BM146"/>
  <c r="BL146"/>
  <c r="BK146"/>
  <c r="BJ146"/>
  <c r="BI146"/>
  <c r="BH146"/>
  <c r="BG146"/>
  <c r="BF146"/>
  <c r="BE146"/>
  <c r="BD146"/>
  <c r="BC146"/>
  <c r="BB146"/>
  <c r="BA146" s="1"/>
  <c r="AZ146" s="1"/>
  <c r="AX146"/>
  <c r="AW146"/>
  <c r="AV146"/>
  <c r="AC146"/>
  <c r="G146" s="1"/>
  <c r="H146"/>
  <c r="BT145"/>
  <c r="BS145"/>
  <c r="BR145"/>
  <c r="BQ145"/>
  <c r="BP145"/>
  <c r="BO145"/>
  <c r="BN145"/>
  <c r="BM145"/>
  <c r="BL145" s="1"/>
  <c r="BK145"/>
  <c r="BJ145"/>
  <c r="BI145"/>
  <c r="BH145"/>
  <c r="BG145"/>
  <c r="BF145"/>
  <c r="BE145"/>
  <c r="BD145"/>
  <c r="BC145"/>
  <c r="BB145"/>
  <c r="BA145"/>
  <c r="AZ145" s="1"/>
  <c r="AX145"/>
  <c r="AW145"/>
  <c r="AV145"/>
  <c r="AC145"/>
  <c r="H145"/>
  <c r="G145" s="1"/>
  <c r="BT144"/>
  <c r="BS144"/>
  <c r="BR144"/>
  <c r="BQ144"/>
  <c r="BP144"/>
  <c r="BO144"/>
  <c r="BN144"/>
  <c r="BM144"/>
  <c r="BL144"/>
  <c r="BK144"/>
  <c r="BJ144"/>
  <c r="BI144"/>
  <c r="BH144"/>
  <c r="BG144"/>
  <c r="BF144"/>
  <c r="BE144"/>
  <c r="BD144"/>
  <c r="BC144"/>
  <c r="BB144"/>
  <c r="BA144" s="1"/>
  <c r="AZ144" s="1"/>
  <c r="AX144"/>
  <c r="AW144"/>
  <c r="AV144"/>
  <c r="AC144"/>
  <c r="G144" s="1"/>
  <c r="H144"/>
  <c r="BT143"/>
  <c r="BS143"/>
  <c r="BR143"/>
  <c r="BQ143"/>
  <c r="BP143"/>
  <c r="BO143"/>
  <c r="BN143"/>
  <c r="BM143"/>
  <c r="BL143" s="1"/>
  <c r="BK143"/>
  <c r="BJ143"/>
  <c r="BI143"/>
  <c r="BH143"/>
  <c r="BG143"/>
  <c r="BF143"/>
  <c r="BE143"/>
  <c r="BD143"/>
  <c r="BC143"/>
  <c r="BB143"/>
  <c r="BA143"/>
  <c r="AZ143" s="1"/>
  <c r="AX143"/>
  <c r="AW143"/>
  <c r="AV143"/>
  <c r="AC143"/>
  <c r="H143"/>
  <c r="G143" s="1"/>
  <c r="BT142"/>
  <c r="BS142"/>
  <c r="BR142"/>
  <c r="BQ142"/>
  <c r="BP142"/>
  <c r="BO142"/>
  <c r="BN142"/>
  <c r="BM142"/>
  <c r="BL142"/>
  <c r="BK142"/>
  <c r="BJ142"/>
  <c r="BI142"/>
  <c r="BH142"/>
  <c r="BG142"/>
  <c r="BF142"/>
  <c r="BE142"/>
  <c r="BD142"/>
  <c r="BC142"/>
  <c r="BB142"/>
  <c r="BA142" s="1"/>
  <c r="AZ142" s="1"/>
  <c r="AX142"/>
  <c r="AW142"/>
  <c r="AV142"/>
  <c r="AC142"/>
  <c r="G142" s="1"/>
  <c r="H142"/>
  <c r="BT141"/>
  <c r="BS141"/>
  <c r="BR141"/>
  <c r="BQ141"/>
  <c r="BP141"/>
  <c r="BO141"/>
  <c r="BN141"/>
  <c r="BM141"/>
  <c r="BL141" s="1"/>
  <c r="BK141"/>
  <c r="BJ141"/>
  <c r="BI141"/>
  <c r="BH141"/>
  <c r="BG141"/>
  <c r="BF141"/>
  <c r="BE141"/>
  <c r="BD141"/>
  <c r="BC141"/>
  <c r="BA141" s="1"/>
  <c r="AZ141" s="1"/>
  <c r="BB141"/>
  <c r="AX141"/>
  <c r="AW141"/>
  <c r="AV141"/>
  <c r="AC141"/>
  <c r="H141"/>
  <c r="G141" s="1"/>
  <c r="BT140"/>
  <c r="BS140"/>
  <c r="BR140"/>
  <c r="BQ140"/>
  <c r="BP140"/>
  <c r="BO140"/>
  <c r="BN140"/>
  <c r="BM140"/>
  <c r="BL140"/>
  <c r="BK140"/>
  <c r="BJ140"/>
  <c r="BI140"/>
  <c r="BH140"/>
  <c r="BG140"/>
  <c r="BF140"/>
  <c r="BE140"/>
  <c r="BD140"/>
  <c r="BC140"/>
  <c r="BB140"/>
  <c r="BA140" s="1"/>
  <c r="AZ140" s="1"/>
  <c r="AX140"/>
  <c r="AW140"/>
  <c r="AV140"/>
  <c r="AC140"/>
  <c r="G140" s="1"/>
  <c r="H140"/>
  <c r="BT139"/>
  <c r="BS139"/>
  <c r="BR139"/>
  <c r="BQ139"/>
  <c r="BP139"/>
  <c r="BO139"/>
  <c r="BN139"/>
  <c r="BM139"/>
  <c r="BL139" s="1"/>
  <c r="BK139"/>
  <c r="BJ139"/>
  <c r="BI139"/>
  <c r="BH139"/>
  <c r="BG139"/>
  <c r="BF139"/>
  <c r="BE139"/>
  <c r="BD139"/>
  <c r="BC139"/>
  <c r="BA139" s="1"/>
  <c r="BB139"/>
  <c r="AX139"/>
  <c r="AW139"/>
  <c r="AV139"/>
  <c r="AC139"/>
  <c r="H139"/>
  <c r="G139" s="1"/>
  <c r="BT138"/>
  <c r="BS138"/>
  <c r="BR138"/>
  <c r="BQ138"/>
  <c r="BP138"/>
  <c r="BO138"/>
  <c r="BN138"/>
  <c r="BM138"/>
  <c r="BL138"/>
  <c r="BK138"/>
  <c r="BJ138"/>
  <c r="BI138"/>
  <c r="BH138"/>
  <c r="BG138"/>
  <c r="BF138"/>
  <c r="BE138"/>
  <c r="BD138"/>
  <c r="BC138"/>
  <c r="BB138"/>
  <c r="BA138" s="1"/>
  <c r="AZ138" s="1"/>
  <c r="AX138"/>
  <c r="AW138"/>
  <c r="AV138"/>
  <c r="AC138"/>
  <c r="G138" s="1"/>
  <c r="H138"/>
  <c r="BT137"/>
  <c r="BS137"/>
  <c r="BR137"/>
  <c r="BQ137"/>
  <c r="BP137"/>
  <c r="BO137"/>
  <c r="BN137"/>
  <c r="BM137"/>
  <c r="BL137" s="1"/>
  <c r="BK137"/>
  <c r="BJ137"/>
  <c r="BI137"/>
  <c r="BH137"/>
  <c r="BG137"/>
  <c r="BF137"/>
  <c r="BE137"/>
  <c r="BA137" s="1"/>
  <c r="AZ137" s="1"/>
  <c r="BD137"/>
  <c r="BC137"/>
  <c r="BB137"/>
  <c r="AX137"/>
  <c r="AW137"/>
  <c r="AV137"/>
  <c r="AC137"/>
  <c r="H137"/>
  <c r="G137" s="1"/>
  <c r="BT136"/>
  <c r="BS136"/>
  <c r="BR136"/>
  <c r="BQ136"/>
  <c r="BP136"/>
  <c r="BO136"/>
  <c r="BN136"/>
  <c r="BM136"/>
  <c r="BL136"/>
  <c r="BK136"/>
  <c r="BJ136"/>
  <c r="BI136"/>
  <c r="BH136"/>
  <c r="BG136"/>
  <c r="BF136"/>
  <c r="BE136"/>
  <c r="BD136"/>
  <c r="BC136"/>
  <c r="BB136"/>
  <c r="BA136" s="1"/>
  <c r="AZ136" s="1"/>
  <c r="AX136"/>
  <c r="AW136"/>
  <c r="AV136"/>
  <c r="AC136"/>
  <c r="G136" s="1"/>
  <c r="H136"/>
  <c r="BT135"/>
  <c r="BS135"/>
  <c r="BR135"/>
  <c r="BQ135"/>
  <c r="BP135"/>
  <c r="BO135"/>
  <c r="BN135"/>
  <c r="BM135"/>
  <c r="BL135" s="1"/>
  <c r="BK135"/>
  <c r="BJ135"/>
  <c r="BI135"/>
  <c r="BH135"/>
  <c r="BG135"/>
  <c r="BF135"/>
  <c r="BE135"/>
  <c r="BD135"/>
  <c r="BC135"/>
  <c r="BB135"/>
  <c r="BA135"/>
  <c r="AX135"/>
  <c r="AW135"/>
  <c r="AV135"/>
  <c r="AC135"/>
  <c r="H135"/>
  <c r="G135" s="1"/>
  <c r="BT134"/>
  <c r="BS134"/>
  <c r="BR134"/>
  <c r="BQ134"/>
  <c r="BP134"/>
  <c r="BO134"/>
  <c r="BN134"/>
  <c r="BM134"/>
  <c r="BL134"/>
  <c r="BK134"/>
  <c r="BJ134"/>
  <c r="BI134"/>
  <c r="BH134"/>
  <c r="BG134"/>
  <c r="BF134"/>
  <c r="BE134"/>
  <c r="BD134"/>
  <c r="BC134"/>
  <c r="BB134"/>
  <c r="BA134" s="1"/>
  <c r="AZ134" s="1"/>
  <c r="AX134"/>
  <c r="AW134"/>
  <c r="AV134"/>
  <c r="AC134"/>
  <c r="G134" s="1"/>
  <c r="H134"/>
  <c r="BT133"/>
  <c r="BS133"/>
  <c r="BR133"/>
  <c r="BQ133"/>
  <c r="BP133"/>
  <c r="BO133"/>
  <c r="BN133"/>
  <c r="BM133"/>
  <c r="BL133" s="1"/>
  <c r="BK133"/>
  <c r="BJ133"/>
  <c r="BI133"/>
  <c r="BH133"/>
  <c r="BG133"/>
  <c r="BF133"/>
  <c r="BE133"/>
  <c r="BD133"/>
  <c r="BC133"/>
  <c r="BB133"/>
  <c r="BA133"/>
  <c r="AX133"/>
  <c r="AW133"/>
  <c r="AV133"/>
  <c r="AC133"/>
  <c r="H133"/>
  <c r="G133" s="1"/>
  <c r="BT132"/>
  <c r="BS132"/>
  <c r="BR132"/>
  <c r="BQ132"/>
  <c r="BP132"/>
  <c r="BO132"/>
  <c r="BN132"/>
  <c r="BM132"/>
  <c r="BL132"/>
  <c r="BK132"/>
  <c r="BJ132"/>
  <c r="BI132"/>
  <c r="BH132"/>
  <c r="BG132"/>
  <c r="BF132"/>
  <c r="BE132"/>
  <c r="BD132"/>
  <c r="BC132"/>
  <c r="BB132"/>
  <c r="BA132" s="1"/>
  <c r="AZ132" s="1"/>
  <c r="AX132"/>
  <c r="AW132"/>
  <c r="AV132"/>
  <c r="AC132"/>
  <c r="G132" s="1"/>
  <c r="H132"/>
  <c r="BT131"/>
  <c r="BS131"/>
  <c r="BR131"/>
  <c r="BQ131"/>
  <c r="BP131"/>
  <c r="BO131"/>
  <c r="BN131"/>
  <c r="BM131"/>
  <c r="BL131" s="1"/>
  <c r="BK131"/>
  <c r="BJ131"/>
  <c r="BI131"/>
  <c r="BH131"/>
  <c r="BG131"/>
  <c r="BF131"/>
  <c r="BE131"/>
  <c r="BD131"/>
  <c r="BC131"/>
  <c r="BB131"/>
  <c r="BA131"/>
  <c r="AX131"/>
  <c r="AW131"/>
  <c r="AV131"/>
  <c r="AC131"/>
  <c r="H131"/>
  <c r="G131" s="1"/>
  <c r="BT130"/>
  <c r="BS130"/>
  <c r="BR130"/>
  <c r="BQ130"/>
  <c r="BP130"/>
  <c r="BO130"/>
  <c r="BN130"/>
  <c r="BM130"/>
  <c r="BL130"/>
  <c r="BK130"/>
  <c r="BJ130"/>
  <c r="BI130"/>
  <c r="BH130"/>
  <c r="BG130"/>
  <c r="BF130"/>
  <c r="BE130"/>
  <c r="BD130"/>
  <c r="BC130"/>
  <c r="BB130"/>
  <c r="BA130" s="1"/>
  <c r="AZ130" s="1"/>
  <c r="AX130"/>
  <c r="AW130"/>
  <c r="AV130"/>
  <c r="AC130"/>
  <c r="G130" s="1"/>
  <c r="H130"/>
  <c r="BT129"/>
  <c r="BS129"/>
  <c r="BR129"/>
  <c r="BQ129"/>
  <c r="BP129"/>
  <c r="BO129"/>
  <c r="BN129"/>
  <c r="BM129"/>
  <c r="BL129" s="1"/>
  <c r="BK129"/>
  <c r="BJ129"/>
  <c r="BI129"/>
  <c r="BH129"/>
  <c r="BG129"/>
  <c r="BF129"/>
  <c r="BE129"/>
  <c r="BD129"/>
  <c r="BC129"/>
  <c r="BB129"/>
  <c r="BA129"/>
  <c r="AX129"/>
  <c r="AW129"/>
  <c r="AV129"/>
  <c r="AC129"/>
  <c r="H129"/>
  <c r="G129" s="1"/>
  <c r="BT128"/>
  <c r="BS128"/>
  <c r="BR128"/>
  <c r="BQ128"/>
  <c r="BP128"/>
  <c r="BO128"/>
  <c r="BN128"/>
  <c r="BM128"/>
  <c r="BL128"/>
  <c r="BK128"/>
  <c r="BJ128"/>
  <c r="BI128"/>
  <c r="BH128"/>
  <c r="BG128"/>
  <c r="BF128"/>
  <c r="BE128"/>
  <c r="BD128"/>
  <c r="BC128"/>
  <c r="BB128"/>
  <c r="BA128" s="1"/>
  <c r="AZ128" s="1"/>
  <c r="AX128"/>
  <c r="AW128"/>
  <c r="AV128"/>
  <c r="AC128"/>
  <c r="G128" s="1"/>
  <c r="H128"/>
  <c r="BT127"/>
  <c r="BS127"/>
  <c r="BR127"/>
  <c r="BQ127"/>
  <c r="BP127"/>
  <c r="BO127"/>
  <c r="BN127"/>
  <c r="BM127"/>
  <c r="BL127" s="1"/>
  <c r="BK127"/>
  <c r="BJ127"/>
  <c r="BI127"/>
  <c r="BH127"/>
  <c r="BG127"/>
  <c r="BF127"/>
  <c r="BE127"/>
  <c r="BD127"/>
  <c r="BC127"/>
  <c r="BB127"/>
  <c r="BA127"/>
  <c r="AX127"/>
  <c r="AW127"/>
  <c r="AV127"/>
  <c r="AC127"/>
  <c r="H127"/>
  <c r="G127" s="1"/>
  <c r="BT126"/>
  <c r="BS126"/>
  <c r="BR126"/>
  <c r="BQ126"/>
  <c r="BP126"/>
  <c r="BO126"/>
  <c r="BN126"/>
  <c r="BM126"/>
  <c r="BL126"/>
  <c r="BK126"/>
  <c r="BJ126"/>
  <c r="BI126"/>
  <c r="BH126"/>
  <c r="BG126"/>
  <c r="BF126"/>
  <c r="BE126"/>
  <c r="BD126"/>
  <c r="BC126"/>
  <c r="BB126"/>
  <c r="BA126" s="1"/>
  <c r="AZ126" s="1"/>
  <c r="AX126"/>
  <c r="AW126"/>
  <c r="AV126"/>
  <c r="AC126"/>
  <c r="G126" s="1"/>
  <c r="H126"/>
  <c r="BT125"/>
  <c r="BS125"/>
  <c r="BR125"/>
  <c r="BQ125"/>
  <c r="BP125"/>
  <c r="BO125"/>
  <c r="BN125"/>
  <c r="BM125"/>
  <c r="BL125" s="1"/>
  <c r="BK125"/>
  <c r="BJ125"/>
  <c r="BI125"/>
  <c r="BH125"/>
  <c r="BG125"/>
  <c r="BF125"/>
  <c r="BE125"/>
  <c r="BD125"/>
  <c r="BC125"/>
  <c r="BB125"/>
  <c r="BA125"/>
  <c r="AX125"/>
  <c r="AW125"/>
  <c r="AV125"/>
  <c r="AC125"/>
  <c r="H125"/>
  <c r="G125" s="1"/>
  <c r="BT124"/>
  <c r="BS124"/>
  <c r="BR124"/>
  <c r="BQ124"/>
  <c r="BP124"/>
  <c r="BO124"/>
  <c r="BN124"/>
  <c r="BM124"/>
  <c r="BL124"/>
  <c r="BK124"/>
  <c r="BJ124"/>
  <c r="BI124"/>
  <c r="BH124"/>
  <c r="BG124"/>
  <c r="BF124"/>
  <c r="BE124"/>
  <c r="BD124"/>
  <c r="BC124"/>
  <c r="BB124"/>
  <c r="BA124" s="1"/>
  <c r="AZ124" s="1"/>
  <c r="AX124"/>
  <c r="AW124"/>
  <c r="AV124"/>
  <c r="AC124"/>
  <c r="G124" s="1"/>
  <c r="H124"/>
  <c r="BT123"/>
  <c r="BS123"/>
  <c r="BR123"/>
  <c r="BQ123"/>
  <c r="BP123"/>
  <c r="BO123"/>
  <c r="BN123"/>
  <c r="BM123"/>
  <c r="BL123" s="1"/>
  <c r="BK123"/>
  <c r="BJ123"/>
  <c r="BI123"/>
  <c r="BH123"/>
  <c r="BG123"/>
  <c r="BF123"/>
  <c r="BE123"/>
  <c r="BD123"/>
  <c r="BC123"/>
  <c r="BB123"/>
  <c r="BA123"/>
  <c r="AX123"/>
  <c r="AW123"/>
  <c r="AV123"/>
  <c r="AC123"/>
  <c r="H123"/>
  <c r="G123" s="1"/>
  <c r="BT122"/>
  <c r="BS122"/>
  <c r="BR122"/>
  <c r="BQ122"/>
  <c r="BP122"/>
  <c r="BO122"/>
  <c r="BN122"/>
  <c r="BM122"/>
  <c r="BL122"/>
  <c r="BK122"/>
  <c r="BJ122"/>
  <c r="BI122"/>
  <c r="BH122"/>
  <c r="BG122"/>
  <c r="BF122"/>
  <c r="BE122"/>
  <c r="BD122"/>
  <c r="BC122"/>
  <c r="BB122"/>
  <c r="BA122" s="1"/>
  <c r="AZ122" s="1"/>
  <c r="AX122"/>
  <c r="AW122"/>
  <c r="AV122"/>
  <c r="AC122"/>
  <c r="G122" s="1"/>
  <c r="H122"/>
  <c r="BT121"/>
  <c r="BS121"/>
  <c r="BR121"/>
  <c r="BQ121"/>
  <c r="BP121"/>
  <c r="BO121"/>
  <c r="BN121"/>
  <c r="BM121"/>
  <c r="BL121" s="1"/>
  <c r="BK121"/>
  <c r="BJ121"/>
  <c r="BI121"/>
  <c r="BH121"/>
  <c r="BG121"/>
  <c r="BF121"/>
  <c r="BE121"/>
  <c r="BD121"/>
  <c r="BC121"/>
  <c r="BB121"/>
  <c r="BA121"/>
  <c r="AX121"/>
  <c r="AW121"/>
  <c r="AV121"/>
  <c r="AC121"/>
  <c r="H121"/>
  <c r="G121" s="1"/>
  <c r="BT120"/>
  <c r="BS120"/>
  <c r="BR120"/>
  <c r="BQ120"/>
  <c r="BP120"/>
  <c r="BO120"/>
  <c r="BN120"/>
  <c r="BM120"/>
  <c r="BL120"/>
  <c r="BK120"/>
  <c r="BJ120"/>
  <c r="BI120"/>
  <c r="BH120"/>
  <c r="BG120"/>
  <c r="BF120"/>
  <c r="BE120"/>
  <c r="BD120"/>
  <c r="BC120"/>
  <c r="BB120"/>
  <c r="BA120" s="1"/>
  <c r="AZ120" s="1"/>
  <c r="AX120"/>
  <c r="AW120"/>
  <c r="AV120"/>
  <c r="AC120"/>
  <c r="G120" s="1"/>
  <c r="H120"/>
  <c r="BT119"/>
  <c r="BS119"/>
  <c r="BR119"/>
  <c r="BQ119"/>
  <c r="BP119"/>
  <c r="BO119"/>
  <c r="BN119"/>
  <c r="BM119"/>
  <c r="BL119" s="1"/>
  <c r="BK119"/>
  <c r="BJ119"/>
  <c r="BI119"/>
  <c r="BH119"/>
  <c r="BG119"/>
  <c r="BF119"/>
  <c r="BE119"/>
  <c r="BD119"/>
  <c r="BC119"/>
  <c r="BA119" s="1"/>
  <c r="BB119"/>
  <c r="AX119"/>
  <c r="AW119"/>
  <c r="AV119"/>
  <c r="AC119"/>
  <c r="H119"/>
  <c r="G119" s="1"/>
  <c r="BT118"/>
  <c r="BS118"/>
  <c r="BR118"/>
  <c r="BQ118"/>
  <c r="BP118"/>
  <c r="BO118"/>
  <c r="BN118"/>
  <c r="BM118"/>
  <c r="BL118"/>
  <c r="BK118"/>
  <c r="BJ118"/>
  <c r="BI118"/>
  <c r="BH118"/>
  <c r="BG118"/>
  <c r="BF118"/>
  <c r="BE118"/>
  <c r="BD118"/>
  <c r="BC118"/>
  <c r="BB118"/>
  <c r="BA118" s="1"/>
  <c r="AZ118" s="1"/>
  <c r="AX118"/>
  <c r="AW118"/>
  <c r="AV118"/>
  <c r="AC118"/>
  <c r="G118" s="1"/>
  <c r="H118"/>
  <c r="BT117"/>
  <c r="BS117"/>
  <c r="BR117"/>
  <c r="BQ117"/>
  <c r="BP117"/>
  <c r="BO117"/>
  <c r="BN117"/>
  <c r="BM117"/>
  <c r="BL117" s="1"/>
  <c r="BK117"/>
  <c r="BJ117"/>
  <c r="BI117"/>
  <c r="BH117"/>
  <c r="BG117"/>
  <c r="BF117"/>
  <c r="BE117"/>
  <c r="BD117"/>
  <c r="BC117"/>
  <c r="BA117" s="1"/>
  <c r="AZ117" s="1"/>
  <c r="BB117"/>
  <c r="AX117"/>
  <c r="AW117"/>
  <c r="AV117"/>
  <c r="AC117"/>
  <c r="H117"/>
  <c r="G117" s="1"/>
  <c r="BT116"/>
  <c r="BS116"/>
  <c r="BR116"/>
  <c r="BQ116"/>
  <c r="BP116"/>
  <c r="BO116"/>
  <c r="BN116"/>
  <c r="BM116"/>
  <c r="BL116"/>
  <c r="BK116"/>
  <c r="BJ116"/>
  <c r="BI116"/>
  <c r="BH116"/>
  <c r="BG116"/>
  <c r="BF116"/>
  <c r="BE116"/>
  <c r="BD116"/>
  <c r="BC116"/>
  <c r="BB116"/>
  <c r="BA116" s="1"/>
  <c r="AZ116" s="1"/>
  <c r="AX116"/>
  <c r="AW116"/>
  <c r="AV116"/>
  <c r="AC116"/>
  <c r="G116" s="1"/>
  <c r="H116"/>
  <c r="BT115"/>
  <c r="BS115"/>
  <c r="BR115"/>
  <c r="BQ115"/>
  <c r="BP115"/>
  <c r="BO115"/>
  <c r="BN115"/>
  <c r="BM115"/>
  <c r="BL115" s="1"/>
  <c r="BK115"/>
  <c r="BJ115"/>
  <c r="BI115"/>
  <c r="BH115"/>
  <c r="BG115"/>
  <c r="BF115"/>
  <c r="BE115"/>
  <c r="BD115"/>
  <c r="BC115"/>
  <c r="BB115"/>
  <c r="BA115"/>
  <c r="AZ115" s="1"/>
  <c r="AX115"/>
  <c r="AW115"/>
  <c r="AV115"/>
  <c r="AC115"/>
  <c r="H115"/>
  <c r="G115" s="1"/>
  <c r="BT114"/>
  <c r="BS114"/>
  <c r="BR114"/>
  <c r="BQ114"/>
  <c r="BP114"/>
  <c r="BO114"/>
  <c r="BN114"/>
  <c r="BM114"/>
  <c r="BL114"/>
  <c r="BK114"/>
  <c r="BJ114"/>
  <c r="BI114"/>
  <c r="BH114"/>
  <c r="BG114"/>
  <c r="BF114"/>
  <c r="BE114"/>
  <c r="BD114"/>
  <c r="BC114"/>
  <c r="BB114"/>
  <c r="BA114" s="1"/>
  <c r="AZ114" s="1"/>
  <c r="AX114"/>
  <c r="AW114"/>
  <c r="AV114"/>
  <c r="AC114"/>
  <c r="G114" s="1"/>
  <c r="H114"/>
  <c r="BT113"/>
  <c r="BS113"/>
  <c r="BR113"/>
  <c r="BQ113"/>
  <c r="BP113"/>
  <c r="BO113"/>
  <c r="BN113"/>
  <c r="BM113"/>
  <c r="BL113" s="1"/>
  <c r="BK113"/>
  <c r="BJ113"/>
  <c r="BI113"/>
  <c r="BH113"/>
  <c r="BG113"/>
  <c r="BF113"/>
  <c r="BE113"/>
  <c r="BD113"/>
  <c r="BC113"/>
  <c r="BB113"/>
  <c r="BA113"/>
  <c r="AZ113" s="1"/>
  <c r="AX113"/>
  <c r="AW113"/>
  <c r="AV113"/>
  <c r="AC113"/>
  <c r="H113"/>
  <c r="G113" s="1"/>
  <c r="BT112"/>
  <c r="BS112"/>
  <c r="BR112"/>
  <c r="BQ112"/>
  <c r="BP112"/>
  <c r="BO112"/>
  <c r="BN112"/>
  <c r="BM112"/>
  <c r="BL112"/>
  <c r="BK112"/>
  <c r="BJ112"/>
  <c r="BI112"/>
  <c r="BH112"/>
  <c r="BG112"/>
  <c r="BF112"/>
  <c r="BE112"/>
  <c r="BD112"/>
  <c r="BC112"/>
  <c r="BB112"/>
  <c r="BA112" s="1"/>
  <c r="AZ112" s="1"/>
  <c r="AX112"/>
  <c r="AW112"/>
  <c r="AV112"/>
  <c r="AC112"/>
  <c r="G112" s="1"/>
  <c r="H112"/>
  <c r="BT111"/>
  <c r="BS111"/>
  <c r="BR111"/>
  <c r="BQ111"/>
  <c r="BP111"/>
  <c r="BO111"/>
  <c r="BN111"/>
  <c r="BM111"/>
  <c r="BL111" s="1"/>
  <c r="BK111"/>
  <c r="BJ111"/>
  <c r="BI111"/>
  <c r="BH111"/>
  <c r="BG111"/>
  <c r="BF111"/>
  <c r="BE111"/>
  <c r="BD111"/>
  <c r="BC111"/>
  <c r="BB111"/>
  <c r="BA111"/>
  <c r="AZ111" s="1"/>
  <c r="AX111"/>
  <c r="AW111"/>
  <c r="AV111"/>
  <c r="AC111"/>
  <c r="H111"/>
  <c r="G111" s="1"/>
  <c r="BT110"/>
  <c r="BS110"/>
  <c r="BR110"/>
  <c r="BQ110"/>
  <c r="BP110"/>
  <c r="BO110"/>
  <c r="BN110"/>
  <c r="BM110"/>
  <c r="BL110"/>
  <c r="BK110"/>
  <c r="BJ110"/>
  <c r="BI110"/>
  <c r="BH110"/>
  <c r="BG110"/>
  <c r="BF110"/>
  <c r="BE110"/>
  <c r="BD110"/>
  <c r="BC110"/>
  <c r="BB110"/>
  <c r="BA110" s="1"/>
  <c r="AZ110" s="1"/>
  <c r="AX110"/>
  <c r="AW110"/>
  <c r="AV110"/>
  <c r="AC110"/>
  <c r="G110" s="1"/>
  <c r="H110"/>
  <c r="BT109"/>
  <c r="BS109"/>
  <c r="BR109"/>
  <c r="BQ109"/>
  <c r="BP109"/>
  <c r="BO109"/>
  <c r="BN109"/>
  <c r="BM109"/>
  <c r="BL109" s="1"/>
  <c r="BK109"/>
  <c r="BJ109"/>
  <c r="BI109"/>
  <c r="BH109"/>
  <c r="BG109"/>
  <c r="BF109"/>
  <c r="BE109"/>
  <c r="BD109"/>
  <c r="BC109"/>
  <c r="BA109" s="1"/>
  <c r="AZ109" s="1"/>
  <c r="BB109"/>
  <c r="AX109"/>
  <c r="AW109"/>
  <c r="AV109"/>
  <c r="AC109"/>
  <c r="H109"/>
  <c r="G109" s="1"/>
  <c r="BT108"/>
  <c r="BS108"/>
  <c r="BR108"/>
  <c r="BQ108"/>
  <c r="BP108"/>
  <c r="BO108"/>
  <c r="BN108"/>
  <c r="BM108"/>
  <c r="BL108"/>
  <c r="BK108"/>
  <c r="BJ108"/>
  <c r="BI108"/>
  <c r="BH108"/>
  <c r="BG108"/>
  <c r="BF108"/>
  <c r="BE108"/>
  <c r="BD108"/>
  <c r="BC108"/>
  <c r="BB108"/>
  <c r="BA108" s="1"/>
  <c r="AZ108" s="1"/>
  <c r="AX108"/>
  <c r="AW108"/>
  <c r="AV108"/>
  <c r="AC108"/>
  <c r="G108" s="1"/>
  <c r="H108"/>
  <c r="BT107"/>
  <c r="BS107"/>
  <c r="BR107"/>
  <c r="BQ107"/>
  <c r="BP107"/>
  <c r="BO107"/>
  <c r="BN107"/>
  <c r="BM107"/>
  <c r="BL107" s="1"/>
  <c r="BK107"/>
  <c r="BJ107"/>
  <c r="BI107"/>
  <c r="BH107"/>
  <c r="BG107"/>
  <c r="BF107"/>
  <c r="BE107"/>
  <c r="BD107"/>
  <c r="BC107"/>
  <c r="BB107"/>
  <c r="BA107"/>
  <c r="AX107"/>
  <c r="AW107"/>
  <c r="AV107"/>
  <c r="AC107"/>
  <c r="H107"/>
  <c r="G107" s="1"/>
  <c r="BT106"/>
  <c r="BS106"/>
  <c r="BR106"/>
  <c r="BQ106"/>
  <c r="BP106"/>
  <c r="BO106"/>
  <c r="BN106"/>
  <c r="BM106"/>
  <c r="BL106"/>
  <c r="BK106"/>
  <c r="BJ106"/>
  <c r="BI106"/>
  <c r="BH106"/>
  <c r="BG106"/>
  <c r="BF106"/>
  <c r="BE106"/>
  <c r="BD106"/>
  <c r="BC106"/>
  <c r="BB106"/>
  <c r="BA106" s="1"/>
  <c r="AZ106" s="1"/>
  <c r="AX106"/>
  <c r="AW106"/>
  <c r="AV106"/>
  <c r="AC106"/>
  <c r="G106" s="1"/>
  <c r="H106"/>
  <c r="BT105"/>
  <c r="BS105"/>
  <c r="BR105"/>
  <c r="BQ105"/>
  <c r="BP105"/>
  <c r="BO105"/>
  <c r="BN105"/>
  <c r="BM105"/>
  <c r="BL105" s="1"/>
  <c r="BK105"/>
  <c r="BJ105"/>
  <c r="BI105"/>
  <c r="BH105"/>
  <c r="BG105"/>
  <c r="BF105"/>
  <c r="BE105"/>
  <c r="BD105"/>
  <c r="BC105"/>
  <c r="BB105"/>
  <c r="BA105"/>
  <c r="AX105"/>
  <c r="AW105"/>
  <c r="AV105"/>
  <c r="AC105"/>
  <c r="H105"/>
  <c r="G105" s="1"/>
  <c r="BT104"/>
  <c r="BS104"/>
  <c r="BR104"/>
  <c r="BQ104"/>
  <c r="BP104"/>
  <c r="BO104"/>
  <c r="BN104"/>
  <c r="BM104"/>
  <c r="BL104"/>
  <c r="BK104"/>
  <c r="BJ104"/>
  <c r="BI104"/>
  <c r="BH104"/>
  <c r="BG104"/>
  <c r="BF104"/>
  <c r="BE104"/>
  <c r="BD104"/>
  <c r="BC104"/>
  <c r="BB104"/>
  <c r="BA104" s="1"/>
  <c r="AZ104" s="1"/>
  <c r="AX104"/>
  <c r="AW104"/>
  <c r="AV104"/>
  <c r="AC104"/>
  <c r="G104" s="1"/>
  <c r="H104"/>
  <c r="BT103"/>
  <c r="BS103"/>
  <c r="BR103"/>
  <c r="BQ103"/>
  <c r="BP103"/>
  <c r="BO103"/>
  <c r="BN103"/>
  <c r="BM103"/>
  <c r="BL103" s="1"/>
  <c r="BK103"/>
  <c r="BJ103"/>
  <c r="BI103"/>
  <c r="BH103"/>
  <c r="BG103"/>
  <c r="BF103"/>
  <c r="BE103"/>
  <c r="BD103"/>
  <c r="BC103"/>
  <c r="BB103"/>
  <c r="BA103"/>
  <c r="AZ103" s="1"/>
  <c r="AX103"/>
  <c r="AW103"/>
  <c r="AV103"/>
  <c r="AC103"/>
  <c r="H103"/>
  <c r="G103" s="1"/>
  <c r="BT102"/>
  <c r="BS102"/>
  <c r="BR102"/>
  <c r="BQ102"/>
  <c r="BP102"/>
  <c r="BO102"/>
  <c r="BN102"/>
  <c r="BM102"/>
  <c r="BL102"/>
  <c r="BK102"/>
  <c r="BJ102"/>
  <c r="BI102"/>
  <c r="BH102"/>
  <c r="BG102"/>
  <c r="BF102"/>
  <c r="BE102"/>
  <c r="BD102"/>
  <c r="BC102"/>
  <c r="BB102"/>
  <c r="BA102" s="1"/>
  <c r="AZ102" s="1"/>
  <c r="AX102"/>
  <c r="AW102"/>
  <c r="AV102"/>
  <c r="AC102"/>
  <c r="G102" s="1"/>
  <c r="H102"/>
  <c r="BT101"/>
  <c r="BS101"/>
  <c r="BR101"/>
  <c r="BQ101"/>
  <c r="BP101"/>
  <c r="BO101"/>
  <c r="BN101"/>
  <c r="BM101"/>
  <c r="BL101" s="1"/>
  <c r="BK101"/>
  <c r="BJ101"/>
  <c r="BI101"/>
  <c r="BH101"/>
  <c r="BG101"/>
  <c r="BF101"/>
  <c r="BE101"/>
  <c r="BD101"/>
  <c r="BC101"/>
  <c r="BA101" s="1"/>
  <c r="AZ101" s="1"/>
  <c r="BB101"/>
  <c r="AX101"/>
  <c r="AW101"/>
  <c r="AV101"/>
  <c r="AC101"/>
  <c r="H101"/>
  <c r="G101" s="1"/>
  <c r="BT100"/>
  <c r="BS100"/>
  <c r="BR100"/>
  <c r="BQ100"/>
  <c r="BP100"/>
  <c r="BO100"/>
  <c r="BN100"/>
  <c r="BM100"/>
  <c r="BL100"/>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c r="AZ99" s="1"/>
  <c r="AX99"/>
  <c r="AW99"/>
  <c r="AV99"/>
  <c r="AC99"/>
  <c r="H99"/>
  <c r="G99" s="1"/>
  <c r="BT98"/>
  <c r="BS98"/>
  <c r="BR98"/>
  <c r="BQ98"/>
  <c r="BP98"/>
  <c r="BO98"/>
  <c r="BN98"/>
  <c r="BM98"/>
  <c r="BL98"/>
  <c r="BK98"/>
  <c r="BJ98"/>
  <c r="BI98"/>
  <c r="BH98"/>
  <c r="BG98"/>
  <c r="BF98"/>
  <c r="BE98"/>
  <c r="BD98"/>
  <c r="BC98"/>
  <c r="BB98"/>
  <c r="BA98" s="1"/>
  <c r="AZ98" s="1"/>
  <c r="AX98"/>
  <c r="AW98"/>
  <c r="AV98"/>
  <c r="AC98"/>
  <c r="G98" s="1"/>
  <c r="H98"/>
  <c r="BT97"/>
  <c r="BS97"/>
  <c r="BR97"/>
  <c r="BQ97"/>
  <c r="BP97"/>
  <c r="BO97"/>
  <c r="BN97"/>
  <c r="BM97"/>
  <c r="BL97" s="1"/>
  <c r="BK97"/>
  <c r="BJ97"/>
  <c r="BI97"/>
  <c r="BH97"/>
  <c r="BG97"/>
  <c r="BF97"/>
  <c r="BE97"/>
  <c r="BD97"/>
  <c r="BC97"/>
  <c r="BB97"/>
  <c r="BA97"/>
  <c r="AZ97" s="1"/>
  <c r="AX97"/>
  <c r="AW97"/>
  <c r="AV97"/>
  <c r="AC97"/>
  <c r="H97"/>
  <c r="G97" s="1"/>
  <c r="BT96"/>
  <c r="BS96"/>
  <c r="BR96"/>
  <c r="BQ96"/>
  <c r="BP96"/>
  <c r="BO96"/>
  <c r="BN96"/>
  <c r="BM96"/>
  <c r="BL96"/>
  <c r="BK96"/>
  <c r="BJ96"/>
  <c r="BI96"/>
  <c r="BH96"/>
  <c r="BG96"/>
  <c r="BF96"/>
  <c r="BE96"/>
  <c r="BD96"/>
  <c r="BC96"/>
  <c r="BB96"/>
  <c r="BA96" s="1"/>
  <c r="AZ96" s="1"/>
  <c r="AX96"/>
  <c r="AW96"/>
  <c r="AV96"/>
  <c r="AC96"/>
  <c r="G96" s="1"/>
  <c r="H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Z94" s="1"/>
  <c r="AX94"/>
  <c r="AW94"/>
  <c r="AV94"/>
  <c r="AC94"/>
  <c r="G94" s="1"/>
  <c r="H94"/>
  <c r="BT93"/>
  <c r="BS93"/>
  <c r="BR93"/>
  <c r="BQ93"/>
  <c r="BP93"/>
  <c r="BO93"/>
  <c r="BN93"/>
  <c r="BM93"/>
  <c r="BL93" s="1"/>
  <c r="BK93"/>
  <c r="BJ93"/>
  <c r="BI93"/>
  <c r="BH93"/>
  <c r="BG93"/>
  <c r="BF93"/>
  <c r="BE93"/>
  <c r="BD93"/>
  <c r="BC93"/>
  <c r="BB93"/>
  <c r="BA93"/>
  <c r="AZ93" s="1"/>
  <c r="AX93"/>
  <c r="AW93"/>
  <c r="AV93"/>
  <c r="AC93"/>
  <c r="H93"/>
  <c r="G93" s="1"/>
  <c r="BT92"/>
  <c r="BS92"/>
  <c r="BR92"/>
  <c r="BQ92"/>
  <c r="BP92"/>
  <c r="BO92"/>
  <c r="BN92"/>
  <c r="BM92"/>
  <c r="BL92"/>
  <c r="BK92"/>
  <c r="BJ92"/>
  <c r="BI92"/>
  <c r="BH92"/>
  <c r="BG92"/>
  <c r="BF92"/>
  <c r="BE92"/>
  <c r="BD92"/>
  <c r="BC92"/>
  <c r="BB92"/>
  <c r="BA92" s="1"/>
  <c r="AZ92" s="1"/>
  <c r="AX92"/>
  <c r="AW92"/>
  <c r="AV92"/>
  <c r="AC92"/>
  <c r="G92" s="1"/>
  <c r="H92"/>
  <c r="BT91"/>
  <c r="BS91"/>
  <c r="BR91"/>
  <c r="BQ91"/>
  <c r="BP91"/>
  <c r="BO91"/>
  <c r="BN91"/>
  <c r="BM91"/>
  <c r="BL91" s="1"/>
  <c r="BK91"/>
  <c r="BJ91"/>
  <c r="BI91"/>
  <c r="BH91"/>
  <c r="BG91"/>
  <c r="BF91"/>
  <c r="BE91"/>
  <c r="BD91"/>
  <c r="BC91"/>
  <c r="BB91"/>
  <c r="BA91"/>
  <c r="AZ91" s="1"/>
  <c r="AX91"/>
  <c r="AW91"/>
  <c r="AV91"/>
  <c r="AC91"/>
  <c r="H91"/>
  <c r="G91" s="1"/>
  <c r="BT90"/>
  <c r="BS90"/>
  <c r="BR90"/>
  <c r="BQ90"/>
  <c r="BP90"/>
  <c r="BO90"/>
  <c r="BN90"/>
  <c r="BM90"/>
  <c r="BL90"/>
  <c r="BK90"/>
  <c r="BJ90"/>
  <c r="BI90"/>
  <c r="BH90"/>
  <c r="BG90"/>
  <c r="BF90"/>
  <c r="BE90"/>
  <c r="BD90"/>
  <c r="BC90"/>
  <c r="BB90"/>
  <c r="BA90" s="1"/>
  <c r="AZ90" s="1"/>
  <c r="AX90"/>
  <c r="AW90"/>
  <c r="AV90"/>
  <c r="AC90"/>
  <c r="G90" s="1"/>
  <c r="H90"/>
  <c r="BT89"/>
  <c r="BS89"/>
  <c r="BR89"/>
  <c r="BQ89"/>
  <c r="BP89"/>
  <c r="BO89"/>
  <c r="BN89"/>
  <c r="BM89"/>
  <c r="BL89" s="1"/>
  <c r="BK89"/>
  <c r="BJ89"/>
  <c r="BI89"/>
  <c r="BH89"/>
  <c r="BG89"/>
  <c r="BF89"/>
  <c r="BE89"/>
  <c r="BD89"/>
  <c r="BC89"/>
  <c r="BB89"/>
  <c r="BA89"/>
  <c r="AZ89" s="1"/>
  <c r="AX89"/>
  <c r="AW89"/>
  <c r="AV89"/>
  <c r="AC89"/>
  <c r="H89"/>
  <c r="G89" s="1"/>
  <c r="BT88"/>
  <c r="BS88"/>
  <c r="BR88"/>
  <c r="BQ88"/>
  <c r="BP88"/>
  <c r="BO88"/>
  <c r="BN88"/>
  <c r="BM88"/>
  <c r="BL88"/>
  <c r="BK88"/>
  <c r="BJ88"/>
  <c r="BI88"/>
  <c r="BH88"/>
  <c r="BG88"/>
  <c r="BF88"/>
  <c r="BE88"/>
  <c r="BD88"/>
  <c r="BC88"/>
  <c r="BB88"/>
  <c r="BA88" s="1"/>
  <c r="AZ88" s="1"/>
  <c r="AX88"/>
  <c r="AW88"/>
  <c r="AV88"/>
  <c r="AC88"/>
  <c r="G88" s="1"/>
  <c r="H88"/>
  <c r="BT87"/>
  <c r="BS87"/>
  <c r="BR87"/>
  <c r="BQ87"/>
  <c r="BP87"/>
  <c r="BO87"/>
  <c r="BN87"/>
  <c r="BM87"/>
  <c r="BL87" s="1"/>
  <c r="BK87"/>
  <c r="BJ87"/>
  <c r="BI87"/>
  <c r="BH87"/>
  <c r="BG87"/>
  <c r="BF87"/>
  <c r="BE87"/>
  <c r="BD87"/>
  <c r="BC87"/>
  <c r="BB87"/>
  <c r="BA87"/>
  <c r="AZ87" s="1"/>
  <c r="AX87"/>
  <c r="AW87"/>
  <c r="AV87"/>
  <c r="AC87"/>
  <c r="H87"/>
  <c r="G87" s="1"/>
  <c r="BT86"/>
  <c r="BS86"/>
  <c r="BR86"/>
  <c r="BQ86"/>
  <c r="BP86"/>
  <c r="BO86"/>
  <c r="BN86"/>
  <c r="BM86"/>
  <c r="BL86"/>
  <c r="BK86"/>
  <c r="BJ86"/>
  <c r="BI86"/>
  <c r="BH86"/>
  <c r="BG86"/>
  <c r="BF86"/>
  <c r="BE86"/>
  <c r="BD86"/>
  <c r="BC86"/>
  <c r="BB86"/>
  <c r="BA86" s="1"/>
  <c r="AZ86" s="1"/>
  <c r="AX86"/>
  <c r="AW86"/>
  <c r="AV86"/>
  <c r="AC86"/>
  <c r="G86" s="1"/>
  <c r="H86"/>
  <c r="BT85"/>
  <c r="BS85"/>
  <c r="BR85"/>
  <c r="BQ85"/>
  <c r="BP85"/>
  <c r="BO85"/>
  <c r="BN85"/>
  <c r="BM85"/>
  <c r="BL85" s="1"/>
  <c r="BK85"/>
  <c r="BJ85"/>
  <c r="BI85"/>
  <c r="BH85"/>
  <c r="BG85"/>
  <c r="BF85"/>
  <c r="BE85"/>
  <c r="BD85"/>
  <c r="BC85"/>
  <c r="BB85"/>
  <c r="BA85"/>
  <c r="AZ85" s="1"/>
  <c r="AX85"/>
  <c r="AW85"/>
  <c r="AV85"/>
  <c r="AC85"/>
  <c r="H85"/>
  <c r="G85" s="1"/>
  <c r="BT84"/>
  <c r="BS84"/>
  <c r="BR84"/>
  <c r="BQ84"/>
  <c r="BP84"/>
  <c r="BO84"/>
  <c r="BN84"/>
  <c r="BM84"/>
  <c r="BL84"/>
  <c r="BK84"/>
  <c r="BJ84"/>
  <c r="BI84"/>
  <c r="BH84"/>
  <c r="BG84"/>
  <c r="BF84"/>
  <c r="BE84"/>
  <c r="BD84"/>
  <c r="BC84"/>
  <c r="BB84"/>
  <c r="BA84" s="1"/>
  <c r="AZ84" s="1"/>
  <c r="AX84"/>
  <c r="AW84"/>
  <c r="AV84"/>
  <c r="AC84"/>
  <c r="G84" s="1"/>
  <c r="H84"/>
  <c r="BT83"/>
  <c r="BS83"/>
  <c r="BR83"/>
  <c r="BQ83"/>
  <c r="BP83"/>
  <c r="BO83"/>
  <c r="BN83"/>
  <c r="BM83"/>
  <c r="BL83" s="1"/>
  <c r="BK83"/>
  <c r="BJ83"/>
  <c r="BI83"/>
  <c r="BH83"/>
  <c r="BG83"/>
  <c r="BF83"/>
  <c r="BE83"/>
  <c r="BD83"/>
  <c r="BC83"/>
  <c r="BB83"/>
  <c r="BA83"/>
  <c r="AZ83" s="1"/>
  <c r="AX83"/>
  <c r="AW83"/>
  <c r="AV83"/>
  <c r="AC83"/>
  <c r="H83"/>
  <c r="G83" s="1"/>
  <c r="BT82"/>
  <c r="BS82"/>
  <c r="BR82"/>
  <c r="BQ82"/>
  <c r="BP82"/>
  <c r="BO82"/>
  <c r="BN82"/>
  <c r="BM82"/>
  <c r="BL82"/>
  <c r="BK82"/>
  <c r="BJ82"/>
  <c r="BI82"/>
  <c r="BH82"/>
  <c r="BG82"/>
  <c r="BF82"/>
  <c r="BE82"/>
  <c r="BD82"/>
  <c r="BC82"/>
  <c r="BB82"/>
  <c r="BA82" s="1"/>
  <c r="AZ82" s="1"/>
  <c r="AX82"/>
  <c r="AW82"/>
  <c r="AV82"/>
  <c r="AC82"/>
  <c r="G82" s="1"/>
  <c r="H82"/>
  <c r="BT81"/>
  <c r="BS81"/>
  <c r="BR81"/>
  <c r="BQ81"/>
  <c r="BP81"/>
  <c r="BO81"/>
  <c r="BN81"/>
  <c r="BM81"/>
  <c r="BL81" s="1"/>
  <c r="BK81"/>
  <c r="BJ81"/>
  <c r="BI81"/>
  <c r="BH81"/>
  <c r="BG81"/>
  <c r="BF81"/>
  <c r="BE81"/>
  <c r="BD81"/>
  <c r="BC81"/>
  <c r="BA81" s="1"/>
  <c r="AZ81" s="1"/>
  <c r="BB81"/>
  <c r="AX81"/>
  <c r="AW81"/>
  <c r="AV81"/>
  <c r="AC81"/>
  <c r="H81"/>
  <c r="G81" s="1"/>
  <c r="BT80"/>
  <c r="BS80"/>
  <c r="BR80"/>
  <c r="BQ80"/>
  <c r="BP80"/>
  <c r="BO80"/>
  <c r="BN80"/>
  <c r="BM80"/>
  <c r="BL80"/>
  <c r="BK80"/>
  <c r="BJ80"/>
  <c r="BI80"/>
  <c r="BH80"/>
  <c r="BG80"/>
  <c r="BF80"/>
  <c r="BE80"/>
  <c r="BD80"/>
  <c r="BC80"/>
  <c r="BB80"/>
  <c r="BA80" s="1"/>
  <c r="AZ80" s="1"/>
  <c r="AX80"/>
  <c r="AW80"/>
  <c r="AV80"/>
  <c r="AC80"/>
  <c r="G80" s="1"/>
  <c r="H80"/>
  <c r="BT79"/>
  <c r="BS79"/>
  <c r="BR79"/>
  <c r="BQ79"/>
  <c r="BP79"/>
  <c r="BO79"/>
  <c r="BN79"/>
  <c r="BM79"/>
  <c r="BL79" s="1"/>
  <c r="BK79"/>
  <c r="BJ79"/>
  <c r="BI79"/>
  <c r="BH79"/>
  <c r="BG79"/>
  <c r="BF79"/>
  <c r="BE79"/>
  <c r="BD79"/>
  <c r="BC79"/>
  <c r="BB79"/>
  <c r="BA79"/>
  <c r="AX79"/>
  <c r="AW79"/>
  <c r="AV79"/>
  <c r="AC79"/>
  <c r="H79"/>
  <c r="G79" s="1"/>
  <c r="BT78"/>
  <c r="BS78"/>
  <c r="BR78"/>
  <c r="BQ78"/>
  <c r="BP78"/>
  <c r="BO78"/>
  <c r="BN78"/>
  <c r="BM78"/>
  <c r="BL78"/>
  <c r="BK78"/>
  <c r="BJ78"/>
  <c r="BI78"/>
  <c r="BH78"/>
  <c r="BG78"/>
  <c r="BF78"/>
  <c r="BE78"/>
  <c r="BD78"/>
  <c r="BC78"/>
  <c r="BB78"/>
  <c r="BA78" s="1"/>
  <c r="AZ78" s="1"/>
  <c r="AX78"/>
  <c r="AW78"/>
  <c r="AV78"/>
  <c r="AC78"/>
  <c r="G78" s="1"/>
  <c r="H78"/>
  <c r="BT77"/>
  <c r="BS77"/>
  <c r="BR77"/>
  <c r="BQ77"/>
  <c r="BP77"/>
  <c r="BO77"/>
  <c r="BN77"/>
  <c r="BM77"/>
  <c r="BL77" s="1"/>
  <c r="BK77"/>
  <c r="BJ77"/>
  <c r="BI77"/>
  <c r="BH77"/>
  <c r="BG77"/>
  <c r="BF77"/>
  <c r="BE77"/>
  <c r="BD77"/>
  <c r="BC77"/>
  <c r="BB77"/>
  <c r="BA77"/>
  <c r="AX77"/>
  <c r="AW77"/>
  <c r="AV77"/>
  <c r="AC77"/>
  <c r="H77"/>
  <c r="G77" s="1"/>
  <c r="BT76"/>
  <c r="BS76"/>
  <c r="BR76"/>
  <c r="BQ76"/>
  <c r="BP76"/>
  <c r="BO76"/>
  <c r="BN76"/>
  <c r="BM76"/>
  <c r="BL76"/>
  <c r="BK76"/>
  <c r="BJ76"/>
  <c r="BI76"/>
  <c r="BH76"/>
  <c r="BG76"/>
  <c r="BF76"/>
  <c r="BE76"/>
  <c r="BD76"/>
  <c r="BC76"/>
  <c r="BB76"/>
  <c r="BA76" s="1"/>
  <c r="AZ76" s="1"/>
  <c r="AX76"/>
  <c r="AW76"/>
  <c r="AV76"/>
  <c r="AC76"/>
  <c r="G76" s="1"/>
  <c r="H76"/>
  <c r="BT75"/>
  <c r="BS75"/>
  <c r="BR75"/>
  <c r="BQ75"/>
  <c r="BP75"/>
  <c r="BO75"/>
  <c r="BN75"/>
  <c r="BM75"/>
  <c r="BL75" s="1"/>
  <c r="BK75"/>
  <c r="BJ75"/>
  <c r="BI75"/>
  <c r="BH75"/>
  <c r="BG75"/>
  <c r="BF75"/>
  <c r="BE75"/>
  <c r="BD75"/>
  <c r="BC75"/>
  <c r="BB75"/>
  <c r="BA75"/>
  <c r="AX75"/>
  <c r="AW75"/>
  <c r="AV75"/>
  <c r="AC75"/>
  <c r="H75"/>
  <c r="G75" s="1"/>
  <c r="BT74"/>
  <c r="BS74"/>
  <c r="BR74"/>
  <c r="BQ74"/>
  <c r="BP74"/>
  <c r="BO74"/>
  <c r="BN74"/>
  <c r="BM74"/>
  <c r="BL74"/>
  <c r="BK74"/>
  <c r="BJ74"/>
  <c r="BI74"/>
  <c r="BH74"/>
  <c r="BG74"/>
  <c r="BF74"/>
  <c r="BE74"/>
  <c r="BD74"/>
  <c r="BC74"/>
  <c r="BB74"/>
  <c r="BA74" s="1"/>
  <c r="AZ74" s="1"/>
  <c r="AX74"/>
  <c r="AW74"/>
  <c r="AV74"/>
  <c r="AC74"/>
  <c r="G74" s="1"/>
  <c r="H74"/>
  <c r="BT73"/>
  <c r="BS73"/>
  <c r="BR73"/>
  <c r="BQ73"/>
  <c r="BP73"/>
  <c r="BO73"/>
  <c r="BN73"/>
  <c r="BM73"/>
  <c r="BL73" s="1"/>
  <c r="BK73"/>
  <c r="BJ73"/>
  <c r="BI73"/>
  <c r="BH73"/>
  <c r="BG73"/>
  <c r="BF73"/>
  <c r="BE73"/>
  <c r="BD73"/>
  <c r="BC73"/>
  <c r="BB73"/>
  <c r="BA73"/>
  <c r="AX73"/>
  <c r="AW73"/>
  <c r="AV73"/>
  <c r="AC73"/>
  <c r="H73"/>
  <c r="G73" s="1"/>
  <c r="BT72"/>
  <c r="BS72"/>
  <c r="BR72"/>
  <c r="BQ72"/>
  <c r="BP72"/>
  <c r="BO72"/>
  <c r="BN72"/>
  <c r="BM72"/>
  <c r="BL72"/>
  <c r="BK72"/>
  <c r="BJ72"/>
  <c r="BI72"/>
  <c r="BH72"/>
  <c r="BG72"/>
  <c r="BF72"/>
  <c r="BE72"/>
  <c r="BD72"/>
  <c r="BC72"/>
  <c r="BB72"/>
  <c r="BA72" s="1"/>
  <c r="AZ72" s="1"/>
  <c r="AX72"/>
  <c r="AW72"/>
  <c r="AV72"/>
  <c r="AC72"/>
  <c r="G72" s="1"/>
  <c r="H72"/>
  <c r="BT71"/>
  <c r="BS71"/>
  <c r="BR71"/>
  <c r="BQ71"/>
  <c r="BP71"/>
  <c r="BO71"/>
  <c r="BN71"/>
  <c r="BM71"/>
  <c r="BL71" s="1"/>
  <c r="BK71"/>
  <c r="BJ71"/>
  <c r="BI71"/>
  <c r="BH71"/>
  <c r="BG71"/>
  <c r="BF71"/>
  <c r="BE71"/>
  <c r="BD71"/>
  <c r="BC71"/>
  <c r="BB71"/>
  <c r="BA71"/>
  <c r="AX71"/>
  <c r="AW71"/>
  <c r="AV71"/>
  <c r="AC71"/>
  <c r="H71"/>
  <c r="G71" s="1"/>
  <c r="BT70"/>
  <c r="BS70"/>
  <c r="BR70"/>
  <c r="BQ70"/>
  <c r="BP70"/>
  <c r="BO70"/>
  <c r="BN70"/>
  <c r="BM70"/>
  <c r="BL70"/>
  <c r="BK70"/>
  <c r="BJ70"/>
  <c r="BI70"/>
  <c r="BH70"/>
  <c r="BG70"/>
  <c r="BF70"/>
  <c r="BE70"/>
  <c r="BD70"/>
  <c r="BC70"/>
  <c r="BB70"/>
  <c r="BA70" s="1"/>
  <c r="AZ70" s="1"/>
  <c r="AX70"/>
  <c r="AW70"/>
  <c r="AV70"/>
  <c r="AC70"/>
  <c r="G70" s="1"/>
  <c r="H70"/>
  <c r="BT69"/>
  <c r="BS69"/>
  <c r="BR69"/>
  <c r="BQ69"/>
  <c r="BP69"/>
  <c r="BO69"/>
  <c r="BN69"/>
  <c r="BM69"/>
  <c r="BL69" s="1"/>
  <c r="BK69"/>
  <c r="BJ69"/>
  <c r="BI69"/>
  <c r="BH69"/>
  <c r="BG69"/>
  <c r="BF69"/>
  <c r="BE69"/>
  <c r="BD69"/>
  <c r="BC69"/>
  <c r="BB69"/>
  <c r="BA69"/>
  <c r="AX69"/>
  <c r="AW69"/>
  <c r="AV69"/>
  <c r="AC69"/>
  <c r="H69"/>
  <c r="G69" s="1"/>
  <c r="BT68"/>
  <c r="BS68"/>
  <c r="BR68"/>
  <c r="BQ68"/>
  <c r="BP68"/>
  <c r="BO68"/>
  <c r="BN68"/>
  <c r="BM68"/>
  <c r="BL68"/>
  <c r="BK68"/>
  <c r="BJ68"/>
  <c r="BI68"/>
  <c r="BH68"/>
  <c r="BG68"/>
  <c r="BF68"/>
  <c r="BE68"/>
  <c r="BD68"/>
  <c r="BC68"/>
  <c r="BB68"/>
  <c r="BA68" s="1"/>
  <c r="AZ68" s="1"/>
  <c r="AX68"/>
  <c r="AW68"/>
  <c r="AV68"/>
  <c r="AC68"/>
  <c r="G68" s="1"/>
  <c r="H68"/>
  <c r="BT67"/>
  <c r="BS67"/>
  <c r="BR67"/>
  <c r="BQ67"/>
  <c r="BP67"/>
  <c r="BO67"/>
  <c r="BN67"/>
  <c r="BM67"/>
  <c r="BL67" s="1"/>
  <c r="BK67"/>
  <c r="BJ67"/>
  <c r="BI67"/>
  <c r="BH67"/>
  <c r="BG67"/>
  <c r="BF67"/>
  <c r="BE67"/>
  <c r="BD67"/>
  <c r="BC67"/>
  <c r="BB67"/>
  <c r="BA67"/>
  <c r="AZ67" s="1"/>
  <c r="AX67"/>
  <c r="AW67"/>
  <c r="AV67"/>
  <c r="AC67"/>
  <c r="H67"/>
  <c r="G67" s="1"/>
  <c r="BT66"/>
  <c r="BS66"/>
  <c r="BR66"/>
  <c r="BQ66"/>
  <c r="BP66"/>
  <c r="BO66"/>
  <c r="BN66"/>
  <c r="BM66"/>
  <c r="BL66"/>
  <c r="BK66"/>
  <c r="BJ66"/>
  <c r="BI66"/>
  <c r="BH66"/>
  <c r="BG66"/>
  <c r="BF66"/>
  <c r="BE66"/>
  <c r="BD66"/>
  <c r="BC66"/>
  <c r="BB66"/>
  <c r="BA66" s="1"/>
  <c r="AZ66" s="1"/>
  <c r="AX66"/>
  <c r="AW66"/>
  <c r="AV66"/>
  <c r="AC66"/>
  <c r="G66" s="1"/>
  <c r="H66"/>
  <c r="BT65"/>
  <c r="BS65"/>
  <c r="BR65"/>
  <c r="BQ65"/>
  <c r="BP65"/>
  <c r="BO65"/>
  <c r="BN65"/>
  <c r="BM65"/>
  <c r="BL65" s="1"/>
  <c r="BK65"/>
  <c r="BJ65"/>
  <c r="BI65"/>
  <c r="BH65"/>
  <c r="BG65"/>
  <c r="BF65"/>
  <c r="BE65"/>
  <c r="BD65"/>
  <c r="BC65"/>
  <c r="BB65"/>
  <c r="BA65"/>
  <c r="AZ65" s="1"/>
  <c r="AX65"/>
  <c r="AW65"/>
  <c r="AV65"/>
  <c r="AC65"/>
  <c r="H65"/>
  <c r="G65" s="1"/>
  <c r="BT64"/>
  <c r="BS64"/>
  <c r="BR64"/>
  <c r="BQ64"/>
  <c r="BP64"/>
  <c r="BO64"/>
  <c r="BN64"/>
  <c r="BM64"/>
  <c r="BL64"/>
  <c r="BK64"/>
  <c r="BJ64"/>
  <c r="BI64"/>
  <c r="BH64"/>
  <c r="BG64"/>
  <c r="BF64"/>
  <c r="BE64"/>
  <c r="BD64"/>
  <c r="BC64"/>
  <c r="BB64"/>
  <c r="BA64" s="1"/>
  <c r="AZ64" s="1"/>
  <c r="AX64"/>
  <c r="AW64"/>
  <c r="AV64"/>
  <c r="AC64"/>
  <c r="G64" s="1"/>
  <c r="H64"/>
  <c r="BT63"/>
  <c r="BS63"/>
  <c r="BR63"/>
  <c r="BQ63"/>
  <c r="BP63"/>
  <c r="BO63"/>
  <c r="BN63"/>
  <c r="BM63"/>
  <c r="BL63" s="1"/>
  <c r="BK63"/>
  <c r="BJ63"/>
  <c r="BI63"/>
  <c r="BH63"/>
  <c r="BG63"/>
  <c r="BF63"/>
  <c r="BE63"/>
  <c r="BD63"/>
  <c r="BC63"/>
  <c r="BA63" s="1"/>
  <c r="AZ63" s="1"/>
  <c r="BB63"/>
  <c r="AX63"/>
  <c r="AW63"/>
  <c r="AV63"/>
  <c r="AC63"/>
  <c r="H63"/>
  <c r="G63" s="1"/>
  <c r="BT62"/>
  <c r="BS62"/>
  <c r="BR62"/>
  <c r="BQ62"/>
  <c r="BP62"/>
  <c r="BO62"/>
  <c r="BN62"/>
  <c r="BM62"/>
  <c r="BL62"/>
  <c r="BK62"/>
  <c r="BJ62"/>
  <c r="BI62"/>
  <c r="BH62"/>
  <c r="BG62"/>
  <c r="BF62"/>
  <c r="BE62"/>
  <c r="BD62"/>
  <c r="BC62"/>
  <c r="BB62"/>
  <c r="BA62" s="1"/>
  <c r="AZ62" s="1"/>
  <c r="AX62"/>
  <c r="AW62"/>
  <c r="AV62"/>
  <c r="AC62"/>
  <c r="G62" s="1"/>
  <c r="H62"/>
  <c r="BT61"/>
  <c r="BS61"/>
  <c r="BR61"/>
  <c r="BQ61"/>
  <c r="BP61"/>
  <c r="BO61"/>
  <c r="BN61"/>
  <c r="BM61"/>
  <c r="BL61" s="1"/>
  <c r="BK61"/>
  <c r="BJ61"/>
  <c r="BI61"/>
  <c r="BH61"/>
  <c r="BG61"/>
  <c r="BF61"/>
  <c r="BE61"/>
  <c r="BD61"/>
  <c r="BC61"/>
  <c r="BB61"/>
  <c r="BA61"/>
  <c r="AX61"/>
  <c r="AW61"/>
  <c r="AV61"/>
  <c r="AC61"/>
  <c r="H61"/>
  <c r="G61" s="1"/>
  <c r="BT60"/>
  <c r="BS60"/>
  <c r="BR60"/>
  <c r="BQ60"/>
  <c r="BP60"/>
  <c r="BO60"/>
  <c r="BN60"/>
  <c r="BM60"/>
  <c r="BL60"/>
  <c r="BK60"/>
  <c r="BJ60"/>
  <c r="BI60"/>
  <c r="BH60"/>
  <c r="BG60"/>
  <c r="BF60"/>
  <c r="BE60"/>
  <c r="BD60"/>
  <c r="BC60"/>
  <c r="BB60"/>
  <c r="BA60" s="1"/>
  <c r="AZ60" s="1"/>
  <c r="AX60"/>
  <c r="AW60"/>
  <c r="AV60"/>
  <c r="AC60"/>
  <c r="G60" s="1"/>
  <c r="H60"/>
  <c r="BT59"/>
  <c r="BS59"/>
  <c r="BR59"/>
  <c r="BQ59"/>
  <c r="BP59"/>
  <c r="BO59"/>
  <c r="BN59"/>
  <c r="BM59"/>
  <c r="BL59" s="1"/>
  <c r="BK59"/>
  <c r="BJ59"/>
  <c r="BI59"/>
  <c r="BH59"/>
  <c r="BG59"/>
  <c r="BF59"/>
  <c r="BE59"/>
  <c r="BD59"/>
  <c r="BC59"/>
  <c r="BB59"/>
  <c r="BA59"/>
  <c r="AX59"/>
  <c r="AW59"/>
  <c r="AV59"/>
  <c r="AC59"/>
  <c r="H59"/>
  <c r="G59" s="1"/>
  <c r="BT58"/>
  <c r="BS58"/>
  <c r="BR58"/>
  <c r="BQ58"/>
  <c r="BP58"/>
  <c r="BO58"/>
  <c r="BN58"/>
  <c r="BM58"/>
  <c r="BL58"/>
  <c r="BK58"/>
  <c r="BJ58"/>
  <c r="BI58"/>
  <c r="BH58"/>
  <c r="BG58"/>
  <c r="BF58"/>
  <c r="BE58"/>
  <c r="BD58"/>
  <c r="BC58"/>
  <c r="BB58"/>
  <c r="BA58" s="1"/>
  <c r="AZ58" s="1"/>
  <c r="AX58"/>
  <c r="AW58"/>
  <c r="AV58"/>
  <c r="AC58"/>
  <c r="G58" s="1"/>
  <c r="H58"/>
  <c r="BT57"/>
  <c r="BS57"/>
  <c r="BR57"/>
  <c r="BQ57"/>
  <c r="BP57"/>
  <c r="BO57"/>
  <c r="BN57"/>
  <c r="BM57"/>
  <c r="BL57" s="1"/>
  <c r="BK57"/>
  <c r="BJ57"/>
  <c r="BI57"/>
  <c r="BH57"/>
  <c r="BG57"/>
  <c r="BF57"/>
  <c r="BE57"/>
  <c r="BD57"/>
  <c r="BC57"/>
  <c r="BB57"/>
  <c r="BA57"/>
  <c r="AZ57" s="1"/>
  <c r="AX57"/>
  <c r="AW57"/>
  <c r="AV57"/>
  <c r="AC57"/>
  <c r="H57"/>
  <c r="G57" s="1"/>
  <c r="BT56"/>
  <c r="BS56"/>
  <c r="BR56"/>
  <c r="BQ56"/>
  <c r="BP56"/>
  <c r="BO56"/>
  <c r="BN56"/>
  <c r="BM56"/>
  <c r="BL56"/>
  <c r="BK56"/>
  <c r="BJ56"/>
  <c r="BI56"/>
  <c r="BH56"/>
  <c r="BG56"/>
  <c r="BF56"/>
  <c r="BE56"/>
  <c r="BD56"/>
  <c r="BC56"/>
  <c r="BB56"/>
  <c r="BA56" s="1"/>
  <c r="AZ56" s="1"/>
  <c r="AX56"/>
  <c r="AW56"/>
  <c r="AV56"/>
  <c r="AC56"/>
  <c r="G56" s="1"/>
  <c r="H56"/>
  <c r="BT55"/>
  <c r="BS55"/>
  <c r="BR55"/>
  <c r="BQ55"/>
  <c r="BP55"/>
  <c r="BO55"/>
  <c r="BN55"/>
  <c r="BM55"/>
  <c r="BL55" s="1"/>
  <c r="BK55"/>
  <c r="BJ55"/>
  <c r="BI55"/>
  <c r="BH55"/>
  <c r="BG55"/>
  <c r="BF55"/>
  <c r="BE55"/>
  <c r="BD55"/>
  <c r="BC55"/>
  <c r="BB55"/>
  <c r="BA55"/>
  <c r="AZ55" s="1"/>
  <c r="AX55"/>
  <c r="AW55"/>
  <c r="AV55"/>
  <c r="AC55"/>
  <c r="H55"/>
  <c r="G55" s="1"/>
  <c r="BT54"/>
  <c r="BS54"/>
  <c r="BR54"/>
  <c r="BQ54"/>
  <c r="BP54"/>
  <c r="BO54"/>
  <c r="BN54"/>
  <c r="BM54"/>
  <c r="BL54"/>
  <c r="BK54"/>
  <c r="BJ54"/>
  <c r="BI54"/>
  <c r="BH54"/>
  <c r="BG54"/>
  <c r="BF54"/>
  <c r="BE54"/>
  <c r="BD54"/>
  <c r="BC54"/>
  <c r="BB54"/>
  <c r="BA54" s="1"/>
  <c r="AZ54" s="1"/>
  <c r="AX54"/>
  <c r="AW54"/>
  <c r="AV54"/>
  <c r="AC54"/>
  <c r="G54" s="1"/>
  <c r="H54"/>
  <c r="BT53"/>
  <c r="BS53"/>
  <c r="BR53"/>
  <c r="BQ53"/>
  <c r="BP53"/>
  <c r="BO53"/>
  <c r="BN53"/>
  <c r="BM53"/>
  <c r="BL53" s="1"/>
  <c r="BK53"/>
  <c r="BJ53"/>
  <c r="BI53"/>
  <c r="BH53"/>
  <c r="BG53"/>
  <c r="BF53"/>
  <c r="BE53"/>
  <c r="BD53"/>
  <c r="BC53"/>
  <c r="BA53" s="1"/>
  <c r="AZ53" s="1"/>
  <c r="BB53"/>
  <c r="AX53"/>
  <c r="AW53"/>
  <c r="AV53"/>
  <c r="AC53"/>
  <c r="H53"/>
  <c r="G53" s="1"/>
  <c r="BT52"/>
  <c r="BS52"/>
  <c r="BR52"/>
  <c r="BQ52"/>
  <c r="BP52"/>
  <c r="BO52"/>
  <c r="BN52"/>
  <c r="BM52"/>
  <c r="BL52"/>
  <c r="BK52"/>
  <c r="BJ52"/>
  <c r="BI52"/>
  <c r="BH52"/>
  <c r="BG52"/>
  <c r="BF52"/>
  <c r="BE52"/>
  <c r="BD52"/>
  <c r="BC52"/>
  <c r="BB52"/>
  <c r="BA52" s="1"/>
  <c r="AZ52" s="1"/>
  <c r="AX52"/>
  <c r="AW52"/>
  <c r="AV52"/>
  <c r="AC52"/>
  <c r="G52" s="1"/>
  <c r="H52"/>
  <c r="BT51"/>
  <c r="BS51"/>
  <c r="BR51"/>
  <c r="BQ51"/>
  <c r="BP51"/>
  <c r="BO51"/>
  <c r="BN51"/>
  <c r="BM51"/>
  <c r="BL51" s="1"/>
  <c r="BK51"/>
  <c r="BJ51"/>
  <c r="BI51"/>
  <c r="BH51"/>
  <c r="BG51"/>
  <c r="BF51"/>
  <c r="BE51"/>
  <c r="BD51"/>
  <c r="BC51"/>
  <c r="BB51"/>
  <c r="BA51"/>
  <c r="AX51"/>
  <c r="AW51"/>
  <c r="AV51"/>
  <c r="AC51"/>
  <c r="H51"/>
  <c r="G51" s="1"/>
  <c r="BT50"/>
  <c r="BS50"/>
  <c r="BR50"/>
  <c r="BQ50"/>
  <c r="BP50"/>
  <c r="BO50"/>
  <c r="BN50"/>
  <c r="BM50"/>
  <c r="BL50"/>
  <c r="BK50"/>
  <c r="BJ50"/>
  <c r="BI50"/>
  <c r="BH50"/>
  <c r="BG50"/>
  <c r="BF50"/>
  <c r="BE50"/>
  <c r="BD50"/>
  <c r="BC50"/>
  <c r="BB50"/>
  <c r="BA50" s="1"/>
  <c r="AZ50" s="1"/>
  <c r="AX50"/>
  <c r="AW50"/>
  <c r="AV50"/>
  <c r="AC50"/>
  <c r="G50" s="1"/>
  <c r="H50"/>
  <c r="BT49"/>
  <c r="BS49"/>
  <c r="BR49"/>
  <c r="BQ49"/>
  <c r="BP49"/>
  <c r="BO49"/>
  <c r="BN49"/>
  <c r="BM49"/>
  <c r="BL49" s="1"/>
  <c r="BK49"/>
  <c r="BJ49"/>
  <c r="BI49"/>
  <c r="BH49"/>
  <c r="BG49"/>
  <c r="BF49"/>
  <c r="BE49"/>
  <c r="BD49"/>
  <c r="BC49"/>
  <c r="BB49"/>
  <c r="BA49"/>
  <c r="AX49"/>
  <c r="AW49"/>
  <c r="AV49"/>
  <c r="AC49"/>
  <c r="H49"/>
  <c r="G49" s="1"/>
  <c r="BT48"/>
  <c r="BS48"/>
  <c r="BR48"/>
  <c r="BQ48"/>
  <c r="BP48"/>
  <c r="BO48"/>
  <c r="BN48"/>
  <c r="BM48"/>
  <c r="BL48"/>
  <c r="BK48"/>
  <c r="BJ48"/>
  <c r="BI48"/>
  <c r="BH48"/>
  <c r="BG48"/>
  <c r="BF48"/>
  <c r="BE48"/>
  <c r="BD48"/>
  <c r="BC48"/>
  <c r="BB48"/>
  <c r="BA48" s="1"/>
  <c r="AZ48" s="1"/>
  <c r="AX48"/>
  <c r="AW48"/>
  <c r="AV48"/>
  <c r="AC48"/>
  <c r="G48" s="1"/>
  <c r="H48"/>
  <c r="BT47"/>
  <c r="BS47"/>
  <c r="BR47"/>
  <c r="BQ47"/>
  <c r="BP47"/>
  <c r="BO47"/>
  <c r="BN47"/>
  <c r="BM47"/>
  <c r="BL47" s="1"/>
  <c r="BK47"/>
  <c r="BJ47"/>
  <c r="BI47"/>
  <c r="BH47"/>
  <c r="BG47"/>
  <c r="BF47"/>
  <c r="BE47"/>
  <c r="BD47"/>
  <c r="BC47"/>
  <c r="BB47"/>
  <c r="BA47"/>
  <c r="AZ47" s="1"/>
  <c r="AX47"/>
  <c r="AW47"/>
  <c r="AV47"/>
  <c r="AC47"/>
  <c r="H47"/>
  <c r="G47" s="1"/>
  <c r="BT46"/>
  <c r="BS46"/>
  <c r="BR46"/>
  <c r="BQ46"/>
  <c r="BP46"/>
  <c r="BO46"/>
  <c r="BN46"/>
  <c r="BM46"/>
  <c r="BL46"/>
  <c r="BK46"/>
  <c r="BJ46"/>
  <c r="BI46"/>
  <c r="BH46"/>
  <c r="BG46"/>
  <c r="BF46"/>
  <c r="BE46"/>
  <c r="BD46"/>
  <c r="BC46"/>
  <c r="BB46"/>
  <c r="BA46" s="1"/>
  <c r="AZ46" s="1"/>
  <c r="AX46"/>
  <c r="AW46"/>
  <c r="AV46"/>
  <c r="AC46"/>
  <c r="G46" s="1"/>
  <c r="H46"/>
  <c r="BT45"/>
  <c r="BS45"/>
  <c r="BR45"/>
  <c r="BQ45"/>
  <c r="BP45"/>
  <c r="BO45"/>
  <c r="BN45"/>
  <c r="BM45"/>
  <c r="BL45" s="1"/>
  <c r="BK45"/>
  <c r="BJ45"/>
  <c r="BI45"/>
  <c r="BH45"/>
  <c r="BG45"/>
  <c r="BF45"/>
  <c r="BE45"/>
  <c r="BD45"/>
  <c r="BC45"/>
  <c r="BB45"/>
  <c r="BA45"/>
  <c r="AZ45" s="1"/>
  <c r="AX45"/>
  <c r="AW45"/>
  <c r="AV45"/>
  <c r="AC45"/>
  <c r="H45"/>
  <c r="G45" s="1"/>
  <c r="BT44"/>
  <c r="BS44"/>
  <c r="BR44"/>
  <c r="BQ44"/>
  <c r="BP44"/>
  <c r="BO44"/>
  <c r="BN44"/>
  <c r="BM44"/>
  <c r="BL44"/>
  <c r="BK44"/>
  <c r="BJ44"/>
  <c r="BI44"/>
  <c r="BH44"/>
  <c r="BG44"/>
  <c r="BF44"/>
  <c r="BE44"/>
  <c r="BD44"/>
  <c r="BC44"/>
  <c r="BB44"/>
  <c r="BA44" s="1"/>
  <c r="AZ44" s="1"/>
  <c r="AX44"/>
  <c r="AW44"/>
  <c r="AV44"/>
  <c r="AC44"/>
  <c r="G44" s="1"/>
  <c r="H44"/>
  <c r="BT43"/>
  <c r="BS43"/>
  <c r="BR43"/>
  <c r="BQ43"/>
  <c r="BP43"/>
  <c r="BO43"/>
  <c r="BN43"/>
  <c r="BM43"/>
  <c r="BL43" s="1"/>
  <c r="BK43"/>
  <c r="BJ43"/>
  <c r="BI43"/>
  <c r="BH43"/>
  <c r="BG43"/>
  <c r="BF43"/>
  <c r="BE43"/>
  <c r="BD43"/>
  <c r="BC43"/>
  <c r="BB43"/>
  <c r="BA43"/>
  <c r="AZ43" s="1"/>
  <c r="AX43"/>
  <c r="AW43"/>
  <c r="AV43"/>
  <c r="AC43"/>
  <c r="H43"/>
  <c r="G43" s="1"/>
  <c r="BT42"/>
  <c r="BS42"/>
  <c r="BR42"/>
  <c r="BQ42"/>
  <c r="BP42"/>
  <c r="BO42"/>
  <c r="BN42"/>
  <c r="BM42"/>
  <c r="BL42"/>
  <c r="BK42"/>
  <c r="BJ42"/>
  <c r="BI42"/>
  <c r="BH42"/>
  <c r="BG42"/>
  <c r="BF42"/>
  <c r="BE42"/>
  <c r="BD42"/>
  <c r="BC42"/>
  <c r="BB42"/>
  <c r="BA42" s="1"/>
  <c r="AZ42" s="1"/>
  <c r="AX42"/>
  <c r="AW42"/>
  <c r="AV42"/>
  <c r="AC42"/>
  <c r="G42" s="1"/>
  <c r="H42"/>
  <c r="BT41"/>
  <c r="BS41"/>
  <c r="BR41"/>
  <c r="BQ41"/>
  <c r="BP41"/>
  <c r="BO41"/>
  <c r="BN41"/>
  <c r="BM41"/>
  <c r="BL41" s="1"/>
  <c r="BK41"/>
  <c r="BJ41"/>
  <c r="BI41"/>
  <c r="BH41"/>
  <c r="BG41"/>
  <c r="BF41"/>
  <c r="BE41"/>
  <c r="BD41"/>
  <c r="BC41"/>
  <c r="BA41" s="1"/>
  <c r="AZ41" s="1"/>
  <c r="BB41"/>
  <c r="AX41"/>
  <c r="AW41"/>
  <c r="AV41"/>
  <c r="AC41"/>
  <c r="H41"/>
  <c r="G41" s="1"/>
  <c r="BT40"/>
  <c r="BS40"/>
  <c r="BR40"/>
  <c r="BQ40"/>
  <c r="BP40"/>
  <c r="BO40"/>
  <c r="BN40"/>
  <c r="BM40"/>
  <c r="BL40"/>
  <c r="BK40"/>
  <c r="BJ40"/>
  <c r="BI40"/>
  <c r="BH40"/>
  <c r="BG40"/>
  <c r="BF40"/>
  <c r="BE40"/>
  <c r="BD40"/>
  <c r="BC40"/>
  <c r="BB40"/>
  <c r="BA40" s="1"/>
  <c r="AZ40" s="1"/>
  <c r="AX40"/>
  <c r="AW40"/>
  <c r="AV40"/>
  <c r="AC40"/>
  <c r="G40" s="1"/>
  <c r="H40"/>
  <c r="BT39"/>
  <c r="BS39"/>
  <c r="BR39"/>
  <c r="BQ39"/>
  <c r="BP39"/>
  <c r="BO39"/>
  <c r="BN39"/>
  <c r="BM39"/>
  <c r="BL39" s="1"/>
  <c r="BK39"/>
  <c r="BJ39"/>
  <c r="BI39"/>
  <c r="BH39"/>
  <c r="BG39"/>
  <c r="BF39"/>
  <c r="BE39"/>
  <c r="BD39"/>
  <c r="BC39"/>
  <c r="BB39"/>
  <c r="BA39"/>
  <c r="AX39"/>
  <c r="AW39"/>
  <c r="AV39"/>
  <c r="AC39"/>
  <c r="H39"/>
  <c r="G39" s="1"/>
  <c r="BT38"/>
  <c r="BS38"/>
  <c r="BR38"/>
  <c r="BQ38"/>
  <c r="BP38"/>
  <c r="BO38"/>
  <c r="BN38"/>
  <c r="BM38"/>
  <c r="BL38"/>
  <c r="BK38"/>
  <c r="BJ38"/>
  <c r="BI38"/>
  <c r="BH38"/>
  <c r="BG38"/>
  <c r="BF38"/>
  <c r="BE38"/>
  <c r="BD38"/>
  <c r="BC38"/>
  <c r="BB38"/>
  <c r="BA38" s="1"/>
  <c r="AZ38" s="1"/>
  <c r="AX38"/>
  <c r="AW38"/>
  <c r="AV38"/>
  <c r="AC38"/>
  <c r="G38" s="1"/>
  <c r="H38"/>
  <c r="BT37"/>
  <c r="BS37"/>
  <c r="BR37"/>
  <c r="BQ37"/>
  <c r="BP37"/>
  <c r="BO37"/>
  <c r="BN37"/>
  <c r="BM37"/>
  <c r="BL37" s="1"/>
  <c r="BK37"/>
  <c r="BJ37"/>
  <c r="BI37"/>
  <c r="BH37"/>
  <c r="BG37"/>
  <c r="BF37"/>
  <c r="BE37"/>
  <c r="BD37"/>
  <c r="BC37"/>
  <c r="BB37"/>
  <c r="BA37"/>
  <c r="AZ37" s="1"/>
  <c r="AX37"/>
  <c r="AW37"/>
  <c r="AV37"/>
  <c r="AC37"/>
  <c r="H37"/>
  <c r="G37" s="1"/>
  <c r="BT36"/>
  <c r="BS36"/>
  <c r="BR36"/>
  <c r="BQ36"/>
  <c r="BP36"/>
  <c r="BO36"/>
  <c r="BN36"/>
  <c r="BM36"/>
  <c r="BL36"/>
  <c r="BK36"/>
  <c r="BJ36"/>
  <c r="BI36"/>
  <c r="BH36"/>
  <c r="BG36"/>
  <c r="BF36"/>
  <c r="BE36"/>
  <c r="BD36"/>
  <c r="BC36"/>
  <c r="BB36"/>
  <c r="BA36" s="1"/>
  <c r="AZ36" s="1"/>
  <c r="AX36"/>
  <c r="AW36"/>
  <c r="AV36"/>
  <c r="AC36"/>
  <c r="G36" s="1"/>
  <c r="H36"/>
  <c r="BT35"/>
  <c r="BS35"/>
  <c r="BR35"/>
  <c r="BQ35"/>
  <c r="BP35"/>
  <c r="BO35"/>
  <c r="BN35"/>
  <c r="BM35"/>
  <c r="BL35" s="1"/>
  <c r="BK35"/>
  <c r="BJ35"/>
  <c r="BI35"/>
  <c r="BH35"/>
  <c r="BG35"/>
  <c r="BF35"/>
  <c r="BE35"/>
  <c r="BD35"/>
  <c r="BC35"/>
  <c r="BB35"/>
  <c r="BA35"/>
  <c r="AZ35" s="1"/>
  <c r="AX35"/>
  <c r="AW35"/>
  <c r="AV35"/>
  <c r="AC35"/>
  <c r="H35"/>
  <c r="G35" s="1"/>
  <c r="BT34"/>
  <c r="BS34"/>
  <c r="BR34"/>
  <c r="BQ34"/>
  <c r="BP34"/>
  <c r="BO34"/>
  <c r="BN34"/>
  <c r="BM34"/>
  <c r="BL34"/>
  <c r="BK34"/>
  <c r="BJ34"/>
  <c r="BI34"/>
  <c r="BH34"/>
  <c r="BG34"/>
  <c r="BF34"/>
  <c r="BE34"/>
  <c r="BD34"/>
  <c r="BC34"/>
  <c r="BB34"/>
  <c r="BA34" s="1"/>
  <c r="AZ34" s="1"/>
  <c r="AX34"/>
  <c r="AW34"/>
  <c r="AV34"/>
  <c r="AC34"/>
  <c r="G34" s="1"/>
  <c r="H34"/>
  <c r="BT33"/>
  <c r="BS33"/>
  <c r="BR33"/>
  <c r="BQ33"/>
  <c r="BP33"/>
  <c r="BO33"/>
  <c r="BN33"/>
  <c r="BM33"/>
  <c r="BL33" s="1"/>
  <c r="BK33"/>
  <c r="BJ33"/>
  <c r="BI33"/>
  <c r="BH33"/>
  <c r="BG33"/>
  <c r="BF33"/>
  <c r="BE33"/>
  <c r="BD33"/>
  <c r="BC33"/>
  <c r="BB33"/>
  <c r="BA33"/>
  <c r="AZ33" s="1"/>
  <c r="AX33"/>
  <c r="AW33"/>
  <c r="AV33"/>
  <c r="AC33"/>
  <c r="H33"/>
  <c r="G33" s="1"/>
  <c r="BT32"/>
  <c r="BS32"/>
  <c r="BR32"/>
  <c r="BQ32"/>
  <c r="BP32"/>
  <c r="BO32"/>
  <c r="BN32"/>
  <c r="BM32"/>
  <c r="BL32"/>
  <c r="BK32"/>
  <c r="BJ32"/>
  <c r="BI32"/>
  <c r="BH32"/>
  <c r="BG32"/>
  <c r="BF32"/>
  <c r="BE32"/>
  <c r="BD32"/>
  <c r="BC32"/>
  <c r="BB32"/>
  <c r="BA32" s="1"/>
  <c r="AZ32" s="1"/>
  <c r="AX32"/>
  <c r="AW32"/>
  <c r="AV32"/>
  <c r="AC32"/>
  <c r="G32" s="1"/>
  <c r="H32"/>
  <c r="BT31"/>
  <c r="BS31"/>
  <c r="BR31"/>
  <c r="BQ31"/>
  <c r="BP31"/>
  <c r="BO31"/>
  <c r="BN31"/>
  <c r="BM31"/>
  <c r="BL31" s="1"/>
  <c r="BK31"/>
  <c r="BJ31"/>
  <c r="BI31"/>
  <c r="BH31"/>
  <c r="BG31"/>
  <c r="BF31"/>
  <c r="BE31"/>
  <c r="BD31"/>
  <c r="BC31"/>
  <c r="BB31"/>
  <c r="BA31"/>
  <c r="AZ31" s="1"/>
  <c r="AX31"/>
  <c r="AW31"/>
  <c r="AV31"/>
  <c r="AC31"/>
  <c r="H31"/>
  <c r="G31" s="1"/>
  <c r="BT30"/>
  <c r="BS30"/>
  <c r="BR30"/>
  <c r="BQ30"/>
  <c r="BP30"/>
  <c r="BO30"/>
  <c r="BN30"/>
  <c r="BM30"/>
  <c r="BL30"/>
  <c r="BK30"/>
  <c r="BJ30"/>
  <c r="BI30"/>
  <c r="BH30"/>
  <c r="BG30"/>
  <c r="BF30"/>
  <c r="BE30"/>
  <c r="BD30"/>
  <c r="BC30"/>
  <c r="BB30"/>
  <c r="BA30" s="1"/>
  <c r="AZ30" s="1"/>
  <c r="AX30"/>
  <c r="AW30"/>
  <c r="AV30"/>
  <c r="AC30"/>
  <c r="G30" s="1"/>
  <c r="H30"/>
  <c r="BT29"/>
  <c r="BS29"/>
  <c r="BR29"/>
  <c r="BQ29"/>
  <c r="BP29"/>
  <c r="BO29"/>
  <c r="BN29"/>
  <c r="BM29"/>
  <c r="BL29" s="1"/>
  <c r="BK29"/>
  <c r="BJ29"/>
  <c r="BI29"/>
  <c r="BH29"/>
  <c r="BG29"/>
  <c r="BF29"/>
  <c r="BE29"/>
  <c r="BD29"/>
  <c r="BC29"/>
  <c r="BB29"/>
  <c r="BA29"/>
  <c r="AZ29" s="1"/>
  <c r="AX29"/>
  <c r="AW29"/>
  <c r="AV29"/>
  <c r="AC29"/>
  <c r="H29"/>
  <c r="G29" s="1"/>
  <c r="BT28"/>
  <c r="BS28"/>
  <c r="BR28"/>
  <c r="BQ28"/>
  <c r="BP28"/>
  <c r="BO28"/>
  <c r="BN28"/>
  <c r="BM28"/>
  <c r="BL28"/>
  <c r="BK28"/>
  <c r="BJ28"/>
  <c r="BI28"/>
  <c r="BH28"/>
  <c r="BG28"/>
  <c r="BF28"/>
  <c r="BE28"/>
  <c r="BD28"/>
  <c r="BC28"/>
  <c r="BB28"/>
  <c r="BA28" s="1"/>
  <c r="AZ28" s="1"/>
  <c r="AX28"/>
  <c r="AW28"/>
  <c r="AV28"/>
  <c r="AC28"/>
  <c r="G28" s="1"/>
  <c r="H28"/>
  <c r="BT27"/>
  <c r="BS27"/>
  <c r="BR27"/>
  <c r="BQ27"/>
  <c r="BP27"/>
  <c r="BO27"/>
  <c r="BN27"/>
  <c r="BM27"/>
  <c r="BL27" s="1"/>
  <c r="BK27"/>
  <c r="BJ27"/>
  <c r="BI27"/>
  <c r="BH27"/>
  <c r="BG27"/>
  <c r="BF27"/>
  <c r="BE27"/>
  <c r="BD27"/>
  <c r="BC27"/>
  <c r="BB27"/>
  <c r="BA27"/>
  <c r="AZ27" s="1"/>
  <c r="AX27"/>
  <c r="AW27"/>
  <c r="AV27"/>
  <c r="AC27"/>
  <c r="H27"/>
  <c r="G27" s="1"/>
  <c r="BT26"/>
  <c r="BS26"/>
  <c r="BR26"/>
  <c r="BQ26"/>
  <c r="BP26"/>
  <c r="BO26"/>
  <c r="BN26"/>
  <c r="BM26"/>
  <c r="BL26"/>
  <c r="BK26"/>
  <c r="BJ26"/>
  <c r="BI26"/>
  <c r="BH26"/>
  <c r="BG26"/>
  <c r="BF26"/>
  <c r="BE26"/>
  <c r="BD26"/>
  <c r="BC26"/>
  <c r="BB26"/>
  <c r="BA26" s="1"/>
  <c r="AZ26" s="1"/>
  <c r="AX26"/>
  <c r="AW26"/>
  <c r="AV26"/>
  <c r="AC26"/>
  <c r="G26" s="1"/>
  <c r="H26"/>
  <c r="BT25"/>
  <c r="BS25"/>
  <c r="BR25"/>
  <c r="BQ25"/>
  <c r="BP25"/>
  <c r="BO25"/>
  <c r="BN25"/>
  <c r="BM25"/>
  <c r="BL25" s="1"/>
  <c r="BK25"/>
  <c r="BJ25"/>
  <c r="BI25"/>
  <c r="BH25"/>
  <c r="BG25"/>
  <c r="BF25"/>
  <c r="BE25"/>
  <c r="BD25"/>
  <c r="BC25"/>
  <c r="BB25"/>
  <c r="BA25"/>
  <c r="AZ25" s="1"/>
  <c r="AX25"/>
  <c r="AW25"/>
  <c r="AV25"/>
  <c r="AC25"/>
  <c r="H25"/>
  <c r="G25" s="1"/>
  <c r="BT24"/>
  <c r="BS24"/>
  <c r="BR24"/>
  <c r="BQ24"/>
  <c r="BP24"/>
  <c r="BO24"/>
  <c r="BN24"/>
  <c r="BM24"/>
  <c r="BL24"/>
  <c r="BK24"/>
  <c r="BJ24"/>
  <c r="BI24"/>
  <c r="BH24"/>
  <c r="BG24"/>
  <c r="BF24"/>
  <c r="BE24"/>
  <c r="BD24"/>
  <c r="BC24"/>
  <c r="BB24"/>
  <c r="BA24" s="1"/>
  <c r="AZ24" s="1"/>
  <c r="AX24"/>
  <c r="AW24"/>
  <c r="AV24"/>
  <c r="AC24"/>
  <c r="G24" s="1"/>
  <c r="H24"/>
  <c r="BT23"/>
  <c r="BS23"/>
  <c r="BR23"/>
  <c r="BQ23"/>
  <c r="BP23"/>
  <c r="BO23"/>
  <c r="BN23"/>
  <c r="BM23"/>
  <c r="BL23" s="1"/>
  <c r="BK23"/>
  <c r="BJ23"/>
  <c r="BI23"/>
  <c r="BH23"/>
  <c r="BG23"/>
  <c r="BF23"/>
  <c r="BE23"/>
  <c r="BD23"/>
  <c r="BC23"/>
  <c r="BA23" s="1"/>
  <c r="AZ23" s="1"/>
  <c r="BB23"/>
  <c r="AX23"/>
  <c r="AW23"/>
  <c r="AV23"/>
  <c r="AC23"/>
  <c r="H23"/>
  <c r="G23" s="1"/>
  <c r="BT22"/>
  <c r="BS22"/>
  <c r="BR22"/>
  <c r="BQ22"/>
  <c r="BP22"/>
  <c r="BO22"/>
  <c r="BN22"/>
  <c r="BM22"/>
  <c r="BL22"/>
  <c r="BK22"/>
  <c r="BJ22"/>
  <c r="BI22"/>
  <c r="BH22"/>
  <c r="BG22"/>
  <c r="BF22"/>
  <c r="BE22"/>
  <c r="BD22"/>
  <c r="BC22"/>
  <c r="BB22"/>
  <c r="BA22" s="1"/>
  <c r="AZ22" s="1"/>
  <c r="AX22"/>
  <c r="AW22"/>
  <c r="AV22"/>
  <c r="AC22"/>
  <c r="G22" s="1"/>
  <c r="H22"/>
  <c r="BT21"/>
  <c r="BS21"/>
  <c r="BR21"/>
  <c r="BQ21"/>
  <c r="BP21"/>
  <c r="BO21"/>
  <c r="BN21"/>
  <c r="BM21"/>
  <c r="BL21" s="1"/>
  <c r="BK21"/>
  <c r="BJ21"/>
  <c r="BI21"/>
  <c r="BH21"/>
  <c r="BG21"/>
  <c r="BF21"/>
  <c r="BE21"/>
  <c r="BD21"/>
  <c r="BC21"/>
  <c r="BB21"/>
  <c r="BA21"/>
  <c r="AX21"/>
  <c r="AW21"/>
  <c r="AV21"/>
  <c r="AC21"/>
  <c r="H21"/>
  <c r="G21" s="1"/>
  <c r="BT20"/>
  <c r="BS20"/>
  <c r="BR20"/>
  <c r="BQ20"/>
  <c r="BP20"/>
  <c r="BO20"/>
  <c r="BN20"/>
  <c r="BM20"/>
  <c r="BL20"/>
  <c r="BK20"/>
  <c r="BJ20"/>
  <c r="BI20"/>
  <c r="BH20"/>
  <c r="BG20"/>
  <c r="BF20"/>
  <c r="BE20"/>
  <c r="BD20"/>
  <c r="BC20"/>
  <c r="BB20"/>
  <c r="BA20" s="1"/>
  <c r="AZ20" s="1"/>
  <c r="AX20"/>
  <c r="AW20"/>
  <c r="AV20"/>
  <c r="AC20"/>
  <c r="G20" s="1"/>
  <c r="H20"/>
  <c r="BT19"/>
  <c r="BS19"/>
  <c r="BR19"/>
  <c r="BQ19"/>
  <c r="BP19"/>
  <c r="BO19"/>
  <c r="BN19"/>
  <c r="BM19"/>
  <c r="BL19" s="1"/>
  <c r="BK19"/>
  <c r="BJ19"/>
  <c r="BI19"/>
  <c r="BH19"/>
  <c r="BG19"/>
  <c r="BF19"/>
  <c r="BE19"/>
  <c r="BD19"/>
  <c r="BC19"/>
  <c r="BB19"/>
  <c r="BA19"/>
  <c r="AX19"/>
  <c r="AW19"/>
  <c r="AV19"/>
  <c r="AC19"/>
  <c r="H19"/>
  <c r="G19" s="1"/>
  <c r="BT18"/>
  <c r="BS18"/>
  <c r="BR18"/>
  <c r="BQ18"/>
  <c r="BP18"/>
  <c r="BO18"/>
  <c r="BN18"/>
  <c r="BM18"/>
  <c r="BL18"/>
  <c r="BK18"/>
  <c r="BJ18"/>
  <c r="BI18"/>
  <c r="BH18"/>
  <c r="BG18"/>
  <c r="BF18"/>
  <c r="BE18"/>
  <c r="BD18"/>
  <c r="BC18"/>
  <c r="BB18"/>
  <c r="BA18" s="1"/>
  <c r="AZ18" s="1"/>
  <c r="AX18"/>
  <c r="AW18"/>
  <c r="AV18"/>
  <c r="AC18"/>
  <c r="G18" s="1"/>
  <c r="H18"/>
  <c r="BT17"/>
  <c r="BS17"/>
  <c r="BR17"/>
  <c r="BQ17"/>
  <c r="BP17"/>
  <c r="BO17"/>
  <c r="BN17"/>
  <c r="BM17"/>
  <c r="BL17" s="1"/>
  <c r="BK17"/>
  <c r="BJ17"/>
  <c r="BI17"/>
  <c r="BH17"/>
  <c r="BG17"/>
  <c r="BF17"/>
  <c r="BE17"/>
  <c r="BD17"/>
  <c r="BC17"/>
  <c r="BA17" s="1"/>
  <c r="BB17"/>
  <c r="AX17"/>
  <c r="AW17"/>
  <c r="AV17"/>
  <c r="AC17"/>
  <c r="H17"/>
  <c r="G17" s="1"/>
  <c r="BT16"/>
  <c r="BS16"/>
  <c r="BR16"/>
  <c r="BQ16"/>
  <c r="BP16"/>
  <c r="BO16"/>
  <c r="BN16"/>
  <c r="BM16"/>
  <c r="BL16"/>
  <c r="BK16"/>
  <c r="BJ16"/>
  <c r="BI16"/>
  <c r="BH16"/>
  <c r="BG16"/>
  <c r="BF16"/>
  <c r="BE16"/>
  <c r="BD16"/>
  <c r="BC16"/>
  <c r="BB16"/>
  <c r="BA16" s="1"/>
  <c r="AZ16" s="1"/>
  <c r="AX16"/>
  <c r="AW16"/>
  <c r="AV16"/>
  <c r="AC16"/>
  <c r="G16" s="1"/>
  <c r="H16"/>
  <c r="BT15"/>
  <c r="BS15"/>
  <c r="BR15"/>
  <c r="BQ15"/>
  <c r="BP15"/>
  <c r="BO15"/>
  <c r="BN15"/>
  <c r="BM15"/>
  <c r="BL15" s="1"/>
  <c r="BK15"/>
  <c r="BJ15"/>
  <c r="BI15"/>
  <c r="BH15"/>
  <c r="BG15"/>
  <c r="BF15"/>
  <c r="BE15"/>
  <c r="BD15"/>
  <c r="BC15"/>
  <c r="BC5" s="1"/>
  <c r="BB15"/>
  <c r="BA15"/>
  <c r="AZ15" s="1"/>
  <c r="AX15"/>
  <c r="AW15"/>
  <c r="AV15"/>
  <c r="AC15"/>
  <c r="H15"/>
  <c r="G15" s="1"/>
  <c r="BT14"/>
  <c r="BS14"/>
  <c r="BR14"/>
  <c r="BR5" s="1"/>
  <c r="BQ14"/>
  <c r="BP14"/>
  <c r="BO14"/>
  <c r="BN14"/>
  <c r="BN5" s="1"/>
  <c r="BM14"/>
  <c r="BL14"/>
  <c r="BK14"/>
  <c r="BJ14"/>
  <c r="BI14"/>
  <c r="BH14"/>
  <c r="BG14"/>
  <c r="BF14"/>
  <c r="BE14"/>
  <c r="BD14"/>
  <c r="BC14"/>
  <c r="BB14"/>
  <c r="BA14" s="1"/>
  <c r="AX14"/>
  <c r="AW14"/>
  <c r="AV14"/>
  <c r="AC14"/>
  <c r="G14" s="1"/>
  <c r="H14"/>
  <c r="BT13"/>
  <c r="BS13"/>
  <c r="BS5" s="1"/>
  <c r="BR13"/>
  <c r="BQ13"/>
  <c r="BQ5" s="1"/>
  <c r="F28" i="6" s="1"/>
  <c r="BP13" i="3"/>
  <c r="BO13"/>
  <c r="BO5" s="1"/>
  <c r="BN13"/>
  <c r="BM13"/>
  <c r="BL13" s="1"/>
  <c r="BK13"/>
  <c r="BJ13"/>
  <c r="BJ5" s="1"/>
  <c r="BI13"/>
  <c r="BH13"/>
  <c r="BH5" s="1"/>
  <c r="BG13"/>
  <c r="BF13"/>
  <c r="BF5" s="1"/>
  <c r="BE13"/>
  <c r="BD13"/>
  <c r="BD5" s="1"/>
  <c r="BC13"/>
  <c r="BB13"/>
  <c r="BA13" s="1"/>
  <c r="AX13"/>
  <c r="AW13"/>
  <c r="AV13"/>
  <c r="AC13"/>
  <c r="AC5" s="1"/>
  <c r="H13"/>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T5"/>
  <c r="BP5"/>
  <c r="BK5"/>
  <c r="BI5"/>
  <c r="BG5"/>
  <c r="BE5"/>
  <c r="AT5"/>
  <c r="AS5"/>
  <c r="AR5"/>
  <c r="AQ5"/>
  <c r="AP5"/>
  <c r="AO5"/>
  <c r="AN5"/>
  <c r="AM5"/>
  <c r="AL5"/>
  <c r="AK5"/>
  <c r="AJ5"/>
  <c r="AI5"/>
  <c r="AH5"/>
  <c r="AG5"/>
  <c r="AF5"/>
  <c r="AE5"/>
  <c r="AD5"/>
  <c r="AB5"/>
  <c r="AA5"/>
  <c r="Z5"/>
  <c r="Y5"/>
  <c r="X5"/>
  <c r="W5"/>
  <c r="V5"/>
  <c r="U5"/>
  <c r="T5"/>
  <c r="S5"/>
  <c r="R5"/>
  <c r="Q5"/>
  <c r="P5"/>
  <c r="O5"/>
  <c r="N5"/>
  <c r="M5"/>
  <c r="L5"/>
  <c r="K5"/>
  <c r="J5"/>
  <c r="I5"/>
  <c r="H5"/>
  <c r="F5"/>
  <c r="R41" i="4"/>
  <c r="Q41"/>
  <c r="P41"/>
  <c r="O41"/>
  <c r="N41"/>
  <c r="M41"/>
  <c r="L41"/>
  <c r="F41"/>
  <c r="J52" i="40" s="1"/>
  <c r="K40" i="4"/>
  <c r="T40" s="1"/>
  <c r="T41" s="1"/>
  <c r="G36"/>
  <c r="C35"/>
  <c r="L26"/>
  <c r="L25"/>
  <c r="L24"/>
  <c r="F23"/>
  <c r="I19"/>
  <c r="H19"/>
  <c r="F19"/>
  <c r="D19"/>
  <c r="U16"/>
  <c r="T16"/>
  <c r="S16"/>
  <c r="Q16"/>
  <c r="R16" s="1"/>
  <c r="O16"/>
  <c r="M16"/>
  <c r="N16" s="1"/>
  <c r="K16"/>
  <c r="D14"/>
  <c r="K6"/>
  <c r="O76" i="9" s="1"/>
  <c r="K4" i="4"/>
  <c r="B46" i="50" s="1"/>
  <c r="B4" i="63" s="1"/>
  <c r="I4" i="4"/>
  <c r="G4"/>
  <c r="D3"/>
  <c r="C1" i="65" s="1"/>
  <c r="K2" i="4"/>
  <c r="K1"/>
  <c r="B1"/>
  <c r="B37" i="50" s="1"/>
  <c r="B2" i="63" s="1"/>
  <c r="C57" i="10"/>
  <c r="C56"/>
  <c r="C55"/>
  <c r="C54"/>
  <c r="D51"/>
  <c r="A9" i="64" s="1"/>
  <c r="B51" i="10"/>
  <c r="B2" i="52"/>
  <c r="E21" s="1"/>
  <c r="A21" i="55"/>
  <c r="A20"/>
  <c r="B69" i="63" s="1"/>
  <c r="A16" i="55"/>
  <c r="B67" i="63" s="1"/>
  <c r="A15" i="55"/>
  <c r="B66" i="63" s="1"/>
  <c r="A14" i="55"/>
  <c r="B65" i="63" s="1"/>
  <c r="A11" i="55"/>
  <c r="B62" i="63" s="1"/>
  <c r="A10" i="55"/>
  <c r="B61" i="63" s="1"/>
  <c r="A9" i="55"/>
  <c r="A8"/>
  <c r="B59" i="63" s="1"/>
  <c r="A4" i="55"/>
  <c r="A2"/>
  <c r="B55" i="63" s="1"/>
  <c r="A8" i="54"/>
  <c r="B53" i="63" s="1"/>
  <c r="A7" i="54"/>
  <c r="B51" i="63" s="1"/>
  <c r="A6" i="54"/>
  <c r="B49" i="63" s="1"/>
  <c r="M5" i="54"/>
  <c r="G5"/>
  <c r="B34" i="63" s="1"/>
  <c r="E5" i="54"/>
  <c r="B32" i="63" s="1"/>
  <c r="N3" i="54"/>
  <c r="B42" i="63" s="1"/>
  <c r="R2" i="54"/>
  <c r="B24" i="63" s="1"/>
  <c r="K2" i="54"/>
  <c r="B23" i="63" s="1"/>
  <c r="A30" i="64"/>
  <c r="A28"/>
  <c r="A27"/>
  <c r="A26"/>
  <c r="A21"/>
  <c r="A18"/>
  <c r="B74" i="63" s="1"/>
  <c r="A15" i="64"/>
  <c r="A14"/>
  <c r="A11"/>
  <c r="A3"/>
  <c r="A30" i="51"/>
  <c r="A28"/>
  <c r="B21" i="63" s="1"/>
  <c r="A27" i="51"/>
  <c r="B20" i="63" s="1"/>
  <c r="A26" i="51"/>
  <c r="B19" i="63" s="1"/>
  <c r="A23" i="51"/>
  <c r="B17" i="63" s="1"/>
  <c r="A18" i="51"/>
  <c r="B14" i="63" s="1"/>
  <c r="A15" i="51"/>
  <c r="A14"/>
  <c r="B11" i="63" s="1"/>
  <c r="A11" i="51"/>
  <c r="B10" i="63" s="1"/>
  <c r="A3" i="51"/>
  <c r="B49" i="50"/>
  <c r="B5" i="63" s="1"/>
  <c r="B40" i="50"/>
  <c r="B3" i="63" s="1"/>
  <c r="B76"/>
  <c r="B75"/>
  <c r="B73"/>
  <c r="B71"/>
  <c r="B68"/>
  <c r="B64"/>
  <c r="B63"/>
  <c r="B60"/>
  <c r="B58"/>
  <c r="B57"/>
  <c r="B44"/>
  <c r="B41"/>
  <c r="B40"/>
  <c r="B37"/>
  <c r="B36"/>
  <c r="B35"/>
  <c r="B33"/>
  <c r="B31"/>
  <c r="B30"/>
  <c r="B29"/>
  <c r="B28"/>
  <c r="B27"/>
  <c r="B26"/>
  <c r="B25"/>
  <c r="B22"/>
  <c r="B12"/>
  <c r="B8"/>
  <c r="F11" i="67"/>
  <c r="B11"/>
  <c r="F10"/>
  <c r="E12"/>
  <c r="F9"/>
  <c r="B13"/>
  <c r="E11"/>
  <c r="B10"/>
  <c r="E13"/>
  <c r="B12"/>
  <c r="B8"/>
  <c r="F8"/>
  <c r="B9"/>
  <c r="E8"/>
  <c r="F12"/>
  <c r="F14"/>
  <c r="B14"/>
  <c r="E9"/>
  <c r="E14"/>
  <c r="E10"/>
  <c r="F13"/>
  <c r="G81" i="21" l="1"/>
  <c r="H19"/>
  <c r="AB19" s="1"/>
  <c r="AZ17" i="3"/>
  <c r="AZ19"/>
  <c r="AZ21"/>
  <c r="AZ49"/>
  <c r="AZ51"/>
  <c r="AZ69"/>
  <c r="AZ71"/>
  <c r="AZ73"/>
  <c r="AZ75"/>
  <c r="AZ77"/>
  <c r="AZ79"/>
  <c r="AZ119"/>
  <c r="AZ121"/>
  <c r="AZ123"/>
  <c r="AZ125"/>
  <c r="AZ127"/>
  <c r="AZ129"/>
  <c r="AZ131"/>
  <c r="AZ133"/>
  <c r="AZ135"/>
  <c r="AZ139"/>
  <c r="AZ167"/>
  <c r="AZ169"/>
  <c r="AZ171"/>
  <c r="AZ173"/>
  <c r="AZ175"/>
  <c r="AZ177"/>
  <c r="AZ179"/>
  <c r="AZ181"/>
  <c r="AZ183"/>
  <c r="AZ185"/>
  <c r="AZ187"/>
  <c r="AZ199"/>
  <c r="AZ201"/>
  <c r="AZ203"/>
  <c r="AZ205"/>
  <c r="AZ207"/>
  <c r="AZ209"/>
  <c r="AZ211"/>
  <c r="AZ221"/>
  <c r="AZ229"/>
  <c r="AZ231"/>
  <c r="AZ233"/>
  <c r="AZ235"/>
  <c r="AZ237"/>
  <c r="AZ239"/>
  <c r="AZ241"/>
  <c r="AZ243"/>
  <c r="AZ245"/>
  <c r="AZ247"/>
  <c r="AZ255"/>
  <c r="AZ257"/>
  <c r="AZ259"/>
  <c r="AZ261"/>
  <c r="AZ263"/>
  <c r="AZ265"/>
  <c r="AZ267"/>
  <c r="C22" i="59"/>
  <c r="D21"/>
  <c r="C42"/>
  <c r="D41"/>
  <c r="C46"/>
  <c r="D45"/>
  <c r="H101" i="21"/>
  <c r="I101" s="1"/>
  <c r="J101" s="1"/>
  <c r="K101" s="1"/>
  <c r="L101" s="1"/>
  <c r="M101" s="1"/>
  <c r="H32"/>
  <c r="AB32" s="1"/>
  <c r="F32"/>
  <c r="AA32" s="1"/>
  <c r="J32"/>
  <c r="AC32" s="1"/>
  <c r="AZ39" i="3"/>
  <c r="AZ59"/>
  <c r="AZ61"/>
  <c r="AZ105"/>
  <c r="AZ107"/>
  <c r="C14" i="59"/>
  <c r="D13"/>
  <c r="C34"/>
  <c r="D33"/>
  <c r="C38"/>
  <c r="D37"/>
  <c r="BL369" i="3"/>
  <c r="B2" i="1"/>
  <c r="N67" i="9" s="1"/>
  <c r="C44"/>
  <c r="K39"/>
  <c r="E105" i="39"/>
  <c r="F105" s="1"/>
  <c r="G105" s="1"/>
  <c r="H31"/>
  <c r="AB31" s="1"/>
  <c r="E107"/>
  <c r="H33"/>
  <c r="AB33" s="1"/>
  <c r="J38"/>
  <c r="AC38" s="1"/>
  <c r="F38"/>
  <c r="AA38" s="1"/>
  <c r="G128"/>
  <c r="H128" s="1"/>
  <c r="I128" s="1"/>
  <c r="J128" s="1"/>
  <c r="K128" s="1"/>
  <c r="L128" s="1"/>
  <c r="M128" s="1"/>
  <c r="H44"/>
  <c r="AB44" s="1"/>
  <c r="J46"/>
  <c r="AC46" s="1"/>
  <c r="F46"/>
  <c r="AA46" s="1"/>
  <c r="AA10" i="40"/>
  <c r="S13"/>
  <c r="S35"/>
  <c r="S39"/>
  <c r="AB15"/>
  <c r="U15"/>
  <c r="AB29"/>
  <c r="U29"/>
  <c r="J34"/>
  <c r="F34"/>
  <c r="AB41"/>
  <c r="U41"/>
  <c r="AC12" i="46"/>
  <c r="AG12"/>
  <c r="H75"/>
  <c r="H70"/>
  <c r="S6" i="59"/>
  <c r="B5"/>
  <c r="S10"/>
  <c r="B9"/>
  <c r="B8" s="1"/>
  <c r="E12"/>
  <c r="E13" s="1"/>
  <c r="E14" s="1"/>
  <c r="U14" s="1"/>
  <c r="AA11"/>
  <c r="X11"/>
  <c r="C17"/>
  <c r="E20"/>
  <c r="E21" s="1"/>
  <c r="E22" s="1"/>
  <c r="U22" s="1"/>
  <c r="AA19"/>
  <c r="X19"/>
  <c r="C25"/>
  <c r="D24"/>
  <c r="C29"/>
  <c r="D29" s="1"/>
  <c r="D28"/>
  <c r="D36"/>
  <c r="D44"/>
  <c r="Q48"/>
  <c r="P49"/>
  <c r="D53"/>
  <c r="C52"/>
  <c r="D52" s="1"/>
  <c r="S54"/>
  <c r="B53"/>
  <c r="B52" s="1"/>
  <c r="V54"/>
  <c r="D61"/>
  <c r="C60"/>
  <c r="D60" s="1"/>
  <c r="S62"/>
  <c r="B61"/>
  <c r="B60" s="1"/>
  <c r="V62"/>
  <c r="D69"/>
  <c r="C68"/>
  <c r="D68" s="1"/>
  <c r="I21" i="57"/>
  <c r="F79" i="21"/>
  <c r="G79" s="1"/>
  <c r="J17"/>
  <c r="AC17" s="1"/>
  <c r="F17"/>
  <c r="AA17" s="1"/>
  <c r="E106"/>
  <c r="F106" s="1"/>
  <c r="G106" s="1"/>
  <c r="H106" s="1"/>
  <c r="I106" s="1"/>
  <c r="J106" s="1"/>
  <c r="K106" s="1"/>
  <c r="L106" s="1"/>
  <c r="M106" s="1"/>
  <c r="H34"/>
  <c r="AB34" s="1"/>
  <c r="E117"/>
  <c r="F117" s="1"/>
  <c r="G117" s="1"/>
  <c r="H39"/>
  <c r="AB39" s="1"/>
  <c r="J44"/>
  <c r="AC44" s="1"/>
  <c r="F44"/>
  <c r="AA44" s="1"/>
  <c r="J46"/>
  <c r="AC46" s="1"/>
  <c r="F46"/>
  <c r="AA46" s="1"/>
  <c r="K143"/>
  <c r="K141"/>
  <c r="K144"/>
  <c r="K145"/>
  <c r="H17" i="33"/>
  <c r="AB17" s="1"/>
  <c r="F79"/>
  <c r="G79" s="1"/>
  <c r="F17"/>
  <c r="AA17" s="1"/>
  <c r="E83"/>
  <c r="F83" s="1"/>
  <c r="G83" s="1"/>
  <c r="H21"/>
  <c r="AB21" s="1"/>
  <c r="F21"/>
  <c r="AA21" s="1"/>
  <c r="H27"/>
  <c r="AB27" s="1"/>
  <c r="F27"/>
  <c r="AA27" s="1"/>
  <c r="H29"/>
  <c r="AB29" s="1"/>
  <c r="F29"/>
  <c r="AA29" s="1"/>
  <c r="H31"/>
  <c r="AB31" s="1"/>
  <c r="J31"/>
  <c r="AC31" s="1"/>
  <c r="F101"/>
  <c r="G101" s="1"/>
  <c r="H101" s="1"/>
  <c r="I101" s="1"/>
  <c r="J101" s="1"/>
  <c r="K101" s="1"/>
  <c r="L101" s="1"/>
  <c r="M101" s="1"/>
  <c r="H32"/>
  <c r="AB32" s="1"/>
  <c r="F32"/>
  <c r="AA32" s="1"/>
  <c r="E106"/>
  <c r="F106" s="1"/>
  <c r="G106" s="1"/>
  <c r="H106" s="1"/>
  <c r="I106" s="1"/>
  <c r="J106" s="1"/>
  <c r="K106" s="1"/>
  <c r="L106" s="1"/>
  <c r="M106" s="1"/>
  <c r="H34"/>
  <c r="AB34" s="1"/>
  <c r="F34"/>
  <c r="AA34" s="1"/>
  <c r="E113"/>
  <c r="F113" s="1"/>
  <c r="G113" s="1"/>
  <c r="H113" s="1"/>
  <c r="I113" s="1"/>
  <c r="J113" s="1"/>
  <c r="K113" s="1"/>
  <c r="L113" s="1"/>
  <c r="M113" s="1"/>
  <c r="J37"/>
  <c r="AC37" s="1"/>
  <c r="F37"/>
  <c r="AA37" s="1"/>
  <c r="G123"/>
  <c r="H123" s="1"/>
  <c r="I123" s="1"/>
  <c r="J123" s="1"/>
  <c r="K123" s="1"/>
  <c r="L123" s="1"/>
  <c r="M123" s="1"/>
  <c r="J42"/>
  <c r="AC42" s="1"/>
  <c r="F42"/>
  <c r="AA42" s="1"/>
  <c r="H42"/>
  <c r="AB42" s="1"/>
  <c r="AB10" i="34"/>
  <c r="U10"/>
  <c r="AC11"/>
  <c r="W11"/>
  <c r="S11"/>
  <c r="U12"/>
  <c r="AB15"/>
  <c r="U15"/>
  <c r="AB17"/>
  <c r="U17"/>
  <c r="AB19"/>
  <c r="U19"/>
  <c r="AB21"/>
  <c r="U21"/>
  <c r="AB23"/>
  <c r="U23"/>
  <c r="AC25"/>
  <c r="W25"/>
  <c r="S25"/>
  <c r="AC28"/>
  <c r="W28"/>
  <c r="AC30"/>
  <c r="W30"/>
  <c r="AC32"/>
  <c r="W32"/>
  <c r="AB39"/>
  <c r="U39"/>
  <c r="AC40"/>
  <c r="W40"/>
  <c r="S40"/>
  <c r="H9"/>
  <c r="J9"/>
  <c r="H28"/>
  <c r="F28"/>
  <c r="H30"/>
  <c r="F30"/>
  <c r="H32"/>
  <c r="F32"/>
  <c r="AC13" i="37"/>
  <c r="W13"/>
  <c r="S13"/>
  <c r="U14"/>
  <c r="AB30"/>
  <c r="U30"/>
  <c r="AC31"/>
  <c r="W31"/>
  <c r="S31"/>
  <c r="AB38"/>
  <c r="U38"/>
  <c r="AA39"/>
  <c r="S39"/>
  <c r="AB40"/>
  <c r="U40"/>
  <c r="J26"/>
  <c r="F26"/>
  <c r="H26"/>
  <c r="J28"/>
  <c r="F28"/>
  <c r="AC9" i="35"/>
  <c r="W9"/>
  <c r="S9"/>
  <c r="AC11"/>
  <c r="W11"/>
  <c r="AC13"/>
  <c r="W13"/>
  <c r="AC16"/>
  <c r="W16"/>
  <c r="S16"/>
  <c r="AC20"/>
  <c r="W20"/>
  <c r="S20"/>
  <c r="AA25"/>
  <c r="AB29"/>
  <c r="U29"/>
  <c r="AA30"/>
  <c r="S30"/>
  <c r="BL5" i="3"/>
  <c r="K5" i="54"/>
  <c r="B38" i="63" s="1"/>
  <c r="N76" i="9"/>
  <c r="L76"/>
  <c r="L16" i="4"/>
  <c r="E19"/>
  <c r="G19"/>
  <c r="F8" i="1" s="1"/>
  <c r="AP8" s="1"/>
  <c r="G13" i="3"/>
  <c r="AZ309"/>
  <c r="AZ311"/>
  <c r="AZ313"/>
  <c r="AZ315"/>
  <c r="AZ317"/>
  <c r="AZ319"/>
  <c r="AZ321"/>
  <c r="AZ323"/>
  <c r="AZ325"/>
  <c r="AZ327"/>
  <c r="AZ329"/>
  <c r="AZ331"/>
  <c r="AZ333"/>
  <c r="AZ335"/>
  <c r="AZ337"/>
  <c r="AZ339"/>
  <c r="AZ341"/>
  <c r="AZ343"/>
  <c r="AZ345"/>
  <c r="AZ347"/>
  <c r="AZ349"/>
  <c r="AZ351"/>
  <c r="AZ353"/>
  <c r="AZ355"/>
  <c r="AZ357"/>
  <c r="AZ359"/>
  <c r="AZ361"/>
  <c r="AZ363"/>
  <c r="AZ365"/>
  <c r="AZ367"/>
  <c r="AZ369"/>
  <c r="AZ371"/>
  <c r="AZ373"/>
  <c r="AZ375"/>
  <c r="AZ377"/>
  <c r="AZ379"/>
  <c r="AZ381"/>
  <c r="AZ383"/>
  <c r="AZ385"/>
  <c r="AZ387"/>
  <c r="AZ389"/>
  <c r="AZ391"/>
  <c r="AZ393"/>
  <c r="AZ395"/>
  <c r="AZ397"/>
  <c r="AZ399"/>
  <c r="AZ401"/>
  <c r="AZ403"/>
  <c r="AZ405"/>
  <c r="AZ407"/>
  <c r="AZ409"/>
  <c r="AZ411"/>
  <c r="AZ413"/>
  <c r="AZ415"/>
  <c r="AZ417"/>
  <c r="AZ419"/>
  <c r="AZ421"/>
  <c r="AZ423"/>
  <c r="AZ425"/>
  <c r="AZ427"/>
  <c r="AZ429"/>
  <c r="AZ431"/>
  <c r="AZ433"/>
  <c r="AZ435"/>
  <c r="AZ437"/>
  <c r="AZ439"/>
  <c r="AZ441"/>
  <c r="AZ443"/>
  <c r="AZ445"/>
  <c r="AZ447"/>
  <c r="AZ449"/>
  <c r="AZ451"/>
  <c r="AZ453"/>
  <c r="AZ455"/>
  <c r="AZ457"/>
  <c r="AZ459"/>
  <c r="AZ461"/>
  <c r="AZ463"/>
  <c r="AZ465"/>
  <c r="AZ467"/>
  <c r="AZ469"/>
  <c r="AZ471"/>
  <c r="AZ473"/>
  <c r="AZ475"/>
  <c r="AZ477"/>
  <c r="AZ479"/>
  <c r="AZ481"/>
  <c r="AZ483"/>
  <c r="AZ485"/>
  <c r="AZ487"/>
  <c r="AZ489"/>
  <c r="AZ491"/>
  <c r="AZ493"/>
  <c r="AZ495"/>
  <c r="AZ497"/>
  <c r="AZ499"/>
  <c r="AZ501"/>
  <c r="AZ503"/>
  <c r="AZ505"/>
  <c r="AZ507"/>
  <c r="AZ509"/>
  <c r="AZ511"/>
  <c r="AZ513"/>
  <c r="AZ515"/>
  <c r="AZ517"/>
  <c r="AZ519"/>
  <c r="AZ521"/>
  <c r="AZ523"/>
  <c r="AZ525"/>
  <c r="AZ527"/>
  <c r="AZ529"/>
  <c r="AZ531"/>
  <c r="AZ533"/>
  <c r="AZ535"/>
  <c r="AZ537"/>
  <c r="AZ539"/>
  <c r="AZ541"/>
  <c r="AZ543"/>
  <c r="AZ545"/>
  <c r="AZ547"/>
  <c r="AZ549"/>
  <c r="AZ551"/>
  <c r="AZ553"/>
  <c r="AZ555"/>
  <c r="AZ557"/>
  <c r="AZ559"/>
  <c r="AZ561"/>
  <c r="AZ563"/>
  <c r="AZ565"/>
  <c r="AZ567"/>
  <c r="AZ569"/>
  <c r="AZ571"/>
  <c r="B70" i="46"/>
  <c r="B48"/>
  <c r="C23" i="39"/>
  <c r="B54" i="46"/>
  <c r="C31" i="39"/>
  <c r="F31"/>
  <c r="AA31" s="1"/>
  <c r="J33"/>
  <c r="AC33" s="1"/>
  <c r="F44"/>
  <c r="AA44" s="1"/>
  <c r="H46"/>
  <c r="AB46" s="1"/>
  <c r="J15"/>
  <c r="AC15" s="1"/>
  <c r="F15"/>
  <c r="AA15" s="1"/>
  <c r="E91"/>
  <c r="F91" s="1"/>
  <c r="J17"/>
  <c r="AC17" s="1"/>
  <c r="AC10" i="40"/>
  <c r="W13"/>
  <c r="F15"/>
  <c r="W15"/>
  <c r="C17"/>
  <c r="C19"/>
  <c r="C25"/>
  <c r="C27"/>
  <c r="F29"/>
  <c r="W29"/>
  <c r="S30"/>
  <c r="S33"/>
  <c r="H34"/>
  <c r="W35"/>
  <c r="S37"/>
  <c r="U38"/>
  <c r="W39"/>
  <c r="F41"/>
  <c r="W41"/>
  <c r="AA12" i="46"/>
  <c r="AE12"/>
  <c r="AI12"/>
  <c r="E47"/>
  <c r="B45" s="1"/>
  <c r="B59"/>
  <c r="E69"/>
  <c r="B67" s="1"/>
  <c r="B74"/>
  <c r="E80"/>
  <c r="B78" s="1"/>
  <c r="C100"/>
  <c r="G100"/>
  <c r="K100"/>
  <c r="AA3" i="59"/>
  <c r="X3"/>
  <c r="AA5"/>
  <c r="X5"/>
  <c r="AB5"/>
  <c r="AB6"/>
  <c r="AB3"/>
  <c r="V6"/>
  <c r="AA6"/>
  <c r="Y7"/>
  <c r="Z7" s="1"/>
  <c r="AB8"/>
  <c r="AA8"/>
  <c r="D9"/>
  <c r="C8"/>
  <c r="D8" s="1"/>
  <c r="AA9"/>
  <c r="AB9"/>
  <c r="AB10"/>
  <c r="V10"/>
  <c r="AA10"/>
  <c r="AB12"/>
  <c r="AA12"/>
  <c r="AA13"/>
  <c r="AB13"/>
  <c r="X14"/>
  <c r="E16"/>
  <c r="E17" s="1"/>
  <c r="E18" s="1"/>
  <c r="U18" s="1"/>
  <c r="AA15"/>
  <c r="AB15"/>
  <c r="X16"/>
  <c r="AA18"/>
  <c r="E25"/>
  <c r="E26" s="1"/>
  <c r="U26" s="1"/>
  <c r="E29"/>
  <c r="E30" s="1"/>
  <c r="U30" s="1"/>
  <c r="D32"/>
  <c r="D40"/>
  <c r="P47"/>
  <c r="O49"/>
  <c r="D49"/>
  <c r="C48"/>
  <c r="S50"/>
  <c r="N50"/>
  <c r="B49"/>
  <c r="Q50"/>
  <c r="V50"/>
  <c r="D57"/>
  <c r="C56"/>
  <c r="D56" s="1"/>
  <c r="S58"/>
  <c r="B57"/>
  <c r="B56" s="1"/>
  <c r="V58"/>
  <c r="D65"/>
  <c r="C64"/>
  <c r="D64" s="1"/>
  <c r="I15" i="57"/>
  <c r="D1" s="1"/>
  <c r="E10" s="1"/>
  <c r="H17" i="21"/>
  <c r="AB17" s="1"/>
  <c r="J27"/>
  <c r="AC27" s="1"/>
  <c r="F29"/>
  <c r="AA29" s="1"/>
  <c r="J31"/>
  <c r="AC31" s="1"/>
  <c r="F34"/>
  <c r="AA34" s="1"/>
  <c r="J39"/>
  <c r="AC39" s="1"/>
  <c r="J42"/>
  <c r="AC42" s="1"/>
  <c r="F77"/>
  <c r="G77" s="1"/>
  <c r="J15"/>
  <c r="AC15" s="1"/>
  <c r="F15"/>
  <c r="AA15" s="1"/>
  <c r="J19"/>
  <c r="AC19" s="1"/>
  <c r="F19"/>
  <c r="AA19" s="1"/>
  <c r="E108"/>
  <c r="F108" s="1"/>
  <c r="G108" s="1"/>
  <c r="H108" s="1"/>
  <c r="I108" s="1"/>
  <c r="J108" s="1"/>
  <c r="K108" s="1"/>
  <c r="L108" s="1"/>
  <c r="M108" s="1"/>
  <c r="J35"/>
  <c r="AC35" s="1"/>
  <c r="F35"/>
  <c r="AA35" s="1"/>
  <c r="G123"/>
  <c r="H123" s="1"/>
  <c r="I123" s="1"/>
  <c r="J123" s="1"/>
  <c r="K123" s="1"/>
  <c r="L123" s="1"/>
  <c r="M123" s="1"/>
  <c r="AC8" i="33"/>
  <c r="W8"/>
  <c r="J17"/>
  <c r="AC17" s="1"/>
  <c r="J21"/>
  <c r="AC21" s="1"/>
  <c r="J29"/>
  <c r="AC29" s="1"/>
  <c r="F31"/>
  <c r="AA31" s="1"/>
  <c r="J32"/>
  <c r="AC32" s="1"/>
  <c r="H66"/>
  <c r="I66" s="1"/>
  <c r="J10"/>
  <c r="AC10" s="1"/>
  <c r="F10"/>
  <c r="AA10" s="1"/>
  <c r="E69"/>
  <c r="H11"/>
  <c r="AB11" s="1"/>
  <c r="J13"/>
  <c r="AC13" s="1"/>
  <c r="F13"/>
  <c r="AA13" s="1"/>
  <c r="H13"/>
  <c r="AB13" s="1"/>
  <c r="H15"/>
  <c r="AB15" s="1"/>
  <c r="F77"/>
  <c r="G77" s="1"/>
  <c r="J15"/>
  <c r="AC15" s="1"/>
  <c r="F81"/>
  <c r="J19"/>
  <c r="AC19" s="1"/>
  <c r="AA9" i="34"/>
  <c r="S9"/>
  <c r="AB35"/>
  <c r="U35"/>
  <c r="AC36"/>
  <c r="W36"/>
  <c r="AB43"/>
  <c r="U43"/>
  <c r="AC44"/>
  <c r="W44"/>
  <c r="AC46"/>
  <c r="W46"/>
  <c r="J12"/>
  <c r="F12"/>
  <c r="J14"/>
  <c r="F14"/>
  <c r="H14"/>
  <c r="H46"/>
  <c r="F46"/>
  <c r="AB8" i="37"/>
  <c r="AC9"/>
  <c r="W9"/>
  <c r="AC27"/>
  <c r="W27"/>
  <c r="H28"/>
  <c r="AB34"/>
  <c r="U34"/>
  <c r="AC35"/>
  <c r="W35"/>
  <c r="AC25" i="35"/>
  <c r="W25"/>
  <c r="AB26"/>
  <c r="U26"/>
  <c r="AC26"/>
  <c r="W26"/>
  <c r="AB32" i="36"/>
  <c r="U32"/>
  <c r="D9" i="12"/>
  <c r="G26"/>
  <c r="G22" i="43"/>
  <c r="C17" i="39"/>
  <c r="C19"/>
  <c r="S11" i="40"/>
  <c r="W11"/>
  <c r="U13"/>
  <c r="S14"/>
  <c r="W14"/>
  <c r="S16"/>
  <c r="W16"/>
  <c r="S17"/>
  <c r="W17"/>
  <c r="S19"/>
  <c r="W19"/>
  <c r="S21"/>
  <c r="W21"/>
  <c r="S23"/>
  <c r="W23"/>
  <c r="S25"/>
  <c r="W25"/>
  <c r="S27"/>
  <c r="W27"/>
  <c r="U30"/>
  <c r="U33"/>
  <c r="U35"/>
  <c r="S36"/>
  <c r="W36"/>
  <c r="U37"/>
  <c r="S38"/>
  <c r="W38"/>
  <c r="U39"/>
  <c r="S40"/>
  <c r="W40"/>
  <c r="S42"/>
  <c r="W42"/>
  <c r="B55" i="46"/>
  <c r="D100"/>
  <c r="F100"/>
  <c r="H100"/>
  <c r="J100"/>
  <c r="L100"/>
  <c r="N100"/>
  <c r="Y11" i="59"/>
  <c r="Z11" s="1"/>
  <c r="Y15"/>
  <c r="Z15" s="1"/>
  <c r="Y19"/>
  <c r="Z19" s="1"/>
  <c r="P50"/>
  <c r="W8" i="21"/>
  <c r="E108" i="33"/>
  <c r="F108" s="1"/>
  <c r="G108" s="1"/>
  <c r="H108" s="1"/>
  <c r="I108" s="1"/>
  <c r="J108" s="1"/>
  <c r="K108" s="1"/>
  <c r="L108" s="1"/>
  <c r="M108" s="1"/>
  <c r="J35"/>
  <c r="AC35" s="1"/>
  <c r="F35"/>
  <c r="AA35" s="1"/>
  <c r="AB8" i="34"/>
  <c r="S13"/>
  <c r="S34"/>
  <c r="S38"/>
  <c r="S42"/>
  <c r="S11" i="37"/>
  <c r="U12"/>
  <c r="S25"/>
  <c r="S29"/>
  <c r="S33"/>
  <c r="S37"/>
  <c r="AB9"/>
  <c r="U9"/>
  <c r="J12"/>
  <c r="F12"/>
  <c r="J14"/>
  <c r="F14"/>
  <c r="AB39"/>
  <c r="U39"/>
  <c r="AB8" i="35"/>
  <c r="F11"/>
  <c r="F13"/>
  <c r="S14"/>
  <c r="S18"/>
  <c r="S23"/>
  <c r="U24"/>
  <c r="S28"/>
  <c r="W30"/>
  <c r="S32"/>
  <c r="U33"/>
  <c r="W34"/>
  <c r="S36"/>
  <c r="J24"/>
  <c r="F24"/>
  <c r="F9" i="36"/>
  <c r="W9"/>
  <c r="S11"/>
  <c r="U12"/>
  <c r="W13"/>
  <c r="S14"/>
  <c r="W16"/>
  <c r="S18"/>
  <c r="W20"/>
  <c r="S23"/>
  <c r="U24"/>
  <c r="W25"/>
  <c r="S27"/>
  <c r="U28"/>
  <c r="W29"/>
  <c r="S31"/>
  <c r="W33"/>
  <c r="J12"/>
  <c r="F12"/>
  <c r="J24"/>
  <c r="F24"/>
  <c r="S34" i="35"/>
  <c r="U35"/>
  <c r="AB11"/>
  <c r="U11"/>
  <c r="AB13"/>
  <c r="U13"/>
  <c r="J35"/>
  <c r="F35"/>
  <c r="AB8" i="36"/>
  <c r="S13"/>
  <c r="S16"/>
  <c r="S20"/>
  <c r="S25"/>
  <c r="S29"/>
  <c r="S33"/>
  <c r="U34"/>
  <c r="AB9"/>
  <c r="U9"/>
  <c r="J32"/>
  <c r="F32"/>
  <c r="J34"/>
  <c r="F34"/>
  <c r="S10" i="34"/>
  <c r="W10"/>
  <c r="U11"/>
  <c r="U13"/>
  <c r="S15"/>
  <c r="W15"/>
  <c r="S17"/>
  <c r="W17"/>
  <c r="S19"/>
  <c r="W19"/>
  <c r="S21"/>
  <c r="W21"/>
  <c r="S23"/>
  <c r="W23"/>
  <c r="U25"/>
  <c r="S27"/>
  <c r="W27"/>
  <c r="S29"/>
  <c r="W29"/>
  <c r="S31"/>
  <c r="W31"/>
  <c r="S33"/>
  <c r="W33"/>
  <c r="U34"/>
  <c r="S35"/>
  <c r="W35"/>
  <c r="U36"/>
  <c r="S37"/>
  <c r="W37"/>
  <c r="U38"/>
  <c r="S39"/>
  <c r="W39"/>
  <c r="U40"/>
  <c r="S41"/>
  <c r="W41"/>
  <c r="U42"/>
  <c r="S43"/>
  <c r="W43"/>
  <c r="U44"/>
  <c r="S45"/>
  <c r="W45"/>
  <c r="S47"/>
  <c r="W47"/>
  <c r="S10" i="37"/>
  <c r="W10"/>
  <c r="U11"/>
  <c r="U13"/>
  <c r="S15"/>
  <c r="W15"/>
  <c r="S17"/>
  <c r="W17"/>
  <c r="S19"/>
  <c r="W19"/>
  <c r="S21"/>
  <c r="W21"/>
  <c r="S23"/>
  <c r="W23"/>
  <c r="U25"/>
  <c r="U27"/>
  <c r="U29"/>
  <c r="S30"/>
  <c r="W30"/>
  <c r="U31"/>
  <c r="S32"/>
  <c r="W32"/>
  <c r="U33"/>
  <c r="S34"/>
  <c r="W34"/>
  <c r="U35"/>
  <c r="S36"/>
  <c r="W36"/>
  <c r="U37"/>
  <c r="S38"/>
  <c r="W38"/>
  <c r="S40"/>
  <c r="W40"/>
  <c r="U9" i="35"/>
  <c r="S10"/>
  <c r="W10"/>
  <c r="S12"/>
  <c r="W12"/>
  <c r="U14"/>
  <c r="U16"/>
  <c r="U18"/>
  <c r="U20"/>
  <c r="S22"/>
  <c r="W22"/>
  <c r="U23"/>
  <c r="U25"/>
  <c r="S27"/>
  <c r="W27"/>
  <c r="U28"/>
  <c r="S29"/>
  <c r="W29"/>
  <c r="U30"/>
  <c r="S31"/>
  <c r="W31"/>
  <c r="U32"/>
  <c r="S33"/>
  <c r="W33"/>
  <c r="U34"/>
  <c r="U36"/>
  <c r="S10" i="36"/>
  <c r="W10"/>
  <c r="U11"/>
  <c r="U13"/>
  <c r="U14"/>
  <c r="U16"/>
  <c r="U18"/>
  <c r="U20"/>
  <c r="S22"/>
  <c r="W22"/>
  <c r="U23"/>
  <c r="U25"/>
  <c r="S26"/>
  <c r="W26"/>
  <c r="U27"/>
  <c r="S28"/>
  <c r="W28"/>
  <c r="U29"/>
  <c r="S30"/>
  <c r="W30"/>
  <c r="U31"/>
  <c r="U33"/>
  <c r="S27" i="33"/>
  <c r="W27"/>
  <c r="U28"/>
  <c r="S32"/>
  <c r="W32"/>
  <c r="S34"/>
  <c r="W34"/>
  <c r="U35"/>
  <c r="U37"/>
  <c r="S38"/>
  <c r="W38"/>
  <c r="U39"/>
  <c r="S40"/>
  <c r="W40"/>
  <c r="U42"/>
  <c r="U27"/>
  <c r="S28"/>
  <c r="W28"/>
  <c r="U32"/>
  <c r="U34"/>
  <c r="S35"/>
  <c r="W35"/>
  <c r="S37"/>
  <c r="W37"/>
  <c r="U38"/>
  <c r="S39"/>
  <c r="W39"/>
  <c r="U40"/>
  <c r="S42"/>
  <c r="W42"/>
  <c r="U11"/>
  <c r="U15"/>
  <c r="U17"/>
  <c r="U21"/>
  <c r="U23"/>
  <c r="S26"/>
  <c r="W26"/>
  <c r="S33"/>
  <c r="W33"/>
  <c r="S15"/>
  <c r="S17"/>
  <c r="W19"/>
  <c r="S21"/>
  <c r="W21"/>
  <c r="S23"/>
  <c r="W23"/>
  <c r="U26"/>
  <c r="U33"/>
  <c r="S10"/>
  <c r="W10"/>
  <c r="U10"/>
  <c r="S8"/>
  <c r="AB8"/>
  <c r="S9"/>
  <c r="W9"/>
  <c r="U9"/>
  <c r="J36"/>
  <c r="F36"/>
  <c r="H111"/>
  <c r="I111" s="1"/>
  <c r="J111" s="1"/>
  <c r="K111" s="1"/>
  <c r="L111" s="1"/>
  <c r="M111" s="1"/>
  <c r="H36"/>
  <c r="U12"/>
  <c r="S13"/>
  <c r="W13"/>
  <c r="U14"/>
  <c r="S25"/>
  <c r="W25"/>
  <c r="S29"/>
  <c r="W29"/>
  <c r="U30"/>
  <c r="S31"/>
  <c r="W31"/>
  <c r="S41"/>
  <c r="W41"/>
  <c r="S43"/>
  <c r="W43"/>
  <c r="U44"/>
  <c r="S45"/>
  <c r="W45"/>
  <c r="U46"/>
  <c r="S12"/>
  <c r="W12"/>
  <c r="U13"/>
  <c r="S14"/>
  <c r="W14"/>
  <c r="U25"/>
  <c r="U29"/>
  <c r="S30"/>
  <c r="W30"/>
  <c r="U31"/>
  <c r="U41"/>
  <c r="U43"/>
  <c r="S44"/>
  <c r="W44"/>
  <c r="U45"/>
  <c r="S46"/>
  <c r="W46"/>
  <c r="F69" i="21"/>
  <c r="G69" s="1"/>
  <c r="H69" s="1"/>
  <c r="I69" s="1"/>
  <c r="J69" s="1"/>
  <c r="K69" s="1"/>
  <c r="L69" s="1"/>
  <c r="M69" s="1"/>
  <c r="J11"/>
  <c r="AC11" s="1"/>
  <c r="F11"/>
  <c r="AA11" s="1"/>
  <c r="H11"/>
  <c r="AB11" s="1"/>
  <c r="H113"/>
  <c r="H37"/>
  <c r="AB37" s="1"/>
  <c r="J37"/>
  <c r="AC37" s="1"/>
  <c r="F37"/>
  <c r="AA37" s="1"/>
  <c r="S43"/>
  <c r="W43"/>
  <c r="U43"/>
  <c r="U37"/>
  <c r="W37"/>
  <c r="AB8"/>
  <c r="U10"/>
  <c r="S11"/>
  <c r="W15"/>
  <c r="S17"/>
  <c r="W17"/>
  <c r="S19"/>
  <c r="W19"/>
  <c r="S21"/>
  <c r="W21"/>
  <c r="S23"/>
  <c r="W23"/>
  <c r="U25"/>
  <c r="S26"/>
  <c r="W26"/>
  <c r="U27"/>
  <c r="S28"/>
  <c r="W28"/>
  <c r="U29"/>
  <c r="S30"/>
  <c r="W30"/>
  <c r="U31"/>
  <c r="S32"/>
  <c r="W32"/>
  <c r="U33"/>
  <c r="S34"/>
  <c r="W34"/>
  <c r="U35"/>
  <c r="S36"/>
  <c r="W36"/>
  <c r="S38"/>
  <c r="W38"/>
  <c r="U39"/>
  <c r="S40"/>
  <c r="W40"/>
  <c r="U41"/>
  <c r="S42"/>
  <c r="W42"/>
  <c r="S44"/>
  <c r="W44"/>
  <c r="U45"/>
  <c r="S46"/>
  <c r="W46"/>
  <c r="S10"/>
  <c r="W10"/>
  <c r="U15"/>
  <c r="U17"/>
  <c r="U19"/>
  <c r="U21"/>
  <c r="U23"/>
  <c r="S25"/>
  <c r="W25"/>
  <c r="U26"/>
  <c r="S27"/>
  <c r="W27"/>
  <c r="U28"/>
  <c r="S29"/>
  <c r="W29"/>
  <c r="U30"/>
  <c r="S31"/>
  <c r="W31"/>
  <c r="U32"/>
  <c r="S33"/>
  <c r="W33"/>
  <c r="U34"/>
  <c r="S35"/>
  <c r="W35"/>
  <c r="U36"/>
  <c r="U38"/>
  <c r="S39"/>
  <c r="W39"/>
  <c r="U40"/>
  <c r="S41"/>
  <c r="W41"/>
  <c r="U42"/>
  <c r="U44"/>
  <c r="S45"/>
  <c r="W45"/>
  <c r="U46"/>
  <c r="U9"/>
  <c r="S12"/>
  <c r="W12"/>
  <c r="U13"/>
  <c r="S14"/>
  <c r="W14"/>
  <c r="S9"/>
  <c r="W9"/>
  <c r="U12"/>
  <c r="S13"/>
  <c r="W13"/>
  <c r="U14"/>
  <c r="K8" i="1"/>
  <c r="M8" s="1"/>
  <c r="I4" i="6"/>
  <c r="BB5" i="3"/>
  <c r="E5" i="6" s="1"/>
  <c r="P16" i="4"/>
  <c r="K17" s="1"/>
  <c r="A22" i="51" s="1"/>
  <c r="B16" i="63" s="1"/>
  <c r="A9" i="51"/>
  <c r="B9" i="63" s="1"/>
  <c r="C92" i="9"/>
  <c r="O40"/>
  <c r="H14" i="66"/>
  <c r="B7" s="1"/>
  <c r="R10" i="1"/>
  <c r="R12"/>
  <c r="C17" i="46"/>
  <c r="I17"/>
  <c r="F33"/>
  <c r="F34"/>
  <c r="F35"/>
  <c r="F36"/>
  <c r="F37"/>
  <c r="F38"/>
  <c r="F39"/>
  <c r="J51" i="15"/>
  <c r="N4" i="63"/>
  <c r="G10" i="1"/>
  <c r="G12"/>
  <c r="K40" i="9"/>
  <c r="N2" i="46"/>
  <c r="M6"/>
  <c r="X7"/>
  <c r="G17"/>
  <c r="H48"/>
  <c r="H51"/>
  <c r="H74"/>
  <c r="AZ14" i="3"/>
  <c r="BA5"/>
  <c r="G29" i="6"/>
  <c r="G30" s="1"/>
  <c r="G31" s="1"/>
  <c r="G28"/>
  <c r="M43" i="9"/>
  <c r="D18"/>
  <c r="M44" s="1"/>
  <c r="P62" i="15"/>
  <c r="G93" i="39"/>
  <c r="F19"/>
  <c r="AA19" s="1"/>
  <c r="G103"/>
  <c r="F29"/>
  <c r="AA29" s="1"/>
  <c r="J23"/>
  <c r="AC23" s="1"/>
  <c r="F23"/>
  <c r="AA23" s="1"/>
  <c r="F97"/>
  <c r="G97" s="1"/>
  <c r="H23"/>
  <c r="AB23" s="1"/>
  <c r="F107"/>
  <c r="G107" s="1"/>
  <c r="H107" s="1"/>
  <c r="I107" s="1"/>
  <c r="J107" s="1"/>
  <c r="K107" s="1"/>
  <c r="L107" s="1"/>
  <c r="M107" s="1"/>
  <c r="F33"/>
  <c r="AA33" s="1"/>
  <c r="G91"/>
  <c r="F17"/>
  <c r="AA17" s="1"/>
  <c r="U11"/>
  <c r="U19"/>
  <c r="W23"/>
  <c r="S25"/>
  <c r="W25"/>
  <c r="S27"/>
  <c r="W27"/>
  <c r="W29"/>
  <c r="S31"/>
  <c r="W31"/>
  <c r="U33"/>
  <c r="S40"/>
  <c r="W40"/>
  <c r="U41"/>
  <c r="S43"/>
  <c r="W43"/>
  <c r="U44"/>
  <c r="S11"/>
  <c r="W11"/>
  <c r="W19"/>
  <c r="U25"/>
  <c r="U27"/>
  <c r="U29"/>
  <c r="U31"/>
  <c r="W33"/>
  <c r="U40"/>
  <c r="S41"/>
  <c r="W41"/>
  <c r="U43"/>
  <c r="S44"/>
  <c r="W44"/>
  <c r="U10"/>
  <c r="AA10"/>
  <c r="AC10"/>
  <c r="S14"/>
  <c r="W14"/>
  <c r="U15"/>
  <c r="S16"/>
  <c r="W16"/>
  <c r="W17"/>
  <c r="S21"/>
  <c r="W21"/>
  <c r="S34"/>
  <c r="W34"/>
  <c r="U36"/>
  <c r="S37"/>
  <c r="W37"/>
  <c r="U38"/>
  <c r="S39"/>
  <c r="W39"/>
  <c r="U42"/>
  <c r="S45"/>
  <c r="W45"/>
  <c r="U46"/>
  <c r="S47"/>
  <c r="W47"/>
  <c r="F36" i="44"/>
  <c r="F34" i="15"/>
  <c r="F61" s="1"/>
  <c r="U14" i="39"/>
  <c r="S15"/>
  <c r="W15"/>
  <c r="U16"/>
  <c r="U17"/>
  <c r="U21"/>
  <c r="U34"/>
  <c r="S36"/>
  <c r="W36"/>
  <c r="U37"/>
  <c r="S38"/>
  <c r="W38"/>
  <c r="U39"/>
  <c r="S42"/>
  <c r="W42"/>
  <c r="U45"/>
  <c r="S46"/>
  <c r="W46"/>
  <c r="U47"/>
  <c r="M22" i="44"/>
  <c r="B4" i="52"/>
  <c r="B8"/>
  <c r="B13"/>
  <c r="B6"/>
  <c r="B10"/>
  <c r="B41" i="1"/>
  <c r="D96" i="9"/>
  <c r="G27" i="12"/>
  <c r="G21" i="43"/>
  <c r="G23"/>
  <c r="C20" i="46"/>
  <c r="E28" i="6"/>
  <c r="G5" i="3"/>
  <c r="B3" s="1"/>
  <c r="E13" s="1"/>
  <c r="B23" i="52"/>
  <c r="E22"/>
  <c r="A17" i="51"/>
  <c r="B13" i="63" s="1"/>
  <c r="A17" i="64"/>
  <c r="L5" i="54"/>
  <c r="B39" i="63" s="1"/>
  <c r="B5" i="52"/>
  <c r="B7"/>
  <c r="B9"/>
  <c r="B11"/>
  <c r="B16"/>
  <c r="C53" i="10"/>
  <c r="BM5" i="3"/>
  <c r="F29" i="6" s="1"/>
  <c r="AZ13" i="3"/>
  <c r="AZ5" s="1"/>
  <c r="E15" i="6"/>
  <c r="E62" i="40" s="1"/>
  <c r="E13" i="6"/>
  <c r="E65" i="39" s="1"/>
  <c r="E11" i="6"/>
  <c r="E58" i="40" s="1"/>
  <c r="K1" i="43"/>
  <c r="K6" i="1"/>
  <c r="M6" s="1"/>
  <c r="E8" i="6"/>
  <c r="E53" i="40" s="1"/>
  <c r="E10" i="6"/>
  <c r="E14"/>
  <c r="E61" i="40" s="1"/>
  <c r="E12" i="6"/>
  <c r="C51" i="10"/>
  <c r="A4" i="64"/>
  <c r="E60" i="40"/>
  <c r="E67" i="39"/>
  <c r="B7" i="1"/>
  <c r="E7" s="1"/>
  <c r="S9"/>
  <c r="B9"/>
  <c r="E9" s="1"/>
  <c r="S11"/>
  <c r="B11"/>
  <c r="E11" s="1"/>
  <c r="S13"/>
  <c r="B13"/>
  <c r="E13" s="1"/>
  <c r="G14" i="66"/>
  <c r="B6" s="1"/>
  <c r="AC32" i="40"/>
  <c r="W32"/>
  <c r="A2" i="9"/>
  <c r="K1" i="12"/>
  <c r="E59" i="40"/>
  <c r="E64" i="39"/>
  <c r="C7" i="36"/>
  <c r="C46" s="1"/>
  <c r="C7" i="35"/>
  <c r="C48" s="1"/>
  <c r="C7" i="33"/>
  <c r="C7" i="37"/>
  <c r="C52" s="1"/>
  <c r="C7" i="34"/>
  <c r="C59" s="1"/>
  <c r="C7" i="21"/>
  <c r="G19" i="46"/>
  <c r="C9" i="39"/>
  <c r="C70" s="1"/>
  <c r="C42" i="1"/>
  <c r="D38" i="4"/>
  <c r="C39" s="1"/>
  <c r="C9" i="40"/>
  <c r="C65" s="1"/>
  <c r="G1" i="15"/>
  <c r="F3" i="35"/>
  <c r="G1" i="44"/>
  <c r="B6" i="1"/>
  <c r="E6" s="1"/>
  <c r="B8"/>
  <c r="E8" s="1"/>
  <c r="S10"/>
  <c r="B10"/>
  <c r="E10" s="1"/>
  <c r="S12"/>
  <c r="B12"/>
  <c r="E12" s="1"/>
  <c r="C46" i="9"/>
  <c r="K41"/>
  <c r="E11" i="46"/>
  <c r="E10"/>
  <c r="E9"/>
  <c r="E8"/>
  <c r="A4" i="51"/>
  <c r="B6" i="63" s="1"/>
  <c r="A3" i="55"/>
  <c r="B56" i="63" s="1"/>
  <c r="K7" i="1"/>
  <c r="M7" s="1"/>
  <c r="O8"/>
  <c r="P8" s="1"/>
  <c r="G9"/>
  <c r="K9"/>
  <c r="M9" s="1"/>
  <c r="R9"/>
  <c r="O10"/>
  <c r="P10" s="1"/>
  <c r="G11"/>
  <c r="K11"/>
  <c r="M11" s="1"/>
  <c r="R11"/>
  <c r="O12"/>
  <c r="P12" s="1"/>
  <c r="G13"/>
  <c r="K13"/>
  <c r="M13" s="1"/>
  <c r="R13"/>
  <c r="K14"/>
  <c r="M14" s="1"/>
  <c r="O39" i="9"/>
  <c r="R6" i="54" s="1"/>
  <c r="B50" i="63" s="1"/>
  <c r="N69" i="9"/>
  <c r="H55" i="46"/>
  <c r="H53"/>
  <c r="H50"/>
  <c r="H49"/>
  <c r="H47"/>
  <c r="H77"/>
  <c r="H76"/>
  <c r="H73"/>
  <c r="H71"/>
  <c r="H69"/>
  <c r="H32" i="40"/>
  <c r="M11" i="46"/>
  <c r="H54"/>
  <c r="H59"/>
  <c r="H62"/>
  <c r="H72"/>
  <c r="H81"/>
  <c r="H85"/>
  <c r="H6" i="48"/>
  <c r="H10"/>
  <c r="N1" i="65"/>
  <c r="H1"/>
  <c r="H15" i="48"/>
  <c r="H13"/>
  <c r="H11"/>
  <c r="H9"/>
  <c r="H7"/>
  <c r="H5"/>
  <c r="M12" i="46"/>
  <c r="N11"/>
  <c r="N10"/>
  <c r="M9"/>
  <c r="M8"/>
  <c r="M7"/>
  <c r="N6"/>
  <c r="N5"/>
  <c r="M4"/>
  <c r="N3"/>
  <c r="M2"/>
  <c r="N1"/>
  <c r="H66"/>
  <c r="H64"/>
  <c r="H61"/>
  <c r="H60"/>
  <c r="H58"/>
  <c r="H87"/>
  <c r="H84"/>
  <c r="H82"/>
  <c r="H80"/>
  <c r="E4" i="52"/>
  <c r="C4" i="4" s="1"/>
  <c r="B20" i="55" s="1"/>
  <c r="B70" i="63" s="1"/>
  <c r="E5" i="52"/>
  <c r="E6"/>
  <c r="E7"/>
  <c r="E4" i="4" s="1"/>
  <c r="B21" i="55" s="1"/>
  <c r="B72" i="63" s="1"/>
  <c r="E8" i="52"/>
  <c r="E9"/>
  <c r="E10"/>
  <c r="E11"/>
  <c r="B14"/>
  <c r="E16"/>
  <c r="B22"/>
  <c r="F27" i="6"/>
  <c r="B3" i="66"/>
  <c r="K76" i="9"/>
  <c r="K77" s="1"/>
  <c r="K79" s="1"/>
  <c r="K81" s="1"/>
  <c r="J57" i="39"/>
  <c r="E58"/>
  <c r="F32" i="40"/>
  <c r="M3" i="46"/>
  <c r="N4"/>
  <c r="M5"/>
  <c r="N7"/>
  <c r="N8"/>
  <c r="N9"/>
  <c r="M10"/>
  <c r="N12"/>
  <c r="H65"/>
  <c r="H83"/>
  <c r="H8" i="48"/>
  <c r="H12"/>
  <c r="H16"/>
  <c r="D26" i="44"/>
  <c r="C6" i="46"/>
  <c r="E17"/>
  <c r="H17"/>
  <c r="J17"/>
  <c r="D24" i="44"/>
  <c r="D22" i="15"/>
  <c r="D23"/>
  <c r="W17" i="33" l="1"/>
  <c r="W15"/>
  <c r="S29" i="39"/>
  <c r="S15" i="21"/>
  <c r="G8" i="1"/>
  <c r="D12" i="11"/>
  <c r="C12" s="1"/>
  <c r="D21" i="12"/>
  <c r="C21" s="1"/>
  <c r="C58" i="21"/>
  <c r="I7"/>
  <c r="E7"/>
  <c r="G7"/>
  <c r="AA34" i="36"/>
  <c r="S34"/>
  <c r="AA32"/>
  <c r="S32"/>
  <c r="AA35" i="35"/>
  <c r="S35"/>
  <c r="AA24" i="36"/>
  <c r="S24"/>
  <c r="AA12"/>
  <c r="S12"/>
  <c r="AA9"/>
  <c r="S9"/>
  <c r="AC24" i="35"/>
  <c r="W24"/>
  <c r="AA11"/>
  <c r="S11"/>
  <c r="AA14" i="37"/>
  <c r="S14"/>
  <c r="AA12"/>
  <c r="S12"/>
  <c r="AB46" i="34"/>
  <c r="U46"/>
  <c r="AA14"/>
  <c r="S14"/>
  <c r="AA12"/>
  <c r="S12"/>
  <c r="N49" i="59"/>
  <c r="B48"/>
  <c r="AA41" i="40"/>
  <c r="S41"/>
  <c r="AC28" i="37"/>
  <c r="W28"/>
  <c r="AA26"/>
  <c r="S26"/>
  <c r="AB32" i="34"/>
  <c r="U32"/>
  <c r="AB30"/>
  <c r="U30"/>
  <c r="AB28"/>
  <c r="U28"/>
  <c r="AB9"/>
  <c r="U9"/>
  <c r="C26" i="59"/>
  <c r="D25"/>
  <c r="C18"/>
  <c r="D17"/>
  <c r="AA34" i="40"/>
  <c r="S34"/>
  <c r="T46" i="59"/>
  <c r="D46"/>
  <c r="T42"/>
  <c r="D42"/>
  <c r="T22"/>
  <c r="D22"/>
  <c r="C58" i="33"/>
  <c r="G7"/>
  <c r="I7"/>
  <c r="E7"/>
  <c r="G3" i="46"/>
  <c r="W11" i="21"/>
  <c r="AC34" i="36"/>
  <c r="W34"/>
  <c r="AC32"/>
  <c r="W32"/>
  <c r="AC35" i="35"/>
  <c r="W35"/>
  <c r="AC24" i="36"/>
  <c r="W24"/>
  <c r="AC12"/>
  <c r="W12"/>
  <c r="AA24" i="35"/>
  <c r="S24"/>
  <c r="AA13"/>
  <c r="S13"/>
  <c r="AC14" i="37"/>
  <c r="W14"/>
  <c r="AC12"/>
  <c r="W12"/>
  <c r="U28"/>
  <c r="AB28"/>
  <c r="S46" i="34"/>
  <c r="AA46"/>
  <c r="AB14"/>
  <c r="U14"/>
  <c r="AC14"/>
  <c r="W14"/>
  <c r="AC12"/>
  <c r="W12"/>
  <c r="G81" i="33"/>
  <c r="H19"/>
  <c r="F19"/>
  <c r="F69"/>
  <c r="G69" s="1"/>
  <c r="H69" s="1"/>
  <c r="I69" s="1"/>
  <c r="J69" s="1"/>
  <c r="K69" s="1"/>
  <c r="L69" s="1"/>
  <c r="M69" s="1"/>
  <c r="F11"/>
  <c r="J11"/>
  <c r="O47" i="59"/>
  <c r="O48"/>
  <c r="D48"/>
  <c r="AB34" i="40"/>
  <c r="U34"/>
  <c r="AA29"/>
  <c r="S29"/>
  <c r="AA15"/>
  <c r="S15"/>
  <c r="F6" i="1"/>
  <c r="F7"/>
  <c r="AA28" i="37"/>
  <c r="S28"/>
  <c r="AB26"/>
  <c r="U26"/>
  <c r="AC26"/>
  <c r="W26"/>
  <c r="AA32" i="34"/>
  <c r="S32"/>
  <c r="AA30"/>
  <c r="S30"/>
  <c r="AA28"/>
  <c r="S28"/>
  <c r="W9"/>
  <c r="AC9"/>
  <c r="AC34" i="40"/>
  <c r="W34"/>
  <c r="T38" i="59"/>
  <c r="D38"/>
  <c r="T34"/>
  <c r="D34"/>
  <c r="T14"/>
  <c r="D14"/>
  <c r="AC36" i="33"/>
  <c r="W36"/>
  <c r="AB36"/>
  <c r="U36"/>
  <c r="AA36"/>
  <c r="S36"/>
  <c r="U11" i="21"/>
  <c r="S37"/>
  <c r="E27" i="6"/>
  <c r="K24" s="1"/>
  <c r="M24" s="1"/>
  <c r="I24" s="1"/>
  <c r="S24" s="1"/>
  <c r="E66" i="39"/>
  <c r="E29" i="6"/>
  <c r="L19" s="1"/>
  <c r="L27" s="1"/>
  <c r="K26"/>
  <c r="M26" s="1"/>
  <c r="I26" s="1"/>
  <c r="S26" s="1"/>
  <c r="K25"/>
  <c r="M25" s="1"/>
  <c r="I25" s="1"/>
  <c r="S25" s="1"/>
  <c r="R7" i="54"/>
  <c r="B52" i="63" s="1"/>
  <c r="K31" i="9"/>
  <c r="K32" s="1"/>
  <c r="E63" i="39"/>
  <c r="C16" i="46"/>
  <c r="U23" i="39"/>
  <c r="S19"/>
  <c r="S17"/>
  <c r="S33"/>
  <c r="S23"/>
  <c r="F32" i="15"/>
  <c r="F59" s="1"/>
  <c r="F28"/>
  <c r="C28" s="1"/>
  <c r="M18"/>
  <c r="F31" i="43"/>
  <c r="F29" i="12"/>
  <c r="D86" i="9"/>
  <c r="F71"/>
  <c r="F66"/>
  <c r="P72" s="1"/>
  <c r="F34" i="44"/>
  <c r="F30"/>
  <c r="C30" s="1"/>
  <c r="M20"/>
  <c r="F27" i="43"/>
  <c r="C27" s="1"/>
  <c r="F72" i="9"/>
  <c r="F70"/>
  <c r="F30" i="6"/>
  <c r="F31" s="1"/>
  <c r="E3"/>
  <c r="AY6" i="3"/>
  <c r="A25" i="64"/>
  <c r="A25" i="51"/>
  <c r="B18" i="63" s="1"/>
  <c r="I3" i="6"/>
  <c r="E571" i="3"/>
  <c r="E569"/>
  <c r="E567"/>
  <c r="E565"/>
  <c r="E563"/>
  <c r="E561"/>
  <c r="E559"/>
  <c r="E557"/>
  <c r="E555"/>
  <c r="E553"/>
  <c r="E551"/>
  <c r="E549"/>
  <c r="E547"/>
  <c r="E545"/>
  <c r="E543"/>
  <c r="E541"/>
  <c r="E539"/>
  <c r="E537"/>
  <c r="E535"/>
  <c r="E533"/>
  <c r="E531"/>
  <c r="E529"/>
  <c r="E527"/>
  <c r="E525"/>
  <c r="E523"/>
  <c r="E521"/>
  <c r="E519"/>
  <c r="E517"/>
  <c r="E515"/>
  <c r="E513"/>
  <c r="E511"/>
  <c r="E509"/>
  <c r="E507"/>
  <c r="E505"/>
  <c r="E503"/>
  <c r="E501"/>
  <c r="E499"/>
  <c r="E497"/>
  <c r="E495"/>
  <c r="E493"/>
  <c r="E491"/>
  <c r="E489"/>
  <c r="E487"/>
  <c r="E485"/>
  <c r="E483"/>
  <c r="E481"/>
  <c r="E479"/>
  <c r="E477"/>
  <c r="E475"/>
  <c r="E473"/>
  <c r="E471"/>
  <c r="E469"/>
  <c r="E467"/>
  <c r="E465"/>
  <c r="E463"/>
  <c r="E461"/>
  <c r="E459"/>
  <c r="E457"/>
  <c r="E455"/>
  <c r="E453"/>
  <c r="E451"/>
  <c r="E449"/>
  <c r="E447"/>
  <c r="E445"/>
  <c r="E443"/>
  <c r="E441"/>
  <c r="E439"/>
  <c r="E437"/>
  <c r="E435"/>
  <c r="E433"/>
  <c r="E431"/>
  <c r="E429"/>
  <c r="E427"/>
  <c r="E425"/>
  <c r="E423"/>
  <c r="E421"/>
  <c r="E419"/>
  <c r="E417"/>
  <c r="E415"/>
  <c r="E413"/>
  <c r="E411"/>
  <c r="E409"/>
  <c r="E407"/>
  <c r="E405"/>
  <c r="E403"/>
  <c r="E401"/>
  <c r="E399"/>
  <c r="E397"/>
  <c r="E395"/>
  <c r="E393"/>
  <c r="E391"/>
  <c r="E389"/>
  <c r="E387"/>
  <c r="E385"/>
  <c r="E383"/>
  <c r="E381"/>
  <c r="E379"/>
  <c r="E377"/>
  <c r="E375"/>
  <c r="E373"/>
  <c r="E371"/>
  <c r="E369"/>
  <c r="E367"/>
  <c r="E365"/>
  <c r="E363"/>
  <c r="E361"/>
  <c r="E359"/>
  <c r="E357"/>
  <c r="E355"/>
  <c r="E353"/>
  <c r="E351"/>
  <c r="E349"/>
  <c r="E347"/>
  <c r="E345"/>
  <c r="E343"/>
  <c r="E341"/>
  <c r="E339"/>
  <c r="E337"/>
  <c r="E335"/>
  <c r="E333"/>
  <c r="E331"/>
  <c r="E572"/>
  <c r="E570"/>
  <c r="E568"/>
  <c r="E566"/>
  <c r="E564"/>
  <c r="E562"/>
  <c r="E560"/>
  <c r="E558"/>
  <c r="E556"/>
  <c r="E554"/>
  <c r="E552"/>
  <c r="E550"/>
  <c r="E548"/>
  <c r="E546"/>
  <c r="E544"/>
  <c r="E542"/>
  <c r="E540"/>
  <c r="E538"/>
  <c r="E536"/>
  <c r="E534"/>
  <c r="E532"/>
  <c r="E530"/>
  <c r="E528"/>
  <c r="E526"/>
  <c r="E524"/>
  <c r="E522"/>
  <c r="E520"/>
  <c r="E518"/>
  <c r="E516"/>
  <c r="E514"/>
  <c r="E512"/>
  <c r="E510"/>
  <c r="E508"/>
  <c r="E506"/>
  <c r="E504"/>
  <c r="E502"/>
  <c r="E500"/>
  <c r="E498"/>
  <c r="E496"/>
  <c r="E494"/>
  <c r="E492"/>
  <c r="E490"/>
  <c r="E488"/>
  <c r="E486"/>
  <c r="E484"/>
  <c r="E482"/>
  <c r="E480"/>
  <c r="E478"/>
  <c r="E476"/>
  <c r="E474"/>
  <c r="E472"/>
  <c r="E470"/>
  <c r="E468"/>
  <c r="E466"/>
  <c r="E464"/>
  <c r="E462"/>
  <c r="E460"/>
  <c r="E458"/>
  <c r="E456"/>
  <c r="E454"/>
  <c r="E452"/>
  <c r="E450"/>
  <c r="E448"/>
  <c r="E446"/>
  <c r="E444"/>
  <c r="E442"/>
  <c r="E440"/>
  <c r="E438"/>
  <c r="E436"/>
  <c r="E434"/>
  <c r="E432"/>
  <c r="E430"/>
  <c r="E428"/>
  <c r="E426"/>
  <c r="E424"/>
  <c r="E422"/>
  <c r="E420"/>
  <c r="E418"/>
  <c r="E416"/>
  <c r="E414"/>
  <c r="E412"/>
  <c r="E410"/>
  <c r="E408"/>
  <c r="E406"/>
  <c r="E404"/>
  <c r="E402"/>
  <c r="E400"/>
  <c r="E398"/>
  <c r="E396"/>
  <c r="E394"/>
  <c r="E392"/>
  <c r="E390"/>
  <c r="E388"/>
  <c r="E386"/>
  <c r="E384"/>
  <c r="E382"/>
  <c r="E380"/>
  <c r="E378"/>
  <c r="E376"/>
  <c r="E374"/>
  <c r="E372"/>
  <c r="E370"/>
  <c r="E368"/>
  <c r="E366"/>
  <c r="E364"/>
  <c r="E362"/>
  <c r="E360"/>
  <c r="E358"/>
  <c r="E356"/>
  <c r="E354"/>
  <c r="E352"/>
  <c r="E350"/>
  <c r="E348"/>
  <c r="E346"/>
  <c r="E344"/>
  <c r="E342"/>
  <c r="E340"/>
  <c r="E338"/>
  <c r="E336"/>
  <c r="E334"/>
  <c r="E332"/>
  <c r="E330"/>
  <c r="E328"/>
  <c r="E326"/>
  <c r="E324"/>
  <c r="E329"/>
  <c r="E327"/>
  <c r="E325"/>
  <c r="E323"/>
  <c r="E321"/>
  <c r="E319"/>
  <c r="E317"/>
  <c r="E315"/>
  <c r="E313"/>
  <c r="E311"/>
  <c r="E309"/>
  <c r="E307"/>
  <c r="E305"/>
  <c r="E303"/>
  <c r="E301"/>
  <c r="E299"/>
  <c r="E297"/>
  <c r="E295"/>
  <c r="E293"/>
  <c r="E291"/>
  <c r="E289"/>
  <c r="E287"/>
  <c r="E285"/>
  <c r="E283"/>
  <c r="E281"/>
  <c r="E279"/>
  <c r="E277"/>
  <c r="E275"/>
  <c r="E273"/>
  <c r="E271"/>
  <c r="E269"/>
  <c r="E267"/>
  <c r="E265"/>
  <c r="E263"/>
  <c r="E261"/>
  <c r="E259"/>
  <c r="E257"/>
  <c r="E255"/>
  <c r="E253"/>
  <c r="E251"/>
  <c r="E249"/>
  <c r="E247"/>
  <c r="E245"/>
  <c r="E243"/>
  <c r="E241"/>
  <c r="E239"/>
  <c r="E237"/>
  <c r="E235"/>
  <c r="E233"/>
  <c r="E231"/>
  <c r="E229"/>
  <c r="E227"/>
  <c r="E225"/>
  <c r="E223"/>
  <c r="E221"/>
  <c r="E219"/>
  <c r="E217"/>
  <c r="E215"/>
  <c r="E213"/>
  <c r="E211"/>
  <c r="E209"/>
  <c r="E207"/>
  <c r="E205"/>
  <c r="E203"/>
  <c r="E201"/>
  <c r="E199"/>
  <c r="E197"/>
  <c r="E195"/>
  <c r="E193"/>
  <c r="E191"/>
  <c r="E189"/>
  <c r="E187"/>
  <c r="E185"/>
  <c r="E183"/>
  <c r="E181"/>
  <c r="E179"/>
  <c r="E177"/>
  <c r="E175"/>
  <c r="E173"/>
  <c r="E171"/>
  <c r="E169"/>
  <c r="E167"/>
  <c r="E165"/>
  <c r="E163"/>
  <c r="E161"/>
  <c r="E159"/>
  <c r="E157"/>
  <c r="E155"/>
  <c r="E153"/>
  <c r="E151"/>
  <c r="E149"/>
  <c r="E147"/>
  <c r="E145"/>
  <c r="E143"/>
  <c r="E141"/>
  <c r="E139"/>
  <c r="E137"/>
  <c r="E135"/>
  <c r="E133"/>
  <c r="E131"/>
  <c r="E129"/>
  <c r="E127"/>
  <c r="E125"/>
  <c r="E123"/>
  <c r="E121"/>
  <c r="E119"/>
  <c r="E117"/>
  <c r="E115"/>
  <c r="E113"/>
  <c r="E111"/>
  <c r="E109"/>
  <c r="E107"/>
  <c r="E105"/>
  <c r="E103"/>
  <c r="E101"/>
  <c r="E99"/>
  <c r="E97"/>
  <c r="E95"/>
  <c r="E93"/>
  <c r="E91"/>
  <c r="E89"/>
  <c r="E87"/>
  <c r="E85"/>
  <c r="E83"/>
  <c r="E81"/>
  <c r="E79"/>
  <c r="E77"/>
  <c r="E75"/>
  <c r="E73"/>
  <c r="E71"/>
  <c r="E69"/>
  <c r="E67"/>
  <c r="E65"/>
  <c r="E63"/>
  <c r="E61"/>
  <c r="E59"/>
  <c r="E57"/>
  <c r="E55"/>
  <c r="E53"/>
  <c r="E51"/>
  <c r="E49"/>
  <c r="E47"/>
  <c r="E45"/>
  <c r="E43"/>
  <c r="E41"/>
  <c r="E39"/>
  <c r="E37"/>
  <c r="E35"/>
  <c r="E33"/>
  <c r="E31"/>
  <c r="E29"/>
  <c r="E27"/>
  <c r="E25"/>
  <c r="E23"/>
  <c r="E21"/>
  <c r="E19"/>
  <c r="E17"/>
  <c r="E15"/>
  <c r="AT6"/>
  <c r="AR6"/>
  <c r="AP6"/>
  <c r="AN6"/>
  <c r="AL6"/>
  <c r="AJ6"/>
  <c r="AH6"/>
  <c r="AF6"/>
  <c r="AD6"/>
  <c r="AC6" s="1"/>
  <c r="AB6"/>
  <c r="Z6"/>
  <c r="X6"/>
  <c r="V6"/>
  <c r="T6"/>
  <c r="R6"/>
  <c r="P6"/>
  <c r="N6"/>
  <c r="L6"/>
  <c r="J6"/>
  <c r="AQ6"/>
  <c r="AM6"/>
  <c r="AI6"/>
  <c r="AE6"/>
  <c r="AA6"/>
  <c r="W6"/>
  <c r="S6"/>
  <c r="O6"/>
  <c r="K6"/>
  <c r="Y6"/>
  <c r="U6"/>
  <c r="Q6"/>
  <c r="M6"/>
  <c r="E322"/>
  <c r="E320"/>
  <c r="E318"/>
  <c r="E316"/>
  <c r="E314"/>
  <c r="E312"/>
  <c r="E310"/>
  <c r="E308"/>
  <c r="E306"/>
  <c r="E304"/>
  <c r="E302"/>
  <c r="E300"/>
  <c r="E298"/>
  <c r="E296"/>
  <c r="E294"/>
  <c r="E292"/>
  <c r="E290"/>
  <c r="E288"/>
  <c r="E286"/>
  <c r="E284"/>
  <c r="E282"/>
  <c r="E280"/>
  <c r="E278"/>
  <c r="E276"/>
  <c r="E274"/>
  <c r="E272"/>
  <c r="E270"/>
  <c r="E268"/>
  <c r="E266"/>
  <c r="E264"/>
  <c r="E262"/>
  <c r="E260"/>
  <c r="E258"/>
  <c r="E256"/>
  <c r="E254"/>
  <c r="E252"/>
  <c r="E250"/>
  <c r="E248"/>
  <c r="E246"/>
  <c r="E244"/>
  <c r="E242"/>
  <c r="E240"/>
  <c r="E238"/>
  <c r="E236"/>
  <c r="E234"/>
  <c r="E232"/>
  <c r="E230"/>
  <c r="E228"/>
  <c r="E226"/>
  <c r="E224"/>
  <c r="E222"/>
  <c r="E220"/>
  <c r="E218"/>
  <c r="E216"/>
  <c r="E214"/>
  <c r="E212"/>
  <c r="E210"/>
  <c r="E208"/>
  <c r="E206"/>
  <c r="E204"/>
  <c r="E202"/>
  <c r="E200"/>
  <c r="E198"/>
  <c r="E196"/>
  <c r="E194"/>
  <c r="E192"/>
  <c r="E190"/>
  <c r="E188"/>
  <c r="E186"/>
  <c r="E184"/>
  <c r="E182"/>
  <c r="E180"/>
  <c r="E178"/>
  <c r="E176"/>
  <c r="E174"/>
  <c r="E172"/>
  <c r="E170"/>
  <c r="E168"/>
  <c r="E166"/>
  <c r="E164"/>
  <c r="E162"/>
  <c r="E160"/>
  <c r="E158"/>
  <c r="E156"/>
  <c r="E154"/>
  <c r="E152"/>
  <c r="E150"/>
  <c r="E148"/>
  <c r="E146"/>
  <c r="E144"/>
  <c r="E142"/>
  <c r="E140"/>
  <c r="E138"/>
  <c r="E136"/>
  <c r="E134"/>
  <c r="E132"/>
  <c r="E130"/>
  <c r="E128"/>
  <c r="E126"/>
  <c r="E124"/>
  <c r="E122"/>
  <c r="E120"/>
  <c r="E118"/>
  <c r="E116"/>
  <c r="E114"/>
  <c r="E112"/>
  <c r="E110"/>
  <c r="E108"/>
  <c r="E106"/>
  <c r="E104"/>
  <c r="E102"/>
  <c r="E100"/>
  <c r="E98"/>
  <c r="E96"/>
  <c r="E94"/>
  <c r="E92"/>
  <c r="E90"/>
  <c r="E88"/>
  <c r="E86"/>
  <c r="E84"/>
  <c r="E82"/>
  <c r="E80"/>
  <c r="E78"/>
  <c r="E76"/>
  <c r="E74"/>
  <c r="E72"/>
  <c r="E70"/>
  <c r="E68"/>
  <c r="E66"/>
  <c r="E64"/>
  <c r="E62"/>
  <c r="E60"/>
  <c r="E58"/>
  <c r="E56"/>
  <c r="E54"/>
  <c r="E52"/>
  <c r="E50"/>
  <c r="E48"/>
  <c r="E46"/>
  <c r="E44"/>
  <c r="E42"/>
  <c r="E40"/>
  <c r="E38"/>
  <c r="E36"/>
  <c r="E34"/>
  <c r="E32"/>
  <c r="E30"/>
  <c r="E28"/>
  <c r="E26"/>
  <c r="E24"/>
  <c r="E22"/>
  <c r="E20"/>
  <c r="E18"/>
  <c r="E16"/>
  <c r="E14"/>
  <c r="AS6"/>
  <c r="AO6"/>
  <c r="AK6"/>
  <c r="AG6"/>
  <c r="I6"/>
  <c r="E16" i="6"/>
  <c r="AA32" i="40"/>
  <c r="S32"/>
  <c r="M84" i="9"/>
  <c r="N84" s="1"/>
  <c r="M83"/>
  <c r="N83" s="1"/>
  <c r="N89" s="1"/>
  <c r="O89" s="1"/>
  <c r="M88"/>
  <c r="N88" s="1"/>
  <c r="M86"/>
  <c r="N86" s="1"/>
  <c r="M87"/>
  <c r="N87" s="1"/>
  <c r="M85"/>
  <c r="N85" s="1"/>
  <c r="I14" i="66"/>
  <c r="B8" s="1"/>
  <c r="K33" i="9"/>
  <c r="D46"/>
  <c r="O41"/>
  <c r="R8" i="54" s="1"/>
  <c r="B54" i="63" s="1"/>
  <c r="D65" i="40"/>
  <c r="C67"/>
  <c r="C15" i="43"/>
  <c r="C31"/>
  <c r="C25" i="12"/>
  <c r="P25" i="46"/>
  <c r="B73" i="39" s="1"/>
  <c r="P21" i="46"/>
  <c r="O19"/>
  <c r="P24"/>
  <c r="B68" i="40" s="1"/>
  <c r="P23" i="46"/>
  <c r="P22"/>
  <c r="D59" i="34"/>
  <c r="E59" s="1"/>
  <c r="F59" s="1"/>
  <c r="G59" s="1"/>
  <c r="H59" s="1"/>
  <c r="I59" s="1"/>
  <c r="J59" s="1"/>
  <c r="K59" s="1"/>
  <c r="L59" s="1"/>
  <c r="M59" s="1"/>
  <c r="N59" s="1"/>
  <c r="O59" s="1"/>
  <c r="D58" i="33"/>
  <c r="E58" s="1"/>
  <c r="F58" s="1"/>
  <c r="G58" s="1"/>
  <c r="H58" s="1"/>
  <c r="I58" s="1"/>
  <c r="J58" s="1"/>
  <c r="K58" s="1"/>
  <c r="L58" s="1"/>
  <c r="M58" s="1"/>
  <c r="N58" s="1"/>
  <c r="O58" s="1"/>
  <c r="D46" i="36"/>
  <c r="E46" s="1"/>
  <c r="F46" s="1"/>
  <c r="G46" s="1"/>
  <c r="H46" s="1"/>
  <c r="I46" s="1"/>
  <c r="J46" s="1"/>
  <c r="K46" s="1"/>
  <c r="L46" s="1"/>
  <c r="M46" s="1"/>
  <c r="N46" s="1"/>
  <c r="O46" s="1"/>
  <c r="M16" i="1"/>
  <c r="O6"/>
  <c r="P6" s="1"/>
  <c r="C15" i="12" s="1"/>
  <c r="N16" i="1"/>
  <c r="C29" i="43" s="1"/>
  <c r="C5" i="46"/>
  <c r="Q16" i="1"/>
  <c r="AB32" i="40"/>
  <c r="U32"/>
  <c r="O14" i="1"/>
  <c r="P14" s="1"/>
  <c r="O13"/>
  <c r="P13" s="1"/>
  <c r="O11"/>
  <c r="P11" s="1"/>
  <c r="O9"/>
  <c r="P9" s="1"/>
  <c r="O7"/>
  <c r="P7" s="1"/>
  <c r="G39" i="46"/>
  <c r="I39" s="1"/>
  <c r="C7"/>
  <c r="C72" i="39"/>
  <c r="D70"/>
  <c r="D58" i="21"/>
  <c r="E58" s="1"/>
  <c r="F58" s="1"/>
  <c r="G58" s="1"/>
  <c r="H58" s="1"/>
  <c r="I58" s="1"/>
  <c r="J58" s="1"/>
  <c r="K58" s="1"/>
  <c r="L58" s="1"/>
  <c r="M58" s="1"/>
  <c r="N58" s="1"/>
  <c r="O58" s="1"/>
  <c r="D52" i="37"/>
  <c r="E52" s="1"/>
  <c r="F52" s="1"/>
  <c r="G52" s="1"/>
  <c r="H52" s="1"/>
  <c r="I52" s="1"/>
  <c r="J52" s="1"/>
  <c r="K52" s="1"/>
  <c r="L52" s="1"/>
  <c r="M52" s="1"/>
  <c r="N52" s="1"/>
  <c r="O52" s="1"/>
  <c r="D48" i="35"/>
  <c r="E48" s="1"/>
  <c r="F48" s="1"/>
  <c r="G48" s="1"/>
  <c r="H48" s="1"/>
  <c r="I48" s="1"/>
  <c r="J48" s="1"/>
  <c r="K48" s="1"/>
  <c r="L48" s="1"/>
  <c r="M48" s="1"/>
  <c r="N48" s="1"/>
  <c r="O48" s="1"/>
  <c r="H16" i="1"/>
  <c r="F38" i="15"/>
  <c r="J4" i="65"/>
  <c r="L48" i="15"/>
  <c r="M11" i="44"/>
  <c r="F42" i="15"/>
  <c r="M31" i="44"/>
  <c r="J36" i="15"/>
  <c r="M27"/>
  <c r="L49" i="44"/>
  <c r="F18"/>
  <c r="J7" i="65"/>
  <c r="F45" i="44"/>
  <c r="J15" i="15"/>
  <c r="M29"/>
  <c r="F11" i="44"/>
  <c r="F38"/>
  <c r="F9" i="15"/>
  <c r="J5" i="65"/>
  <c r="F40" i="44"/>
  <c r="M23"/>
  <c r="F7" i="15"/>
  <c r="M23"/>
  <c r="F16"/>
  <c r="M24" i="44"/>
  <c r="F8"/>
  <c r="M22" i="15"/>
  <c r="I3" i="65"/>
  <c r="M28" i="15"/>
  <c r="J17" i="44"/>
  <c r="M9" i="15"/>
  <c r="M29" i="44"/>
  <c r="F39"/>
  <c r="N4" i="65"/>
  <c r="M26" i="44"/>
  <c r="N5" i="65"/>
  <c r="M10" i="44"/>
  <c r="M25"/>
  <c r="M26" i="15"/>
  <c r="M8" i="44"/>
  <c r="M28"/>
  <c r="L47" i="15"/>
  <c r="M8"/>
  <c r="I7" i="65"/>
  <c r="F43" i="15"/>
  <c r="C19" i="44"/>
  <c r="F46"/>
  <c r="M24" i="15"/>
  <c r="M6"/>
  <c r="N3" i="65"/>
  <c r="F43" i="44"/>
  <c r="F10"/>
  <c r="J3" i="65"/>
  <c r="F37" i="15"/>
  <c r="F6"/>
  <c r="L48" i="44"/>
  <c r="N6" i="65"/>
  <c r="F15" i="44"/>
  <c r="F9"/>
  <c r="F37"/>
  <c r="M30"/>
  <c r="I6" i="65"/>
  <c r="F40" i="15"/>
  <c r="F28" i="44"/>
  <c r="J6" i="65"/>
  <c r="F36" i="15"/>
  <c r="F8"/>
  <c r="I4" i="65"/>
  <c r="F13" i="15"/>
  <c r="F26"/>
  <c r="I5" i="65"/>
  <c r="N7"/>
  <c r="F7" i="36" l="1"/>
  <c r="F7" i="33"/>
  <c r="F7" i="34"/>
  <c r="K21" i="6"/>
  <c r="K22"/>
  <c r="M22" s="1"/>
  <c r="I22" s="1"/>
  <c r="S22" s="1"/>
  <c r="AP7" i="1"/>
  <c r="G7"/>
  <c r="AA11" i="33"/>
  <c r="S11"/>
  <c r="AA19"/>
  <c r="S19"/>
  <c r="H13" i="39"/>
  <c r="F13"/>
  <c r="J13"/>
  <c r="N48" i="59"/>
  <c r="N47"/>
  <c r="AP6" i="1"/>
  <c r="G6"/>
  <c r="AC11" i="33"/>
  <c r="W11"/>
  <c r="AB19"/>
  <c r="U19"/>
  <c r="M101" i="46"/>
  <c r="S3"/>
  <c r="AC11"/>
  <c r="AC13" s="1"/>
  <c r="F22"/>
  <c r="I101"/>
  <c r="N101"/>
  <c r="J101"/>
  <c r="F101"/>
  <c r="C23"/>
  <c r="C21" s="1"/>
  <c r="G22"/>
  <c r="AJ11"/>
  <c r="AJ13" s="1"/>
  <c r="AF11"/>
  <c r="AF13" s="1"/>
  <c r="AB11"/>
  <c r="AB13" s="1"/>
  <c r="Z7"/>
  <c r="S4"/>
  <c r="S6"/>
  <c r="AE11"/>
  <c r="AE13" s="1"/>
  <c r="C101"/>
  <c r="K101"/>
  <c r="S5"/>
  <c r="Y11"/>
  <c r="Y13" s="1"/>
  <c r="AG11"/>
  <c r="AG13" s="1"/>
  <c r="E101"/>
  <c r="N104" i="45"/>
  <c r="L101" i="46"/>
  <c r="H101"/>
  <c r="D101"/>
  <c r="J22"/>
  <c r="E22"/>
  <c r="AH11"/>
  <c r="AH13" s="1"/>
  <c r="AD11"/>
  <c r="AD13" s="1"/>
  <c r="Z11"/>
  <c r="Z13" s="1"/>
  <c r="S7"/>
  <c r="S2"/>
  <c r="AA11"/>
  <c r="AA13" s="1"/>
  <c r="AI11"/>
  <c r="AI13" s="1"/>
  <c r="H22"/>
  <c r="G101"/>
  <c r="B113"/>
  <c r="T18" i="59"/>
  <c r="D18"/>
  <c r="M20" i="46" s="1"/>
  <c r="C19" s="1"/>
  <c r="T26" i="59"/>
  <c r="D26"/>
  <c r="M21" i="6"/>
  <c r="I21" s="1"/>
  <c r="S21" s="1"/>
  <c r="S8" i="1"/>
  <c r="H6" i="3"/>
  <c r="E6" s="1"/>
  <c r="K19" i="6"/>
  <c r="K23"/>
  <c r="M23" s="1"/>
  <c r="I23" s="1"/>
  <c r="S23" s="1"/>
  <c r="K20"/>
  <c r="K15" i="1"/>
  <c r="K16" s="1"/>
  <c r="E30" i="6"/>
  <c r="E31" s="1"/>
  <c r="J7" i="35"/>
  <c r="F7" i="37"/>
  <c r="F7" i="21"/>
  <c r="F7" i="35"/>
  <c r="H7"/>
  <c r="H7" i="37"/>
  <c r="J7"/>
  <c r="H7" i="21"/>
  <c r="J7"/>
  <c r="J7" i="36"/>
  <c r="H7"/>
  <c r="J7" i="33"/>
  <c r="H7"/>
  <c r="D3" i="6"/>
  <c r="AY572" i="3"/>
  <c r="AY570"/>
  <c r="AY568"/>
  <c r="AY566"/>
  <c r="AY564"/>
  <c r="AY562"/>
  <c r="AY560"/>
  <c r="AY558"/>
  <c r="AY556"/>
  <c r="AY554"/>
  <c r="AY552"/>
  <c r="AY550"/>
  <c r="AY548"/>
  <c r="AY546"/>
  <c r="AY544"/>
  <c r="AY542"/>
  <c r="AY540"/>
  <c r="AY538"/>
  <c r="AY536"/>
  <c r="AY534"/>
  <c r="AY532"/>
  <c r="AY530"/>
  <c r="AY528"/>
  <c r="AY526"/>
  <c r="AY524"/>
  <c r="AY522"/>
  <c r="AY520"/>
  <c r="AY518"/>
  <c r="AY516"/>
  <c r="AY514"/>
  <c r="AY512"/>
  <c r="AY510"/>
  <c r="AY508"/>
  <c r="AY506"/>
  <c r="AY504"/>
  <c r="AY502"/>
  <c r="AY500"/>
  <c r="AY498"/>
  <c r="AY496"/>
  <c r="AY494"/>
  <c r="AY492"/>
  <c r="AY490"/>
  <c r="AY488"/>
  <c r="AY486"/>
  <c r="AY484"/>
  <c r="AY482"/>
  <c r="AY480"/>
  <c r="AY478"/>
  <c r="AY476"/>
  <c r="AY474"/>
  <c r="AY472"/>
  <c r="AY470"/>
  <c r="AY468"/>
  <c r="AY466"/>
  <c r="AY464"/>
  <c r="AY462"/>
  <c r="AY460"/>
  <c r="AY458"/>
  <c r="AY456"/>
  <c r="AY454"/>
  <c r="AY452"/>
  <c r="AY450"/>
  <c r="AY448"/>
  <c r="AY446"/>
  <c r="AY444"/>
  <c r="AY442"/>
  <c r="AY440"/>
  <c r="AY438"/>
  <c r="AY436"/>
  <c r="AY434"/>
  <c r="AY432"/>
  <c r="AY430"/>
  <c r="AY428"/>
  <c r="AY426"/>
  <c r="AY424"/>
  <c r="AY422"/>
  <c r="AY420"/>
  <c r="AY418"/>
  <c r="AY416"/>
  <c r="AY414"/>
  <c r="AY412"/>
  <c r="AY410"/>
  <c r="AY408"/>
  <c r="AY406"/>
  <c r="AY404"/>
  <c r="AY402"/>
  <c r="AY400"/>
  <c r="AY398"/>
  <c r="AY396"/>
  <c r="AY394"/>
  <c r="AY392"/>
  <c r="AY390"/>
  <c r="AY388"/>
  <c r="AY386"/>
  <c r="AY384"/>
  <c r="AY382"/>
  <c r="AY380"/>
  <c r="AY378"/>
  <c r="AY376"/>
  <c r="AY374"/>
  <c r="AY372"/>
  <c r="AY370"/>
  <c r="AY368"/>
  <c r="AY366"/>
  <c r="AY364"/>
  <c r="AY362"/>
  <c r="AY360"/>
  <c r="AY358"/>
  <c r="AY356"/>
  <c r="AY354"/>
  <c r="AY352"/>
  <c r="AY350"/>
  <c r="AY348"/>
  <c r="AY346"/>
  <c r="AY344"/>
  <c r="AY342"/>
  <c r="AY340"/>
  <c r="AY338"/>
  <c r="AY336"/>
  <c r="AY334"/>
  <c r="AY332"/>
  <c r="AY330"/>
  <c r="AY571"/>
  <c r="AY569"/>
  <c r="AY567"/>
  <c r="AY565"/>
  <c r="AY563"/>
  <c r="AY561"/>
  <c r="AY559"/>
  <c r="AY557"/>
  <c r="AY555"/>
  <c r="AY553"/>
  <c r="AY551"/>
  <c r="AY549"/>
  <c r="AY547"/>
  <c r="AY545"/>
  <c r="AY543"/>
  <c r="AY541"/>
  <c r="AY539"/>
  <c r="AY537"/>
  <c r="AY535"/>
  <c r="AY533"/>
  <c r="AY531"/>
  <c r="AY529"/>
  <c r="AY527"/>
  <c r="AY525"/>
  <c r="AY523"/>
  <c r="AY521"/>
  <c r="AY519"/>
  <c r="AY517"/>
  <c r="AY515"/>
  <c r="AY513"/>
  <c r="AY511"/>
  <c r="AY509"/>
  <c r="AY507"/>
  <c r="AY505"/>
  <c r="AY503"/>
  <c r="AY501"/>
  <c r="AY499"/>
  <c r="AY497"/>
  <c r="AY495"/>
  <c r="AY493"/>
  <c r="AY491"/>
  <c r="AY489"/>
  <c r="AY487"/>
  <c r="AY485"/>
  <c r="AY483"/>
  <c r="AY481"/>
  <c r="AY479"/>
  <c r="AY477"/>
  <c r="AY475"/>
  <c r="AY473"/>
  <c r="AY471"/>
  <c r="AY469"/>
  <c r="AY467"/>
  <c r="AY465"/>
  <c r="AY463"/>
  <c r="AY461"/>
  <c r="AY459"/>
  <c r="AY457"/>
  <c r="AY455"/>
  <c r="AY453"/>
  <c r="AY451"/>
  <c r="AY449"/>
  <c r="AY447"/>
  <c r="AY445"/>
  <c r="AY443"/>
  <c r="AY441"/>
  <c r="AY439"/>
  <c r="AY437"/>
  <c r="AY435"/>
  <c r="AY433"/>
  <c r="AY431"/>
  <c r="AY429"/>
  <c r="AY427"/>
  <c r="AY425"/>
  <c r="AY423"/>
  <c r="AY421"/>
  <c r="AY419"/>
  <c r="AY417"/>
  <c r="AY415"/>
  <c r="AY413"/>
  <c r="AY411"/>
  <c r="AY409"/>
  <c r="AY407"/>
  <c r="AY405"/>
  <c r="AY403"/>
  <c r="AY401"/>
  <c r="AY399"/>
  <c r="AY397"/>
  <c r="AY395"/>
  <c r="AY393"/>
  <c r="AY391"/>
  <c r="AY389"/>
  <c r="AY387"/>
  <c r="AY385"/>
  <c r="AY383"/>
  <c r="AY381"/>
  <c r="AY379"/>
  <c r="AY377"/>
  <c r="AY375"/>
  <c r="AY373"/>
  <c r="AY371"/>
  <c r="AY369"/>
  <c r="AY367"/>
  <c r="AY365"/>
  <c r="AY363"/>
  <c r="AY361"/>
  <c r="AY359"/>
  <c r="AY357"/>
  <c r="AY355"/>
  <c r="AY353"/>
  <c r="AY351"/>
  <c r="AY349"/>
  <c r="AY347"/>
  <c r="AY345"/>
  <c r="AY343"/>
  <c r="AY341"/>
  <c r="AY339"/>
  <c r="AY337"/>
  <c r="AY335"/>
  <c r="AY333"/>
  <c r="AY331"/>
  <c r="AY329"/>
  <c r="AY327"/>
  <c r="AY325"/>
  <c r="AY323"/>
  <c r="AY328"/>
  <c r="AY326"/>
  <c r="AY324"/>
  <c r="AY322"/>
  <c r="AY320"/>
  <c r="AY318"/>
  <c r="AY316"/>
  <c r="AY314"/>
  <c r="AY312"/>
  <c r="AY310"/>
  <c r="AY308"/>
  <c r="AY306"/>
  <c r="AY304"/>
  <c r="AY302"/>
  <c r="AY300"/>
  <c r="AY298"/>
  <c r="AY296"/>
  <c r="AY294"/>
  <c r="AY292"/>
  <c r="AY290"/>
  <c r="AY288"/>
  <c r="AY286"/>
  <c r="AY284"/>
  <c r="AY282"/>
  <c r="AY280"/>
  <c r="AY278"/>
  <c r="AY276"/>
  <c r="AY274"/>
  <c r="AY272"/>
  <c r="AY270"/>
  <c r="AY268"/>
  <c r="AY266"/>
  <c r="AY264"/>
  <c r="AY262"/>
  <c r="AY260"/>
  <c r="AY258"/>
  <c r="AY256"/>
  <c r="AY254"/>
  <c r="AY252"/>
  <c r="AY250"/>
  <c r="AY248"/>
  <c r="AY246"/>
  <c r="AY244"/>
  <c r="AY242"/>
  <c r="AY240"/>
  <c r="AY238"/>
  <c r="AY236"/>
  <c r="AY234"/>
  <c r="AY232"/>
  <c r="AY230"/>
  <c r="AY228"/>
  <c r="AY226"/>
  <c r="AY224"/>
  <c r="AY222"/>
  <c r="AY220"/>
  <c r="AY218"/>
  <c r="AY216"/>
  <c r="AY214"/>
  <c r="AY212"/>
  <c r="AY210"/>
  <c r="AY208"/>
  <c r="AY206"/>
  <c r="AY204"/>
  <c r="AY202"/>
  <c r="AY200"/>
  <c r="AY198"/>
  <c r="AY196"/>
  <c r="AY194"/>
  <c r="AY192"/>
  <c r="AY190"/>
  <c r="AY188"/>
  <c r="AY186"/>
  <c r="AY184"/>
  <c r="AY182"/>
  <c r="AY180"/>
  <c r="AY178"/>
  <c r="AY176"/>
  <c r="AY174"/>
  <c r="AY172"/>
  <c r="AY170"/>
  <c r="AY168"/>
  <c r="AY166"/>
  <c r="AY164"/>
  <c r="AY162"/>
  <c r="AY160"/>
  <c r="AY158"/>
  <c r="AY156"/>
  <c r="AY154"/>
  <c r="AY152"/>
  <c r="AY150"/>
  <c r="AY148"/>
  <c r="AY146"/>
  <c r="AY144"/>
  <c r="AY142"/>
  <c r="AY140"/>
  <c r="AY138"/>
  <c r="AY136"/>
  <c r="AY134"/>
  <c r="AY132"/>
  <c r="AY130"/>
  <c r="AY128"/>
  <c r="AY126"/>
  <c r="AY124"/>
  <c r="AY122"/>
  <c r="AY120"/>
  <c r="AY118"/>
  <c r="AY116"/>
  <c r="AY114"/>
  <c r="AY112"/>
  <c r="AY110"/>
  <c r="AY108"/>
  <c r="AY106"/>
  <c r="AY104"/>
  <c r="AY102"/>
  <c r="AY100"/>
  <c r="AY98"/>
  <c r="AY96"/>
  <c r="AY94"/>
  <c r="AY92"/>
  <c r="AY90"/>
  <c r="AY88"/>
  <c r="AY86"/>
  <c r="AY84"/>
  <c r="AY82"/>
  <c r="AY80"/>
  <c r="AY78"/>
  <c r="AY76"/>
  <c r="AY74"/>
  <c r="AY72"/>
  <c r="AY70"/>
  <c r="AY68"/>
  <c r="AY66"/>
  <c r="AY64"/>
  <c r="AY62"/>
  <c r="AY60"/>
  <c r="AY58"/>
  <c r="AY56"/>
  <c r="AY54"/>
  <c r="AY52"/>
  <c r="AY50"/>
  <c r="AY48"/>
  <c r="AY46"/>
  <c r="AY44"/>
  <c r="AY42"/>
  <c r="AY40"/>
  <c r="AY38"/>
  <c r="AY36"/>
  <c r="AY34"/>
  <c r="AY32"/>
  <c r="AY30"/>
  <c r="AY28"/>
  <c r="AY26"/>
  <c r="AY24"/>
  <c r="AY22"/>
  <c r="AY20"/>
  <c r="AY18"/>
  <c r="AY16"/>
  <c r="AY14"/>
  <c r="BS6"/>
  <c r="BQ6"/>
  <c r="BO6"/>
  <c r="BM6"/>
  <c r="BK6"/>
  <c r="BI6"/>
  <c r="BG6"/>
  <c r="BE6"/>
  <c r="BC6"/>
  <c r="BA6"/>
  <c r="BT6"/>
  <c r="BP6"/>
  <c r="BL6"/>
  <c r="BH6"/>
  <c r="BD6"/>
  <c r="AY321"/>
  <c r="AY319"/>
  <c r="AY317"/>
  <c r="AY315"/>
  <c r="AY313"/>
  <c r="AY311"/>
  <c r="AY309"/>
  <c r="AY307"/>
  <c r="AY305"/>
  <c r="AY303"/>
  <c r="AY301"/>
  <c r="AY299"/>
  <c r="AY297"/>
  <c r="AY295"/>
  <c r="AY293"/>
  <c r="AY291"/>
  <c r="AY289"/>
  <c r="AY287"/>
  <c r="AY285"/>
  <c r="AY283"/>
  <c r="AY281"/>
  <c r="AY279"/>
  <c r="AY277"/>
  <c r="AY275"/>
  <c r="AY273"/>
  <c r="AY271"/>
  <c r="AY269"/>
  <c r="AY267"/>
  <c r="AY265"/>
  <c r="AY263"/>
  <c r="AY261"/>
  <c r="AY259"/>
  <c r="AY257"/>
  <c r="AY255"/>
  <c r="AY253"/>
  <c r="AY251"/>
  <c r="AY249"/>
  <c r="AY247"/>
  <c r="AY245"/>
  <c r="AY243"/>
  <c r="AY241"/>
  <c r="AY239"/>
  <c r="AY237"/>
  <c r="AY235"/>
  <c r="AY233"/>
  <c r="AY231"/>
  <c r="AY229"/>
  <c r="AY227"/>
  <c r="AY225"/>
  <c r="AY223"/>
  <c r="AY221"/>
  <c r="AY219"/>
  <c r="AY217"/>
  <c r="AY215"/>
  <c r="AY213"/>
  <c r="AY211"/>
  <c r="AY209"/>
  <c r="AY207"/>
  <c r="AY205"/>
  <c r="AY203"/>
  <c r="AY201"/>
  <c r="AY199"/>
  <c r="AY197"/>
  <c r="AY195"/>
  <c r="AY193"/>
  <c r="AY191"/>
  <c r="AY189"/>
  <c r="AY187"/>
  <c r="AY185"/>
  <c r="AY183"/>
  <c r="AY181"/>
  <c r="AY179"/>
  <c r="AY177"/>
  <c r="AY175"/>
  <c r="AY173"/>
  <c r="AY171"/>
  <c r="AY169"/>
  <c r="AY167"/>
  <c r="AY165"/>
  <c r="AY163"/>
  <c r="AY161"/>
  <c r="AY159"/>
  <c r="AY157"/>
  <c r="AY155"/>
  <c r="AY153"/>
  <c r="AY151"/>
  <c r="AY149"/>
  <c r="AY147"/>
  <c r="AY145"/>
  <c r="AY143"/>
  <c r="AY141"/>
  <c r="AY139"/>
  <c r="AY137"/>
  <c r="AY135"/>
  <c r="AY133"/>
  <c r="AY131"/>
  <c r="AY129"/>
  <c r="AY127"/>
  <c r="AY125"/>
  <c r="AY123"/>
  <c r="AY121"/>
  <c r="AY119"/>
  <c r="AY117"/>
  <c r="AY115"/>
  <c r="AY113"/>
  <c r="AY111"/>
  <c r="AY109"/>
  <c r="AY107"/>
  <c r="AY105"/>
  <c r="AY103"/>
  <c r="AY101"/>
  <c r="AY99"/>
  <c r="AY97"/>
  <c r="AY95"/>
  <c r="AY93"/>
  <c r="AY91"/>
  <c r="AY89"/>
  <c r="AY87"/>
  <c r="AY85"/>
  <c r="AY83"/>
  <c r="AY81"/>
  <c r="AY79"/>
  <c r="AY77"/>
  <c r="AY75"/>
  <c r="AY73"/>
  <c r="AY71"/>
  <c r="AY69"/>
  <c r="AY67"/>
  <c r="AY65"/>
  <c r="AY63"/>
  <c r="AY61"/>
  <c r="AY59"/>
  <c r="AY57"/>
  <c r="AY55"/>
  <c r="AY53"/>
  <c r="AY51"/>
  <c r="AY49"/>
  <c r="AY47"/>
  <c r="AY45"/>
  <c r="AY43"/>
  <c r="AY41"/>
  <c r="AY39"/>
  <c r="AY37"/>
  <c r="AY35"/>
  <c r="AY33"/>
  <c r="AY31"/>
  <c r="AY29"/>
  <c r="AY27"/>
  <c r="AY25"/>
  <c r="AY23"/>
  <c r="AY21"/>
  <c r="AY19"/>
  <c r="AY17"/>
  <c r="AY15"/>
  <c r="AY13"/>
  <c r="BR6"/>
  <c r="BN6"/>
  <c r="BJ6"/>
  <c r="BF6"/>
  <c r="BB6"/>
  <c r="D10" i="11"/>
  <c r="E6" i="6"/>
  <c r="C21" i="4"/>
  <c r="O5" i="54" s="1"/>
  <c r="B45" i="63" s="1"/>
  <c r="D44" i="9"/>
  <c r="D45"/>
  <c r="L38"/>
  <c r="B14" i="66" s="1"/>
  <c r="B1" s="1"/>
  <c r="D16" i="12"/>
  <c r="D16" i="43"/>
  <c r="C16" s="1"/>
  <c r="C27" i="15"/>
  <c r="F67"/>
  <c r="C29" i="44"/>
  <c r="M9"/>
  <c r="J8" s="1"/>
  <c r="Q73"/>
  <c r="L60"/>
  <c r="L59"/>
  <c r="J1" i="65"/>
  <c r="F50" i="15"/>
  <c r="F63"/>
  <c r="L59"/>
  <c r="L58"/>
  <c r="Q72"/>
  <c r="F65"/>
  <c r="J60"/>
  <c r="Q49" s="1"/>
  <c r="I54"/>
  <c r="J53"/>
  <c r="L56"/>
  <c r="L46"/>
  <c r="J57"/>
  <c r="J55" s="1"/>
  <c r="J58" s="1"/>
  <c r="Q51" s="1"/>
  <c r="J59"/>
  <c r="C8" i="44"/>
  <c r="C36"/>
  <c r="L57"/>
  <c r="J54"/>
  <c r="I55"/>
  <c r="J60"/>
  <c r="J61"/>
  <c r="Q50" s="1"/>
  <c r="J58"/>
  <c r="J56" s="1"/>
  <c r="J59" s="1"/>
  <c r="Q52" s="1"/>
  <c r="E20" i="46"/>
  <c r="C4" i="65"/>
  <c r="B39" i="1" s="1"/>
  <c r="F49" i="15"/>
  <c r="M7"/>
  <c r="J6" s="1"/>
  <c r="C6"/>
  <c r="F64"/>
  <c r="F70"/>
  <c r="J22" i="44"/>
  <c r="I1" i="65"/>
  <c r="S7" i="35"/>
  <c r="AA7"/>
  <c r="R38" s="1"/>
  <c r="U7" i="37"/>
  <c r="AB7"/>
  <c r="T42" s="1"/>
  <c r="G42" s="1"/>
  <c r="U7" i="21"/>
  <c r="AB7"/>
  <c r="T48" s="1"/>
  <c r="G48" s="1"/>
  <c r="E70" i="39"/>
  <c r="D72"/>
  <c r="T15" i="46"/>
  <c r="V15" s="1"/>
  <c r="T14"/>
  <c r="V14" s="1"/>
  <c r="T13"/>
  <c r="V13" s="1"/>
  <c r="T12"/>
  <c r="V12" s="1"/>
  <c r="T9"/>
  <c r="V9" s="1"/>
  <c r="T8"/>
  <c r="V8" s="1"/>
  <c r="T6"/>
  <c r="V6" s="1"/>
  <c r="T5"/>
  <c r="V5" s="1"/>
  <c r="T3"/>
  <c r="V3" s="1"/>
  <c r="C39"/>
  <c r="E39" s="1"/>
  <c r="C37"/>
  <c r="C29"/>
  <c r="T11"/>
  <c r="V11" s="1"/>
  <c r="T2"/>
  <c r="V2" s="1"/>
  <c r="C38"/>
  <c r="T16"/>
  <c r="V16" s="1"/>
  <c r="T10"/>
  <c r="V10" s="1"/>
  <c r="T7"/>
  <c r="V7" s="1"/>
  <c r="T4"/>
  <c r="V4" s="1"/>
  <c r="W7" i="35"/>
  <c r="AC7"/>
  <c r="V38" s="1"/>
  <c r="I38" s="1"/>
  <c r="AA7" i="37"/>
  <c r="R42" s="1"/>
  <c r="S7"/>
  <c r="AA7" i="21"/>
  <c r="R48" s="1"/>
  <c r="S7"/>
  <c r="C13" i="43"/>
  <c r="L16" i="1"/>
  <c r="S7" i="36"/>
  <c r="AA7"/>
  <c r="R36" s="1"/>
  <c r="S7" i="33"/>
  <c r="AA7"/>
  <c r="R48" s="1"/>
  <c r="C35" i="46"/>
  <c r="C33"/>
  <c r="C36"/>
  <c r="C34"/>
  <c r="C8" i="66"/>
  <c r="P16" i="1"/>
  <c r="C13" i="12" s="1"/>
  <c r="O16" i="1"/>
  <c r="H7" i="34"/>
  <c r="J7"/>
  <c r="K34" i="9"/>
  <c r="AB7" i="35"/>
  <c r="T38" s="1"/>
  <c r="G38" s="1"/>
  <c r="U7"/>
  <c r="AC7" i="37"/>
  <c r="V42" s="1"/>
  <c r="I42" s="1"/>
  <c r="W7"/>
  <c r="AC7" i="21"/>
  <c r="V48" s="1"/>
  <c r="I48" s="1"/>
  <c r="W7"/>
  <c r="F18" i="11"/>
  <c r="C18" s="1"/>
  <c r="F24" i="43"/>
  <c r="C26" s="1"/>
  <c r="D24" s="1"/>
  <c r="F33" i="12"/>
  <c r="C34" s="1"/>
  <c r="D33" s="1"/>
  <c r="W7" i="36"/>
  <c r="AC7"/>
  <c r="V36" s="1"/>
  <c r="I36" s="1"/>
  <c r="AB7"/>
  <c r="T36" s="1"/>
  <c r="G36" s="1"/>
  <c r="U7"/>
  <c r="W7" i="33"/>
  <c r="AC7"/>
  <c r="V48" s="1"/>
  <c r="I48" s="1"/>
  <c r="AB7"/>
  <c r="T48" s="1"/>
  <c r="G48" s="1"/>
  <c r="U7"/>
  <c r="AA7" i="34"/>
  <c r="R49" s="1"/>
  <c r="S7"/>
  <c r="D67" i="40"/>
  <c r="E65"/>
  <c r="E3" i="65"/>
  <c r="C18" i="44"/>
  <c r="E2" i="65"/>
  <c r="C16" i="15"/>
  <c r="G16" i="1" l="1"/>
  <c r="J12" i="40" s="1"/>
  <c r="G118" i="46"/>
  <c r="H118" s="1"/>
  <c r="I116"/>
  <c r="J116" s="1"/>
  <c r="K116" s="1"/>
  <c r="L116" s="1"/>
  <c r="M116" s="1"/>
  <c r="B118"/>
  <c r="C118" s="1"/>
  <c r="B116"/>
  <c r="C116" s="1"/>
  <c r="D118"/>
  <c r="E118" s="1"/>
  <c r="F118" s="1"/>
  <c r="D116"/>
  <c r="E116" s="1"/>
  <c r="F116" s="1"/>
  <c r="G116" s="1"/>
  <c r="H116" s="1"/>
  <c r="I118"/>
  <c r="J118" s="1"/>
  <c r="K118" s="1"/>
  <c r="L118" s="1"/>
  <c r="M118" s="1"/>
  <c r="I117"/>
  <c r="J117" s="1"/>
  <c r="K117" s="1"/>
  <c r="L117" s="1"/>
  <c r="M117" s="1"/>
  <c r="I115"/>
  <c r="J115" s="1"/>
  <c r="K115" s="1"/>
  <c r="L115" s="1"/>
  <c r="M115" s="1"/>
  <c r="B117"/>
  <c r="C117" s="1"/>
  <c r="B115"/>
  <c r="C115" s="1"/>
  <c r="D117"/>
  <c r="E117" s="1"/>
  <c r="F117" s="1"/>
  <c r="G117" s="1"/>
  <c r="H117" s="1"/>
  <c r="D115"/>
  <c r="E115" s="1"/>
  <c r="F115" s="1"/>
  <c r="G115" s="1"/>
  <c r="H115" s="1"/>
  <c r="D22"/>
  <c r="D107"/>
  <c r="D105"/>
  <c r="D103"/>
  <c r="D109"/>
  <c r="D106"/>
  <c r="D104"/>
  <c r="D102"/>
  <c r="L107"/>
  <c r="L105"/>
  <c r="L103"/>
  <c r="L109"/>
  <c r="L106"/>
  <c r="L104"/>
  <c r="L102"/>
  <c r="E109"/>
  <c r="E106"/>
  <c r="E104"/>
  <c r="E102"/>
  <c r="E107"/>
  <c r="E105"/>
  <c r="E103"/>
  <c r="K107"/>
  <c r="K105"/>
  <c r="K103"/>
  <c r="K109"/>
  <c r="K106"/>
  <c r="K104"/>
  <c r="K102"/>
  <c r="J109"/>
  <c r="J106"/>
  <c r="J104"/>
  <c r="J102"/>
  <c r="J107"/>
  <c r="J105"/>
  <c r="J103"/>
  <c r="I109"/>
  <c r="I106"/>
  <c r="I104"/>
  <c r="I102"/>
  <c r="I107"/>
  <c r="I105"/>
  <c r="I103"/>
  <c r="M107"/>
  <c r="M105"/>
  <c r="M103"/>
  <c r="M109"/>
  <c r="M106"/>
  <c r="M104"/>
  <c r="M102"/>
  <c r="AP16" i="1"/>
  <c r="F22" i="11" s="1"/>
  <c r="AA13" i="39"/>
  <c r="S13"/>
  <c r="G109" i="46"/>
  <c r="G106"/>
  <c r="G104"/>
  <c r="G102"/>
  <c r="G107"/>
  <c r="G105"/>
  <c r="G103"/>
  <c r="H109"/>
  <c r="H106"/>
  <c r="H104"/>
  <c r="H102"/>
  <c r="H107"/>
  <c r="H105"/>
  <c r="H103"/>
  <c r="C109"/>
  <c r="C106"/>
  <c r="C104"/>
  <c r="C102"/>
  <c r="C107"/>
  <c r="C105"/>
  <c r="C103"/>
  <c r="F107"/>
  <c r="F105"/>
  <c r="F103"/>
  <c r="F109"/>
  <c r="F106"/>
  <c r="F104"/>
  <c r="F102"/>
  <c r="N107"/>
  <c r="N105"/>
  <c r="N103"/>
  <c r="N109"/>
  <c r="N106"/>
  <c r="N104"/>
  <c r="N102"/>
  <c r="J12" i="39"/>
  <c r="H12"/>
  <c r="F12"/>
  <c r="AC13"/>
  <c r="W13"/>
  <c r="AB13"/>
  <c r="U13"/>
  <c r="M20" i="6"/>
  <c r="I20" s="1"/>
  <c r="S20" s="1"/>
  <c r="S7" i="1"/>
  <c r="S6"/>
  <c r="M19" i="6"/>
  <c r="K27"/>
  <c r="C16" i="12"/>
  <c r="D19"/>
  <c r="C19" s="1"/>
  <c r="C7" i="66"/>
  <c r="C6"/>
  <c r="D13" i="11"/>
  <c r="C13" s="1"/>
  <c r="D22" i="12"/>
  <c r="C22" s="1"/>
  <c r="C20" s="1"/>
  <c r="E63" i="40"/>
  <c r="D29" i="6"/>
  <c r="D26"/>
  <c r="D24"/>
  <c r="D22"/>
  <c r="D20"/>
  <c r="D15"/>
  <c r="D13"/>
  <c r="D11"/>
  <c r="D6"/>
  <c r="F44" i="9"/>
  <c r="D8" i="6"/>
  <c r="E45" i="9"/>
  <c r="F45"/>
  <c r="C22" i="4"/>
  <c r="E68" i="39"/>
  <c r="D28" i="6"/>
  <c r="D25"/>
  <c r="D23"/>
  <c r="D21"/>
  <c r="D19"/>
  <c r="D14"/>
  <c r="D12"/>
  <c r="D10"/>
  <c r="D5"/>
  <c r="D9"/>
  <c r="K38" i="9"/>
  <c r="C14" i="66" s="1"/>
  <c r="B2" s="1"/>
  <c r="E44" i="9"/>
  <c r="H21" i="6"/>
  <c r="H23"/>
  <c r="H25"/>
  <c r="E46" i="9"/>
  <c r="F46"/>
  <c r="H20" i="6"/>
  <c r="R20" s="1"/>
  <c r="R7" i="1" s="1"/>
  <c r="H22" i="6"/>
  <c r="H24"/>
  <c r="R24" s="1"/>
  <c r="H26"/>
  <c r="B40" i="1"/>
  <c r="F17" i="11"/>
  <c r="C17" s="1"/>
  <c r="C19" s="1"/>
  <c r="F65" i="40"/>
  <c r="E67"/>
  <c r="G53" i="33"/>
  <c r="H53" s="1"/>
  <c r="G52"/>
  <c r="H52" s="1"/>
  <c r="G41" i="36"/>
  <c r="H41" s="1"/>
  <c r="G40"/>
  <c r="H40" s="1"/>
  <c r="C17" i="12"/>
  <c r="C14"/>
  <c r="G36" i="46"/>
  <c r="I36" s="1"/>
  <c r="E36"/>
  <c r="G35"/>
  <c r="I35" s="1"/>
  <c r="E35"/>
  <c r="C17" i="43"/>
  <c r="C14"/>
  <c r="R49" i="21"/>
  <c r="E48"/>
  <c r="I53" s="1"/>
  <c r="J53" s="1"/>
  <c r="R43" i="37"/>
  <c r="E42"/>
  <c r="E29" i="46"/>
  <c r="C30"/>
  <c r="E30" s="1"/>
  <c r="G53" i="21"/>
  <c r="H53" s="1"/>
  <c r="G52"/>
  <c r="H52" s="1"/>
  <c r="G47" i="37"/>
  <c r="H47" s="1"/>
  <c r="G46"/>
  <c r="H46" s="1"/>
  <c r="R39" i="35"/>
  <c r="E38"/>
  <c r="P17" i="46"/>
  <c r="N17"/>
  <c r="O17"/>
  <c r="M17"/>
  <c r="Q53" i="15"/>
  <c r="F1"/>
  <c r="Q75"/>
  <c r="Q62"/>
  <c r="Q75" i="44"/>
  <c r="Q62"/>
  <c r="L47"/>
  <c r="C48" i="15"/>
  <c r="R50" i="34"/>
  <c r="E49"/>
  <c r="U7"/>
  <c r="AB7"/>
  <c r="T49" s="1"/>
  <c r="G49" s="1"/>
  <c r="I52" i="33"/>
  <c r="J52" s="1"/>
  <c r="I40" i="36"/>
  <c r="J40" s="1"/>
  <c r="I52" i="21"/>
  <c r="J52" s="1"/>
  <c r="I47" i="37"/>
  <c r="J47" s="1"/>
  <c r="I46"/>
  <c r="J46" s="1"/>
  <c r="G43" i="35"/>
  <c r="H43" s="1"/>
  <c r="G42"/>
  <c r="H42" s="1"/>
  <c r="AC7" i="34"/>
  <c r="V49" s="1"/>
  <c r="I49" s="1"/>
  <c r="W7"/>
  <c r="G34" i="46"/>
  <c r="I34" s="1"/>
  <c r="E34"/>
  <c r="G33"/>
  <c r="I33" s="1"/>
  <c r="E33"/>
  <c r="E48" i="33"/>
  <c r="I53" s="1"/>
  <c r="J53" s="1"/>
  <c r="R49"/>
  <c r="E36" i="36"/>
  <c r="I41" s="1"/>
  <c r="J41" s="1"/>
  <c r="R37"/>
  <c r="I43" i="35"/>
  <c r="J43" s="1"/>
  <c r="I42"/>
  <c r="J42" s="1"/>
  <c r="G38" i="46"/>
  <c r="I38" s="1"/>
  <c r="E38"/>
  <c r="G37"/>
  <c r="I37" s="1"/>
  <c r="E37"/>
  <c r="E72" i="39"/>
  <c r="F70"/>
  <c r="M11" i="15"/>
  <c r="J10" s="1"/>
  <c r="J5" s="1"/>
  <c r="F11"/>
  <c r="F13" i="44"/>
  <c r="C12" s="1"/>
  <c r="C7" s="1"/>
  <c r="M13"/>
  <c r="J12" s="1"/>
  <c r="J7" s="1"/>
  <c r="Q54"/>
  <c r="F1"/>
  <c r="Q74" i="15"/>
  <c r="Q61"/>
  <c r="Q63" i="44"/>
  <c r="Q76"/>
  <c r="F7" i="67"/>
  <c r="AE6" i="1"/>
  <c r="AE8"/>
  <c r="C17" i="15"/>
  <c r="F12" i="40" l="1"/>
  <c r="H12"/>
  <c r="S12" i="39"/>
  <c r="AA12"/>
  <c r="U12"/>
  <c r="AB12"/>
  <c r="W12"/>
  <c r="AC12"/>
  <c r="R25" i="6"/>
  <c r="R21"/>
  <c r="R8" i="1" s="1"/>
  <c r="D30" i="6"/>
  <c r="S12" i="40"/>
  <c r="AA12"/>
  <c r="U12"/>
  <c r="AB12"/>
  <c r="W12"/>
  <c r="AC12"/>
  <c r="D113" i="46"/>
  <c r="S16" i="1"/>
  <c r="I19" i="6"/>
  <c r="M27"/>
  <c r="R23"/>
  <c r="D27"/>
  <c r="D31" s="1"/>
  <c r="C18" i="12"/>
  <c r="I109" i="9" s="1"/>
  <c r="C109" s="1"/>
  <c r="C110" s="1"/>
  <c r="C18" i="43"/>
  <c r="C19" s="1"/>
  <c r="D7" i="66"/>
  <c r="D6"/>
  <c r="D8"/>
  <c r="I5" i="6"/>
  <c r="I6"/>
  <c r="A20" i="64"/>
  <c r="A6"/>
  <c r="A6" i="51"/>
  <c r="B7" i="63" s="1"/>
  <c r="N5" i="54"/>
  <c r="B43" i="63" s="1"/>
  <c r="A20" i="51"/>
  <c r="B15" i="63" s="1"/>
  <c r="R26" i="6"/>
  <c r="R22"/>
  <c r="D16"/>
  <c r="E4" i="67"/>
  <c r="C23" i="12"/>
  <c r="C40" i="44"/>
  <c r="C34"/>
  <c r="J24" i="15"/>
  <c r="J18"/>
  <c r="J26"/>
  <c r="C37" i="36"/>
  <c r="B3" s="1"/>
  <c r="B2" s="1"/>
  <c r="C36"/>
  <c r="C50" i="34"/>
  <c r="B3" s="1"/>
  <c r="B2" s="1"/>
  <c r="C49"/>
  <c r="C39" i="35"/>
  <c r="B3" s="1"/>
  <c r="B2" s="1"/>
  <c r="C38"/>
  <c r="C26" i="46"/>
  <c r="E47" i="37"/>
  <c r="F47" s="1"/>
  <c r="E46"/>
  <c r="F46" s="1"/>
  <c r="E53" i="21"/>
  <c r="F53" s="1"/>
  <c r="E52"/>
  <c r="F52" s="1"/>
  <c r="F24" i="15"/>
  <c r="C24" s="1"/>
  <c r="F26" i="44"/>
  <c r="F21" i="43"/>
  <c r="C23" s="1"/>
  <c r="D21" s="1"/>
  <c r="F26" i="12"/>
  <c r="C27" s="1"/>
  <c r="D26" s="1"/>
  <c r="C32" s="1"/>
  <c r="D30" s="1"/>
  <c r="C49" i="33"/>
  <c r="B3" s="1"/>
  <c r="C48"/>
  <c r="J28" i="44"/>
  <c r="J31" s="1"/>
  <c r="J26"/>
  <c r="J20"/>
  <c r="C52" i="15"/>
  <c r="C47" s="1"/>
  <c r="C10"/>
  <c r="C5" s="1"/>
  <c r="G70" i="39"/>
  <c r="F72"/>
  <c r="E41" i="36"/>
  <c r="F41" s="1"/>
  <c r="E40"/>
  <c r="F40" s="1"/>
  <c r="E53" i="33"/>
  <c r="F53" s="1"/>
  <c r="E52"/>
  <c r="F52" s="1"/>
  <c r="I54" i="34"/>
  <c r="J54" s="1"/>
  <c r="I53"/>
  <c r="J53" s="1"/>
  <c r="G54"/>
  <c r="H54" s="1"/>
  <c r="G53"/>
  <c r="H53" s="1"/>
  <c r="E54"/>
  <c r="F54" s="1"/>
  <c r="E53"/>
  <c r="F53" s="1"/>
  <c r="E43" i="35"/>
  <c r="F43" s="1"/>
  <c r="E42"/>
  <c r="F42" s="1"/>
  <c r="C43" i="37"/>
  <c r="B3" s="1"/>
  <c r="B2" s="1"/>
  <c r="C42"/>
  <c r="C49" i="21"/>
  <c r="B3" s="1"/>
  <c r="C48"/>
  <c r="F67" i="40"/>
  <c r="G65"/>
  <c r="C20" i="11"/>
  <c r="C21" s="1"/>
  <c r="C22" s="1"/>
  <c r="C23" s="1"/>
  <c r="B2" s="1"/>
  <c r="C27" i="46"/>
  <c r="F41" i="15"/>
  <c r="L52" i="44"/>
  <c r="E7" i="67"/>
  <c r="B2" i="21" l="1"/>
  <c r="C10" i="12" s="1"/>
  <c r="C8"/>
  <c r="B2" i="33"/>
  <c r="D10" i="12" s="1"/>
  <c r="D8"/>
  <c r="I27" i="6"/>
  <c r="H19"/>
  <c r="S19"/>
  <c r="S27" s="1"/>
  <c r="T10" i="1"/>
  <c r="T8"/>
  <c r="T11"/>
  <c r="T12"/>
  <c r="T7"/>
  <c r="T13"/>
  <c r="T9"/>
  <c r="T6"/>
  <c r="F68" i="15"/>
  <c r="J29"/>
  <c r="Q69" i="44"/>
  <c r="L58"/>
  <c r="L61" s="1"/>
  <c r="E3" i="67"/>
  <c r="B4" i="11"/>
  <c r="B5"/>
  <c r="B3"/>
  <c r="C33" i="15"/>
  <c r="C65"/>
  <c r="C59"/>
  <c r="C32"/>
  <c r="C38"/>
  <c r="C26" i="44"/>
  <c r="C25" i="43"/>
  <c r="C24" s="1"/>
  <c r="H65" i="40"/>
  <c r="G67"/>
  <c r="G72" i="39"/>
  <c r="H70"/>
  <c r="Q67" i="44"/>
  <c r="Q58"/>
  <c r="Q49"/>
  <c r="Q55" s="1"/>
  <c r="B2" i="46"/>
  <c r="C22" i="43"/>
  <c r="C21" s="1"/>
  <c r="C14" i="15"/>
  <c r="B7" i="67"/>
  <c r="C16" i="44"/>
  <c r="C20" l="1"/>
  <c r="C17"/>
  <c r="C15" i="15"/>
  <c r="C18"/>
  <c r="T16" i="1"/>
  <c r="H27" i="6"/>
  <c r="R19"/>
  <c r="C28" i="43"/>
  <c r="C30" s="1"/>
  <c r="C32" s="1"/>
  <c r="B2" s="1"/>
  <c r="B3" s="1"/>
  <c r="B2" i="67"/>
  <c r="C60" i="15"/>
  <c r="H67" i="40"/>
  <c r="I65"/>
  <c r="B4" i="46"/>
  <c r="D4"/>
  <c r="B3"/>
  <c r="I70" i="39"/>
  <c r="H72"/>
  <c r="Q59" i="44"/>
  <c r="Q64" s="1"/>
  <c r="Q68"/>
  <c r="Q77" s="1"/>
  <c r="C21" l="1"/>
  <c r="C22" s="1"/>
  <c r="C25" s="1"/>
  <c r="C19" i="15"/>
  <c r="C20" s="1"/>
  <c r="C26" s="1"/>
  <c r="B5" i="43"/>
  <c r="B4"/>
  <c r="R27" i="6"/>
  <c r="R6" i="1"/>
  <c r="L57" i="15"/>
  <c r="L60" s="1"/>
  <c r="I72" i="39"/>
  <c r="J70"/>
  <c r="J65" i="40"/>
  <c r="I67"/>
  <c r="B4" i="67"/>
  <c r="B3"/>
  <c r="M21" i="15"/>
  <c r="F35"/>
  <c r="F62" l="1"/>
  <c r="C61" s="1"/>
  <c r="C58" s="1"/>
  <c r="C34"/>
  <c r="C31" s="1"/>
  <c r="J20"/>
  <c r="C28" i="44"/>
  <c r="C31" s="1"/>
  <c r="C23" i="15"/>
  <c r="C29" s="1"/>
  <c r="R16" i="1"/>
  <c r="J67" i="40"/>
  <c r="K65"/>
  <c r="K70" i="39"/>
  <c r="J72"/>
  <c r="Q67" i="15"/>
  <c r="Q58"/>
  <c r="J16" i="44" l="1"/>
  <c r="C38"/>
  <c r="J21"/>
  <c r="J19" s="1"/>
  <c r="C15"/>
  <c r="Q51"/>
  <c r="C35"/>
  <c r="C33" s="1"/>
  <c r="C56" i="15"/>
  <c r="C63" s="1"/>
  <c r="J19"/>
  <c r="J17" s="1"/>
  <c r="C13"/>
  <c r="J14"/>
  <c r="C36"/>
  <c r="Q50"/>
  <c r="K72" i="39"/>
  <c r="L70"/>
  <c r="L65" i="40"/>
  <c r="K67"/>
  <c r="C55" i="15" l="1"/>
  <c r="C64" s="1"/>
  <c r="C57" s="1"/>
  <c r="C66" s="1"/>
  <c r="C67" s="1"/>
  <c r="C37"/>
  <c r="C30" s="1"/>
  <c r="C39" s="1"/>
  <c r="Q71"/>
  <c r="J35"/>
  <c r="J39" s="1"/>
  <c r="J40" s="1"/>
  <c r="J15" i="44"/>
  <c r="J25" s="1"/>
  <c r="J24"/>
  <c r="J22" i="15"/>
  <c r="J13"/>
  <c r="J23" s="1"/>
  <c r="C39" i="44"/>
  <c r="C32" s="1"/>
  <c r="C42" s="1"/>
  <c r="C43"/>
  <c r="Q72"/>
  <c r="L67" i="40"/>
  <c r="M65"/>
  <c r="M70" i="39"/>
  <c r="L72"/>
  <c r="L51" i="15"/>
  <c r="J18" i="44" l="1"/>
  <c r="J27" s="1"/>
  <c r="J16" i="15"/>
  <c r="J25" s="1"/>
  <c r="Q68"/>
  <c r="C70"/>
  <c r="C44" i="44"/>
  <c r="C45" s="1"/>
  <c r="B2" s="1"/>
  <c r="Q71"/>
  <c r="Q70" s="1"/>
  <c r="C40" i="15"/>
  <c r="C46" s="1"/>
  <c r="Q70"/>
  <c r="Q69" s="1"/>
  <c r="M72" i="39"/>
  <c r="N70"/>
  <c r="N72" s="1"/>
  <c r="N65" i="40"/>
  <c r="N67" s="1"/>
  <c r="M67"/>
  <c r="Q66" i="15" l="1"/>
  <c r="Q76" s="1"/>
  <c r="Q48"/>
  <c r="Q54" s="1"/>
  <c r="B2"/>
  <c r="E10" i="12" s="1"/>
  <c r="Q57" i="15"/>
  <c r="Q63" s="1"/>
  <c r="C43"/>
  <c r="J42"/>
  <c r="J43" s="1"/>
  <c r="B4" i="44"/>
  <c r="B3"/>
  <c r="B5"/>
  <c r="F9" i="40"/>
  <c r="H9"/>
  <c r="J9"/>
  <c r="F9" i="39"/>
  <c r="H9"/>
  <c r="J9"/>
  <c r="C6" i="12" l="1"/>
  <c r="B3" i="15"/>
  <c r="E8" i="12" s="1"/>
  <c r="AB9" i="39"/>
  <c r="T49" s="1"/>
  <c r="G49" s="1"/>
  <c r="U9"/>
  <c r="AC9" i="40"/>
  <c r="V44" s="1"/>
  <c r="I44" s="1"/>
  <c r="W9"/>
  <c r="AA9"/>
  <c r="R44" s="1"/>
  <c r="S9"/>
  <c r="W9" i="39"/>
  <c r="AC9"/>
  <c r="V49" s="1"/>
  <c r="I49" s="1"/>
  <c r="S9"/>
  <c r="AA9"/>
  <c r="R49" s="1"/>
  <c r="U9" i="40"/>
  <c r="AB9"/>
  <c r="T44" s="1"/>
  <c r="G44" s="1"/>
  <c r="C24" i="12" l="1"/>
  <c r="C29"/>
  <c r="E49" i="39"/>
  <c r="R50"/>
  <c r="E44" i="40"/>
  <c r="R45"/>
  <c r="I49"/>
  <c r="J49" s="1"/>
  <c r="I48"/>
  <c r="J48" s="1"/>
  <c r="G54" i="39"/>
  <c r="H54" s="1"/>
  <c r="G53"/>
  <c r="H53" s="1"/>
  <c r="G49" i="40"/>
  <c r="H49" s="1"/>
  <c r="G48"/>
  <c r="H48" s="1"/>
  <c r="I54" i="39"/>
  <c r="J54" s="1"/>
  <c r="I53"/>
  <c r="J53" s="1"/>
  <c r="C35" i="12" l="1"/>
  <c r="C33" s="1"/>
  <c r="C28"/>
  <c r="C26" s="1"/>
  <c r="C31" s="1"/>
  <c r="C30" s="1"/>
  <c r="E49" i="40"/>
  <c r="F49" s="1"/>
  <c r="E48"/>
  <c r="F48" s="1"/>
  <c r="E54" i="39"/>
  <c r="F54" s="1"/>
  <c r="E53"/>
  <c r="F53" s="1"/>
  <c r="C45" i="40"/>
  <c r="C44"/>
  <c r="C50" i="39"/>
  <c r="C49"/>
  <c r="C36" i="12" l="1"/>
  <c r="B2" s="1"/>
  <c r="B3" s="1"/>
  <c r="B67" i="39"/>
  <c r="F67" s="1"/>
  <c r="B66"/>
  <c r="F66" s="1"/>
  <c r="B65"/>
  <c r="F65" s="1"/>
  <c r="B64"/>
  <c r="F64" s="1"/>
  <c r="B63"/>
  <c r="F63" s="1"/>
  <c r="B61"/>
  <c r="F61" s="1"/>
  <c r="B59"/>
  <c r="F59" s="1"/>
  <c r="B62"/>
  <c r="F62" s="1"/>
  <c r="B60"/>
  <c r="F60" s="1"/>
  <c r="B58"/>
  <c r="F58" s="1"/>
  <c r="F63" i="40"/>
  <c r="B2" s="1"/>
  <c r="B62"/>
  <c r="F62" s="1"/>
  <c r="B61"/>
  <c r="F61" s="1"/>
  <c r="B60"/>
  <c r="F60" s="1"/>
  <c r="B59"/>
  <c r="F59" s="1"/>
  <c r="B58"/>
  <c r="F58" s="1"/>
  <c r="B56"/>
  <c r="F56" s="1"/>
  <c r="B54"/>
  <c r="F54" s="1"/>
  <c r="B57"/>
  <c r="F57" s="1"/>
  <c r="B55"/>
  <c r="F55" s="1"/>
  <c r="B53"/>
  <c r="F53" s="1"/>
  <c r="D19" i="9"/>
  <c r="D20"/>
  <c r="B4" i="12" l="1"/>
  <c r="L44" i="9"/>
  <c r="B5" i="12"/>
  <c r="F68" i="39"/>
  <c r="B2" s="1"/>
  <c r="B3" s="1"/>
  <c r="B5" i="40"/>
  <c r="B3"/>
  <c r="B4"/>
  <c r="D21" i="9"/>
  <c r="C19"/>
  <c r="C20"/>
  <c r="B4" i="39" l="1"/>
  <c r="B5"/>
  <c r="L43" i="9"/>
  <c r="D22"/>
  <c r="G19"/>
  <c r="G20"/>
  <c r="C21"/>
  <c r="N43" l="1"/>
  <c r="G21"/>
  <c r="C32"/>
  <c r="C35" s="1"/>
  <c r="F42" s="1"/>
  <c r="G22"/>
  <c r="C34" l="1"/>
  <c r="M38" s="1"/>
  <c r="K27" s="1"/>
  <c r="C33"/>
  <c r="N38" s="1"/>
  <c r="K28" s="1"/>
  <c r="C42"/>
  <c r="D14" i="66" s="1"/>
  <c r="D15" s="1"/>
  <c r="O38" i="9"/>
  <c r="K25" s="1"/>
  <c r="O43"/>
  <c r="K26"/>
  <c r="E42"/>
  <c r="P5" i="54" s="1"/>
  <c r="B46" i="63" s="1"/>
  <c r="R5" i="54" l="1"/>
  <c r="B48" i="63" s="1"/>
  <c r="F15" i="66"/>
  <c r="E15"/>
  <c r="D42" i="9"/>
  <c r="Q5" i="54" s="1"/>
  <c r="B47" i="63" s="1"/>
  <c r="D63" i="9"/>
  <c r="C111" s="1"/>
  <c r="C104" s="1"/>
  <c r="N68"/>
  <c r="B5" i="66"/>
  <c r="E14"/>
  <c r="F14"/>
  <c r="D71" i="9" l="1"/>
  <c r="D66" s="1"/>
  <c r="N72" s="1"/>
  <c r="C103"/>
  <c r="D70"/>
  <c r="C96"/>
  <c r="C91" s="1"/>
  <c r="C90"/>
  <c r="C82"/>
  <c r="C81" s="1"/>
  <c r="C85" s="1"/>
  <c r="C86" s="1"/>
  <c r="D72" s="1"/>
  <c r="D77"/>
  <c r="N75" s="1"/>
  <c r="C113"/>
  <c r="C114" s="1"/>
  <c r="E114" s="1"/>
  <c r="E115" s="1"/>
  <c r="D5" i="66"/>
  <c r="C5"/>
  <c r="C97" i="9" l="1"/>
  <c r="C98" s="1"/>
  <c r="E98" s="1"/>
  <c r="E99" s="1"/>
  <c r="C115"/>
  <c r="D76" s="1"/>
  <c r="D74" s="1"/>
  <c r="N74" s="1"/>
  <c r="O77" s="1"/>
  <c r="Q77" s="1"/>
  <c r="C99" l="1"/>
  <c r="O79"/>
  <c r="O81" s="1"/>
  <c r="O78"/>
  <c r="O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<sst xmlns="http://schemas.openxmlformats.org/spreadsheetml/2006/main" count="7403" uniqueCount="3212">
  <si>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</si>
  <si>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</si>
  <si>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</si>
  <si>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</si>
  <si>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</si>
  <si>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</si>
  <si>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</si>
  <si>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</si>
  <si>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</si>
  <si>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</si>
  <si>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</si>
  <si>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</si>
  <si>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</si>
  <si>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</si>
  <si>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</si>
  <si>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</si>
  <si>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</si>
  <si>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</si>
  <si>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</si>
  <si>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</si>
  <si>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</si>
  <si>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</si>
  <si>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</si>
  <si>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</si>
  <si>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</si>
  <si>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</si>
  <si>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</si>
  <si>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</si>
  <si>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</si>
  <si>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</si>
  <si>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</si>
  <si>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</si>
  <si>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</si>
  <si>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</si>
  <si>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</si>
  <si>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</si>
  <si>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</si>
  <si>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</si>
  <si>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</si>
  <si>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</si>
  <si>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</si>
  <si>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</si>
  <si>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</si>
  <si>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</si>
  <si>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</si>
  <si>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</si>
  <si>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</si>
  <si>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</si>
  <si>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</si>
  <si>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</si>
  <si>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</si>
  <si>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</si>
  <si>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</si>
  <si>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</si>
  <si>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</si>
  <si>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</si>
  <si>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</si>
  <si>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</si>
  <si>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</si>
  <si>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</si>
  <si>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</si>
  <si>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</si>
  <si>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</si>
  <si>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</si>
  <si>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</si>
  <si>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</si>
  <si>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</si>
  <si>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</si>
  <si>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</si>
  <si>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</si>
  <si>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</si>
  <si>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</si>
  <si>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</si>
  <si>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</si>
  <si>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</si>
  <si>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</si>
  <si>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</si>
  <si>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</si>
  <si>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</si>
  <si>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</si>
  <si>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</si>
  <si>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</si>
  <si>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</si>
  <si>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</si>
  <si>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</si>
  <si>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</si>
  <si>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</si>
  <si>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</si>
  <si>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</si>
  <si>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</si>
  <si>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</si>
  <si>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</si>
  <si>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</si>
  <si>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</si>
  <si>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</si>
  <si>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</si>
  <si>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</si>
  <si>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</si>
  <si>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</si>
  <si>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</si>
  <si>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</si>
  <si>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</si>
  <si>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</si>
  <si>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</si>
  <si>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</si>
  <si>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</si>
  <si>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</si>
  <si>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</si>
  <si>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</si>
  <si>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</si>
  <si>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</si>
  <si>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</si>
  <si>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</si>
  <si>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</si>
  <si>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</si>
  <si>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</si>
  <si>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</si>
  <si>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</si>
  <si>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</si>
  <si>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</si>
  <si>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</si>
  <si>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</si>
  <si>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</si>
  <si>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</si>
  <si>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</si>
  <si>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</si>
  <si>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</si>
  <si>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</si>
  <si>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</si>
  <si>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</si>
  <si>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</si>
  <si>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</si>
  <si>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</si>
  <si>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</si>
  <si>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</si>
  <si>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</si>
  <si>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</si>
  <si>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</si>
  <si>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</si>
  <si>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</si>
  <si>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</si>
  <si>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</si>
  <si>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</si>
  <si>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</si>
  <si>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</si>
  <si>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</si>
  <si>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</si>
  <si>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</si>
  <si>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</si>
  <si>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</si>
  <si>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</si>
  <si>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</si>
  <si>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</si>
  <si>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</si>
  <si>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</si>
  <si>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</si>
  <si>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</si>
  <si>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</si>
  <si>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</si>
  <si>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</si>
  <si>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</si>
  <si>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</si>
  <si>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</si>
  <si>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</si>
  <si>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</si>
  <si>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</si>
  <si>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</si>
  <si>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</si>
  <si>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</si>
  <si>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</si>
  <si>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</si>
  <si>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</si>
  <si>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</si>
  <si>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</si>
  <si>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</si>
  <si>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</si>
  <si>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</si>
  <si>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</si>
  <si>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</si>
  <si>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</si>
  <si>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</si>
  <si>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</si>
  <si>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</si>
  <si>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</si>
  <si>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</si>
  <si>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</si>
  <si>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</si>
  <si>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</si>
  <si>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</si>
  <si>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</si>
  <si>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</si>
  <si>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</si>
  <si>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</si>
  <si>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</si>
  <si>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</si>
  <si>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</si>
  <si>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</si>
  <si>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</si>
  <si>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</si>
  <si>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</si>
  <si>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</si>
  <si>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</si>
  <si>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</si>
  <si>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</si>
  <si>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</si>
  <si>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</si>
  <si>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</si>
  <si>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</si>
  <si>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</si>
  <si>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</si>
  <si>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</si>
  <si>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</si>
  <si>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</si>
  <si>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</si>
  <si>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</si>
  <si>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</si>
  <si>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</si>
  <si>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</si>
  <si>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</si>
  <si>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</si>
  <si>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</si>
  <si>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</si>
  <si>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</si>
  <si>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</si>
  <si>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</si>
  <si>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</si>
  <si>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</si>
  <si>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</si>
  <si>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</si>
  <si>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</si>
  <si>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</si>
  <si>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</si>
  <si>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</si>
  <si>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</si>
  <si>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</si>
  <si>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</si>
  <si>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</si>
  <si>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</si>
  <si>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</si>
  <si>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</si>
  <si>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</si>
  <si>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</si>
  <si>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</si>
  <si>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</si>
  <si>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</si>
  <si>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</si>
  <si>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</si>
  <si>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</si>
  <si>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</si>
  <si>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</si>
  <si>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</si>
  <si>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</si>
  <si>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</si>
  <si>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</si>
  <si>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</si>
  <si>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</si>
  <si>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</si>
  <si>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</si>
  <si>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</si>
  <si>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</si>
  <si>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</si>
  <si>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</si>
  <si>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</si>
  <si>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</si>
  <si>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</si>
  <si>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</si>
  <si>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</si>
  <si>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</si>
  <si>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</si>
  <si>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</si>
  <si>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</si>
  <si>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</si>
  <si>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</si>
  <si>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</si>
  <si>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</si>
  <si>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</si>
  <si>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</si>
  <si>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</si>
  <si>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</si>
  <si>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</si>
  <si>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</si>
  <si>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</si>
  <si>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</si>
  <si>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</si>
  <si>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</si>
  <si>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</si>
  <si>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</si>
  <si>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</si>
  <si>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</si>
  <si>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</si>
  <si>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</si>
  <si>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</si>
  <si>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</si>
  <si>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</si>
  <si>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</si>
  <si>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</si>
  <si>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</si>
  <si>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</si>
  <si>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</si>
  <si>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</si>
  <si>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</si>
  <si>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</si>
  <si>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</si>
  <si>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</si>
  <si>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</si>
  <si>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</si>
  <si>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</si>
  <si>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</si>
  <si>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</si>
  <si>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</si>
  <si>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</si>
  <si>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</si>
  <si>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</si>
  <si>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</si>
  <si>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</si>
  <si>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</si>
  <si>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</si>
  <si>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</si>
  <si>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</si>
  <si>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</si>
  <si>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</si>
  <si>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</si>
  <si>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</si>
  <si>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</si>
  <si>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</si>
  <si>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</si>
  <si>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</si>
  <si>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</si>
  <si>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</si>
  <si>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</si>
  <si>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</si>
  <si>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</si>
  <si>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</si>
  <si>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</si>
  <si>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</si>
  <si>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</si>
  <si>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</si>
  <si>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</si>
  <si>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</si>
  <si>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</si>
  <si>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</si>
  <si>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</si>
  <si>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</si>
  <si>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</si>
  <si>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</si>
  <si>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</si>
  <si>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</si>
  <si>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</si>
  <si>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</si>
  <si>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</si>
  <si>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</si>
  <si>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</si>
  <si>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</si>
  <si>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</si>
  <si>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</si>
  <si>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</si>
  <si>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</si>
  <si>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</si>
  <si>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</si>
  <si>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</si>
  <si>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</si>
  <si>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</si>
  <si>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</si>
  <si>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</si>
  <si>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</si>
  <si>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</si>
  <si>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</si>
  <si>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</si>
  <si>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</si>
  <si>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</si>
  <si>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</si>
  <si>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</si>
  <si>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</si>
  <si>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</si>
  <si>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</si>
  <si>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</si>
  <si>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</si>
  <si>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</si>
  <si>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</si>
  <si>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</si>
  <si>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</si>
  <si>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</si>
  <si>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</si>
  <si>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</si>
  <si>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</si>
  <si>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</si>
  <si>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</si>
  <si>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</si>
  <si>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</si>
  <si>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</si>
  <si>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</si>
  <si>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</si>
  <si>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</si>
  <si>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</si>
  <si>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</si>
  <si>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</si>
  <si>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</si>
  <si>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</si>
  <si>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</si>
  <si>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</si>
  <si>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</si>
  <si>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</si>
  <si>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</si>
  <si>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</si>
  <si>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</si>
  <si>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</si>
  <si>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</si>
  <si>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</si>
  <si>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</si>
  <si>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</si>
  <si>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</si>
  <si>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</si>
  <si>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</si>
  <si>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</si>
  <si>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</si>
  <si>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</si>
  <si>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</si>
  <si>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</si>
  <si>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</si>
  <si>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</si>
  <si>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</si>
  <si>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</si>
  <si>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</si>
  <si>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</si>
  <si>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</si>
  <si>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</si>
  <si>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</si>
  <si>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</si>
  <si>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</si>
  <si>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</si>
  <si>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</si>
  <si>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</si>
  <si>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</si>
  <si>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</si>
  <si>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</si>
  <si>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</si>
  <si>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</si>
  <si>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</si>
  <si>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</si>
  <si>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</si>
  <si>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</si>
  <si>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</si>
  <si>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</si>
  <si>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</si>
  <si>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</si>
  <si>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</si>
  <si>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</si>
  <si>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</si>
  <si>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</si>
  <si>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</si>
  <si>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</si>
  <si>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</si>
  <si>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</si>
  <si>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</si>
  <si>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</si>
  <si>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</si>
  <si>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</si>
  <si>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</si>
  <si>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</si>
  <si>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</si>
  <si>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</si>
  <si>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</si>
  <si>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</si>
  <si>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</si>
  <si>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</si>
  <si>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</si>
  <si>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</si>
  <si>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</si>
  <si>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</si>
  <si>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</si>
  <si>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</si>
  <si>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</si>
  <si>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</si>
  <si>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</si>
  <si>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</si>
  <si>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</si>
  <si>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</si>
  <si>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</si>
  <si>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</si>
  <si>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</si>
  <si>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</si>
  <si>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</si>
  <si>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</si>
  <si>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</si>
  <si>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</si>
  <si>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</si>
  <si>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</si>
  <si>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</si>
  <si>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</si>
  <si>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</si>
  <si>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</si>
  <si>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</si>
  <si>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</si>
  <si>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</si>
  <si>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</si>
  <si>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</si>
  <si>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</si>
  <si>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</si>
  <si>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</si>
  <si>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</si>
  <si>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</si>
  <si>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</si>
  <si>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</si>
  <si>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</si>
  <si>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</si>
  <si>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</si>
  <si>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</si>
  <si>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</si>
  <si>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</si>
  <si>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</si>
  <si>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</si>
  <si>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</si>
  <si>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</si>
  <si>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</si>
  <si>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</si>
  <si>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</si>
  <si>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</si>
  <si>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</si>
  <si>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</si>
  <si>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</si>
  <si>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</si>
  <si>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</si>
  <si>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</si>
  <si>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</si>
  <si>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</si>
  <si>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</si>
  <si>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</si>
  <si>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</si>
  <si>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</si>
  <si>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</si>
  <si>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</si>
  <si>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</si>
  <si>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</si>
  <si>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</si>
  <si>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</si>
  <si>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</si>
  <si>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</si>
  <si>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</si>
  <si>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</si>
  <si>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</si>
  <si>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</si>
  <si>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</si>
  <si>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</si>
  <si>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</si>
  <si>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</si>
  <si>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</si>
  <si>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</si>
  <si>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</si>
  <si>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</si>
  <si>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</si>
  <si>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</si>
  <si>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</si>
  <si>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</si>
  <si>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</si>
  <si>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</si>
  <si>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</si>
  <si>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</si>
  <si>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</si>
  <si>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</si>
  <si>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</si>
  <si>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</si>
  <si>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</si>
  <si>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</si>
  <si>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</si>
  <si>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</si>
  <si>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</si>
  <si>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</si>
  <si>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</si>
  <si>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</si>
  <si>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</si>
  <si>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</si>
  <si>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</si>
  <si>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</si>
  <si>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</si>
  <si>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</si>
  <si>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</si>
  <si>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</si>
  <si>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</si>
  <si>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</si>
  <si>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</si>
  <si>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</si>
  <si>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</si>
  <si>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</si>
  <si>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</si>
  <si>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</si>
  <si>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</si>
  <si>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</si>
  <si>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</si>
  <si>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</si>
  <si>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</si>
  <si>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</si>
  <si>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</si>
  <si>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</si>
  <si>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</si>
  <si>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</si>
  <si>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</si>
  <si>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</si>
  <si>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</si>
  <si>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</si>
  <si>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</si>
  <si>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</si>
  <si>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</si>
  <si>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</si>
  <si>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</si>
  <si>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</si>
  <si>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</si>
  <si>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</si>
  <si>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</si>
  <si>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</si>
  <si>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</si>
  <si>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</si>
  <si>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</si>
  <si>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</si>
  <si>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</si>
  <si>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</si>
  <si>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</si>
  <si>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</si>
  <si>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</si>
  <si>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</si>
  <si>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</si>
  <si>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</si>
  <si>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</si>
  <si>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</si>
  <si>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</si>
  <si>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</si>
  <si>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</si>
  <si>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</si>
  <si>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</si>
  <si>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</si>
  <si>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</si>
  <si>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</si>
  <si>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</si>
  <si>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</si>
  <si>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</si>
  <si>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</si>
  <si>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</si>
  <si>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</si>
  <si>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</si>
  <si>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</si>
  <si>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</si>
  <si>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</si>
  <si>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</si>
  <si>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</si>
  <si>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</si>
  <si>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</si>
  <si>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</si>
  <si>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</si>
  <si>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</si>
  <si>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</si>
  <si>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</si>
  <si>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</si>
  <si>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</si>
  <si>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</si>
  <si>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</si>
  <si>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</si>
  <si>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</si>
  <si>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</si>
  <si>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</si>
  <si>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</si>
  <si>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</si>
  <si>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</si>
  <si>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</si>
  <si>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</si>
  <si>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</si>
  <si>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</si>
  <si>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</si>
  <si>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</si>
  <si>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</si>
  <si>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</si>
  <si>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</si>
  <si>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</si>
  <si>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</si>
  <si>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</si>
  <si>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</si>
  <si>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</si>
  <si>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</si>
  <si>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</si>
  <si>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</si>
  <si>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</si>
  <si>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</si>
  <si>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</si>
  <si>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</si>
  <si>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</si>
  <si>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</si>
  <si>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</si>
  <si>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</si>
  <si>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</si>
  <si>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</si>
  <si>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</si>
  <si>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</si>
  <si>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</si>
  <si>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</si>
  <si>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</si>
  <si>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</si>
  <si>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</si>
  <si>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</si>
  <si>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</si>
  <si>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</si>
  <si>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</si>
  <si>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</si>
  <si>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</si>
  <si>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</si>
  <si>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</si>
  <si>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</si>
  <si>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</si>
  <si>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</si>
  <si>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</si>
  <si>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</si>
  <si>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</si>
  <si>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</si>
  <si>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</si>
  <si>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</si>
  <si>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</si>
  <si>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</si>
  <si>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</si>
  <si>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</si>
  <si>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</si>
  <si>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</si>
  <si>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</si>
  <si>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</si>
  <si>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</si>
  <si>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</si>
  <si>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</si>
  <si>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</si>
  <si>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</si>
  <si>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</si>
  <si>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</si>
  <si>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</si>
  <si>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</si>
  <si>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</si>
  <si>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</si>
  <si>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</si>
  <si>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</si>
  <si>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</si>
  <si>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</si>
  <si>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</si>
  <si>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</si>
  <si>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</si>
  <si>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</si>
  <si>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</si>
  <si>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</si>
  <si>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</si>
  <si>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</si>
  <si>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</si>
  <si>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</si>
  <si>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</si>
  <si>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</si>
  <si>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</si>
  <si>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</si>
  <si>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</si>
  <si>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</si>
  <si>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</si>
  <si>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</si>
  <si>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</si>
  <si>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</si>
  <si>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</si>
  <si>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</si>
  <si>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</si>
  <si>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</si>
  <si>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</si>
  <si>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</si>
  <si>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</si>
  <si>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</si>
  <si>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</si>
  <si>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</si>
  <si>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</si>
  <si>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</si>
  <si>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</si>
  <si>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</si>
  <si>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</si>
  <si>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</si>
  <si>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</si>
  <si>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</si>
  <si>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</si>
  <si>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</si>
  <si>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</si>
  <si>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</si>
  <si>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</si>
  <si>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</si>
  <si>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</si>
  <si>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</si>
  <si>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</si>
  <si>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</si>
  <si>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</si>
  <si>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</si>
  <si>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</si>
  <si>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</si>
  <si>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</si>
  <si>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</si>
  <si>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</si>
  <si>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</si>
  <si>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</si>
  <si>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</si>
  <si>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</si>
  <si>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</si>
  <si>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</si>
  <si>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</si>
  <si>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</si>
  <si>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</si>
  <si>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</si>
  <si>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</si>
  <si>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</si>
  <si>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</si>
  <si>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</si>
  <si>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</si>
  <si>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</si>
  <si>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</si>
  <si>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</si>
  <si>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</si>
  <si>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</si>
  <si>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</si>
  <si>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</si>
  <si>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</si>
  <si>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</si>
  <si>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</si>
  <si>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</si>
  <si>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</si>
  <si>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</si>
  <si>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</si>
  <si>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</si>
  <si>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</si>
  <si>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</si>
  <si>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</si>
  <si>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</si>
  <si>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</si>
  <si>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</si>
  <si>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</si>
  <si>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</si>
  <si>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</si>
  <si>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</si>
  <si>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</si>
  <si>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</si>
  <si>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</si>
  <si>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</si>
  <si>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</si>
  <si>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</si>
  <si>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</si>
  <si>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</si>
  <si>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</si>
  <si>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</si>
  <si>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</si>
  <si>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</si>
  <si>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</si>
  <si>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</si>
  <si>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</si>
  <si>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</si>
  <si>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</si>
  <si>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</si>
  <si>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</si>
  <si>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</si>
  <si>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</si>
  <si>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</si>
  <si>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</si>
  <si>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</si>
  <si>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</si>
  <si>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</si>
  <si>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</si>
  <si>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</si>
  <si>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</si>
  <si>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</si>
  <si>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</si>
  <si>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</si>
  <si>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</si>
  <si>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</si>
  <si>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</si>
  <si>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</si>
  <si>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</si>
  <si>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</si>
  <si>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</si>
  <si>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</si>
  <si>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</si>
  <si>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</si>
  <si>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</si>
  <si>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</si>
  <si>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</si>
  <si>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</si>
  <si>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</si>
  <si>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</si>
  <si>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</si>
  <si>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</si>
  <si>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</si>
  <si>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</si>
  <si>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</si>
  <si>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</si>
  <si>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</si>
  <si>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</si>
  <si>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</si>
  <si>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</si>
  <si>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</si>
  <si>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</si>
  <si>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</si>
  <si>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</si>
  <si>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</si>
  <si>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</si>
  <si>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</si>
  <si>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</si>
  <si>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</si>
  <si>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</si>
  <si>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</si>
  <si>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</si>
  <si>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</si>
  <si>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</si>
  <si>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</si>
  <si>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</si>
  <si>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</si>
  <si>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</si>
  <si>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</si>
  <si>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</si>
  <si>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</si>
  <si>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</si>
  <si>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</si>
  <si>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</si>
  <si>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</si>
  <si>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</si>
  <si>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</si>
  <si>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</si>
  <si>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</si>
  <si>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</si>
  <si>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</si>
  <si>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</si>
  <si>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</si>
  <si>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</si>
  <si>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</si>
  <si>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</si>
  <si>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</si>
  <si>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</si>
  <si>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</si>
  <si>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</si>
  <si>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</si>
  <si>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</si>
  <si>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</si>
  <si>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</si>
  <si>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</si>
  <si>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</si>
  <si>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</si>
  <si>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</si>
  <si>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</si>
  <si>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</si>
  <si>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</si>
  <si>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</si>
  <si>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</si>
  <si>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</si>
  <si>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</si>
  <si>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</si>
  <si>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</si>
  <si>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</si>
  <si>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</si>
  <si>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</si>
  <si>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</si>
  <si>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</si>
  <si>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</si>
  <si>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</si>
  <si>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</si>
  <si>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</si>
  <si>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</si>
  <si>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</si>
  <si>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</si>
  <si>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</si>
  <si>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</si>
  <si>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</si>
  <si>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</si>
  <si>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</si>
  <si>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</si>
  <si>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</si>
  <si>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</si>
  <si>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</si>
  <si>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</si>
  <si>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</si>
  <si>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</si>
  <si>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</si>
  <si>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</si>
  <si>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</si>
  <si>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</si>
  <si>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</si>
  <si>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</si>
  <si>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</si>
  <si>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</si>
  <si>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</si>
  <si>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</si>
  <si>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</si>
  <si>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</si>
  <si>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</si>
  <si>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</si>
  <si>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</si>
  <si>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</si>
  <si>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</si>
  <si>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</si>
  <si>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</si>
  <si>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</si>
  <si>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</si>
  <si>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</si>
  <si>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</si>
  <si>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</si>
  <si>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</si>
  <si>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</si>
  <si>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</si>
  <si>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</si>
  <si>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</si>
  <si>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</si>
  <si>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</si>
  <si>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</si>
  <si>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</si>
  <si>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</si>
  <si>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</si>
  <si>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</si>
  <si>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</si>
  <si>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</si>
  <si>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</si>
  <si>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</si>
  <si>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</si>
  <si>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</si>
  <si>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</si>
  <si>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</si>
  <si>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</si>
  <si>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</si>
  <si>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</si>
  <si>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</si>
  <si>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</si>
  <si>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</si>
  <si>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</si>
  <si>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</si>
  <si>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</si>
  <si>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</si>
  <si>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</si>
  <si>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</si>
  <si>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</si>
  <si>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</si>
  <si>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</si>
  <si>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</si>
  <si>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</si>
  <si>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</si>
  <si>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</si>
  <si>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</si>
  <si>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</si>
  <si>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</si>
  <si>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</si>
  <si>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</si>
  <si>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</si>
  <si>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</si>
  <si>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</si>
  <si>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</si>
  <si>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</si>
  <si>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</si>
  <si>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</si>
  <si>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</si>
  <si>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</si>
  <si>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</si>
  <si>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</si>
  <si>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</si>
  <si>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</si>
  <si>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</si>
  <si>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</si>
  <si>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</si>
  <si>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</si>
  <si>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</si>
  <si>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</si>
  <si>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</si>
  <si>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</si>
  <si>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</si>
  <si>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</si>
  <si>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</si>
  <si>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</si>
  <si>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</si>
  <si>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</si>
  <si>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</si>
  <si>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</si>
  <si>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</si>
  <si>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</si>
  <si>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</si>
  <si>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</si>
  <si>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</si>
  <si>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</si>
  <si>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</si>
  <si>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</si>
  <si>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</si>
  <si>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</si>
  <si>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</si>
  <si>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</si>
  <si>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</si>
  <si>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</si>
  <si>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</si>
  <si>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</si>
  <si>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</si>
  <si>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</si>
  <si>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</si>
  <si>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</si>
  <si>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</si>
  <si>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</si>
  <si>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</si>
  <si>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</si>
  <si>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</si>
  <si>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</si>
  <si>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</si>
  <si>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</si>
  <si>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</si>
  <si>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</si>
  <si>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</si>
  <si>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</si>
  <si>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</si>
  <si>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</si>
  <si>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</si>
  <si>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</si>
  <si>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</si>
  <si>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</si>
  <si>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</si>
  <si>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</si>
  <si>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</si>
  <si>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</si>
  <si>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</si>
  <si>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</si>
  <si>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</si>
  <si>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</si>
  <si>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</si>
  <si>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</si>
  <si>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</si>
  <si>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</si>
  <si>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</si>
  <si>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</si>
  <si>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</si>
  <si>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</si>
  <si>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</si>
  <si>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</si>
  <si>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</si>
  <si>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</si>
  <si>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</si>
  <si>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</si>
  <si>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</si>
  <si>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</si>
  <si>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</si>
  <si>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</si>
  <si>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</si>
  <si>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</si>
  <si>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</si>
  <si>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</si>
  <si>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</si>
  <si>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</si>
  <si>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</si>
  <si>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</si>
  <si>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</si>
  <si>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</si>
  <si>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</si>
  <si>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</si>
  <si>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</si>
  <si>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</si>
  <si>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</si>
  <si>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</si>
  <si>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</si>
  <si>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</si>
  <si>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</si>
  <si>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</si>
  <si>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</si>
  <si>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</si>
  <si>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</si>
  <si>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</si>
  <si>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</si>
  <si>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</si>
  <si>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</si>
  <si>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</si>
  <si>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</si>
  <si>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</si>
  <si>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</si>
  <si>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</si>
  <si>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</si>
  <si>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</si>
  <si>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</si>
  <si>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</si>
  <si>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</si>
  <si>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</si>
  <si>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</si>
  <si>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</si>
  <si>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</si>
  <si>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</si>
  <si>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</si>
  <si>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</si>
  <si>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</si>
  <si>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</si>
  <si>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</si>
  <si>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</si>
  <si>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</si>
  <si>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</si>
  <si>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</si>
  <si>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</si>
  <si>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</si>
  <si>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</si>
  <si>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</si>
  <si>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</si>
  <si>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</si>
  <si>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</si>
  <si>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</si>
  <si>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</si>
  <si>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</si>
  <si>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</si>
  <si>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</si>
  <si>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</si>
  <si>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</si>
  <si>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</si>
  <si>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</si>
  <si>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</si>
  <si>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</si>
  <si>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</si>
  <si>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</si>
  <si>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</si>
  <si>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</si>
  <si>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</si>
  <si>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</si>
  <si>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</si>
  <si>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</si>
  <si>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</si>
  <si>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</si>
  <si>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</si>
  <si>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</si>
  <si>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</si>
  <si>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</si>
  <si>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</si>
  <si>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</si>
  <si>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</si>
  <si>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</si>
  <si>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</si>
  <si>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</si>
  <si>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</si>
  <si>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</si>
  <si>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</si>
  <si>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</si>
  <si>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</si>
  <si>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</si>
  <si>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</si>
  <si>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</si>
  <si>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</si>
  <si>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</si>
  <si>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</si>
  <si>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</si>
  <si>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</si>
  <si>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</si>
  <si>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</si>
  <si>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</si>
  <si>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</si>
  <si>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</si>
  <si>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</si>
  <si>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</si>
  <si>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</si>
  <si>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</si>
  <si>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</si>
  <si>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</si>
  <si>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</si>
  <si>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</si>
  <si>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</si>
  <si>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</si>
  <si>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</si>
  <si>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</si>
  <si>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</si>
  <si>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</si>
  <si>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</si>
  <si>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</si>
  <si>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</si>
  <si>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</si>
  <si>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</si>
  <si>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</si>
  <si>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</si>
  <si>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</si>
  <si>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</si>
  <si>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</si>
  <si>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</si>
  <si>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</si>
  <si>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</si>
  <si>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</si>
  <si>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</si>
  <si>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</si>
  <si>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</si>
  <si>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</si>
  <si>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</si>
  <si>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</si>
  <si>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</si>
  <si>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</si>
  <si>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</si>
  <si>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</si>
  <si>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</si>
  <si>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</si>
  <si>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</si>
  <si>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</si>
  <si>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</si>
  <si>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</si>
  <si>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</si>
  <si>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</si>
  <si>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</si>
  <si>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</si>
  <si>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</si>
  <si>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</si>
  <si>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</si>
  <si>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</si>
  <si>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</si>
  <si>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</si>
  <si>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</si>
  <si>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</si>
  <si>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</si>
  <si>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</si>
  <si>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</si>
  <si>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</si>
  <si>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</si>
  <si>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</si>
  <si>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</si>
  <si>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</si>
  <si>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</si>
  <si>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</si>
  <si>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</si>
  <si>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</si>
  <si>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</si>
  <si>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</si>
  <si>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</si>
  <si>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</si>
  <si>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</si>
  <si>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</si>
  <si>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</si>
  <si>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</si>
  <si>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</si>
  <si>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</si>
  <si>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</si>
  <si>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</si>
  <si>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</si>
  <si>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</si>
  <si>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</si>
  <si>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</si>
  <si>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</si>
  <si>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</si>
  <si>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</si>
  <si>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</si>
  <si>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</si>
  <si>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</si>
  <si>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</si>
  <si>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</si>
  <si>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</si>
  <si>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</si>
  <si>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</si>
  <si>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</si>
  <si>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</si>
  <si>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</si>
  <si>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</si>
  <si>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</si>
  <si>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</si>
  <si>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</si>
  <si>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</si>
  <si>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</si>
  <si>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</si>
  <si>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</si>
  <si>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</si>
  <si>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</si>
  <si>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</si>
  <si>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</si>
  <si>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</si>
  <si>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</si>
  <si>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</si>
  <si>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</si>
  <si>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</si>
  <si>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</si>
  <si>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</si>
  <si>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</si>
  <si>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</si>
  <si>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</si>
  <si>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</si>
  <si>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</si>
  <si>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</si>
  <si>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</si>
  <si>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</si>
  <si>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</si>
  <si>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</si>
  <si>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</si>
  <si>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</si>
  <si>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</si>
  <si>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</si>
  <si>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</si>
  <si>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</si>
  <si>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</si>
  <si>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</si>
  <si>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</si>
  <si>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</si>
  <si>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</si>
  <si>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</si>
  <si>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</si>
  <si>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</si>
  <si>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</si>
  <si>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</si>
  <si>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</si>
  <si>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</si>
  <si>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</si>
  <si>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</si>
  <si>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</si>
  <si>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</si>
  <si>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</si>
  <si>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</si>
  <si>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</si>
  <si>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</si>
  <si>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</si>
  <si>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</si>
  <si>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</si>
  <si>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</si>
  <si>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</si>
  <si>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</si>
  <si>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</si>
  <si>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</si>
  <si>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</si>
  <si>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</si>
  <si>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</si>
  <si>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</si>
  <si>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</si>
  <si>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</si>
  <si>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</si>
  <si>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</si>
  <si>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</si>
  <si>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</si>
  <si>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</si>
  <si>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</si>
  <si>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</si>
  <si>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</si>
  <si>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</si>
  <si>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</si>
  <si>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</si>
  <si>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</si>
  <si>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</si>
  <si>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</si>
  <si>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</si>
  <si>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</si>
  <si>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</si>
  <si>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</si>
  <si>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</si>
  <si>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</si>
  <si>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</si>
  <si>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</si>
  <si>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</si>
  <si>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</si>
  <si>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</si>
  <si>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</si>
  <si>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</si>
  <si>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</si>
  <si>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</si>
  <si>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</si>
  <si>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</si>
  <si>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</si>
  <si>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</si>
  <si>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</si>
  <si>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</si>
  <si>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</si>
  <si>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</si>
  <si>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</si>
  <si>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</si>
  <si>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</si>
  <si>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</si>
  <si>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</si>
  <si>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</si>
  <si>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</si>
  <si>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</si>
  <si>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</si>
  <si>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</si>
  <si>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</si>
  <si>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</si>
  <si>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</si>
  <si>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</si>
  <si>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</si>
  <si>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</si>
  <si>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</si>
  <si>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</si>
  <si>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</si>
  <si>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</si>
  <si>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</si>
  <si>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</si>
  <si>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</si>
  <si>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</si>
  <si>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</si>
  <si>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</si>
  <si>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</si>
  <si>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</si>
  <si>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</si>
  <si>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</si>
  <si>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</si>
  <si>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</si>
  <si>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</si>
  <si>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</si>
  <si>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</si>
  <si>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</si>
  <si>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</si>
  <si>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</si>
  <si>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</si>
  <si>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</si>
  <si>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</si>
  <si>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</si>
  <si>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</si>
  <si>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</si>
  <si>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</si>
  <si>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</si>
  <si>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</si>
  <si>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</si>
  <si>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</si>
  <si>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</si>
  <si>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</si>
  <si>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</si>
  <si>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</si>
  <si>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</si>
  <si>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</si>
  <si>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</si>
  <si>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</si>
  <si>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</si>
  <si>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</si>
  <si>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</si>
  <si>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</si>
  <si>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</si>
  <si>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</si>
  <si>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</si>
  <si>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</si>
  <si>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</si>
  <si>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</si>
  <si>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</si>
  <si>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</si>
  <si>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</si>
  <si>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</si>
  <si>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</si>
  <si>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</si>
  <si>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</si>
  <si>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</si>
  <si>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</si>
  <si>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</si>
  <si>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</si>
  <si>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</si>
  <si>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</si>
  <si>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</si>
  <si>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</si>
  <si>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</si>
  <si>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</si>
  <si>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</si>
  <si>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</si>
  <si>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</si>
  <si>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</si>
  <si>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</si>
  <si>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</si>
  <si>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</si>
  <si>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</si>
  <si>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</si>
  <si>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</si>
  <si>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</si>
  <si>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</si>
  <si>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</si>
  <si>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</si>
  <si>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</si>
  <si>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</si>
  <si>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</si>
  <si>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</si>
  <si>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</si>
  <si>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</si>
  <si>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</si>
  <si>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</si>
  <si>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</si>
  <si>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</si>
  <si>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</si>
  <si>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</si>
  <si>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</si>
  <si>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</si>
  <si>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</si>
  <si>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</si>
  <si>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</si>
  <si>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</si>
  <si>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</si>
  <si>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</si>
  <si>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</si>
  <si>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</si>
  <si>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</si>
  <si>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</si>
  <si>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</si>
  <si>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</si>
  <si>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</si>
  <si>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</si>
  <si>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</si>
  <si>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</si>
  <si>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</si>
  <si>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</si>
  <si>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</si>
  <si>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</si>
  <si>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</si>
  <si>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</si>
  <si>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</si>
  <si>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</si>
  <si>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</si>
  <si>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</si>
  <si>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</si>
  <si>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</si>
  <si>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</si>
  <si>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</si>
  <si>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</si>
  <si>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</si>
  <si>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</si>
  <si>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</si>
  <si>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</si>
  <si>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</si>
  <si>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</si>
  <si>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</si>
  <si>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</si>
  <si>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</si>
  <si>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</si>
  <si>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</si>
  <si>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</si>
  <si>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</si>
  <si>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</si>
  <si>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</si>
  <si>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</si>
  <si>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</si>
  <si>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</si>
  <si>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</si>
  <si>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</si>
  <si>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</si>
  <si>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</si>
  <si>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</si>
  <si>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</si>
  <si>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</si>
  <si>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</si>
  <si>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</si>
  <si>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</si>
  <si>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</si>
  <si>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</si>
  <si>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</si>
  <si>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</si>
  <si>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</si>
  <si>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</si>
  <si>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</si>
  <si>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</si>
  <si>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</si>
  <si>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</si>
  <si>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</si>
  <si>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</si>
  <si>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</si>
  <si>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</si>
  <si>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</si>
  <si>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</si>
  <si>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</si>
  <si>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</si>
  <si>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</si>
  <si>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</si>
  <si>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</si>
  <si>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</si>
  <si>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</si>
  <si>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</si>
  <si>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</si>
  <si>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</si>
  <si>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</si>
  <si>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</si>
  <si>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</si>
  <si>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</si>
  <si>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</si>
  <si>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</si>
  <si>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</si>
  <si>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</si>
  <si>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</si>
  <si>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</si>
  <si>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</si>
  <si>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</si>
  <si>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</si>
  <si>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</si>
  <si>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</si>
  <si>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</si>
  <si>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</si>
  <si>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</si>
  <si>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</si>
  <si>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</si>
  <si>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</si>
  <si>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</si>
  <si>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</si>
  <si>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</si>
  <si>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</si>
  <si>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</si>
  <si>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</si>
  <si>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</si>
  <si>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</si>
  <si>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</si>
  <si>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</si>
  <si>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</si>
  <si>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</si>
  <si>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</si>
  <si>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</si>
  <si>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</si>
  <si>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</si>
  <si>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</si>
  <si>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</si>
  <si>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</si>
  <si>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</si>
  <si>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</si>
  <si>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</si>
  <si>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</si>
  <si>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</si>
  <si>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</si>
  <si>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</si>
  <si>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</si>
  <si>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</si>
  <si>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</si>
  <si>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</si>
  <si>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</si>
  <si>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</si>
  <si>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</si>
  <si>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</si>
  <si>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</si>
  <si>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</si>
  <si>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</si>
  <si>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</si>
  <si>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</si>
  <si>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</si>
  <si>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</si>
  <si>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</si>
  <si>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</si>
  <si>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</si>
  <si>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</si>
  <si>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</si>
  <si>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</si>
  <si>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</si>
  <si>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</si>
  <si>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</si>
  <si>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</si>
  <si>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</si>
  <si>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</si>
  <si>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</si>
  <si>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</si>
  <si>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</si>
  <si>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</si>
  <si>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</si>
  <si>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</si>
  <si>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</si>
  <si>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</si>
  <si>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</si>
  <si>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</si>
  <si>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</si>
  <si>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</si>
  <si>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</si>
  <si>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</si>
  <si>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</si>
  <si>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</si>
  <si>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</si>
  <si>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</si>
  <si>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</si>
  <si>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</si>
  <si>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</si>
  <si>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</si>
  <si>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</si>
  <si>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</si>
  <si>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</si>
  <si>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</si>
  <si>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</si>
  <si>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</si>
  <si>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</si>
  <si>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</si>
  <si>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</si>
  <si>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</si>
  <si>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</si>
  <si>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</si>
  <si>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</si>
  <si>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</si>
  <si>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</si>
  <si>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</si>
  <si>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</si>
  <si>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</si>
  <si>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</si>
  <si>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</si>
  <si>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</si>
  <si>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</si>
  <si>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</si>
  <si>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</si>
  <si>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</si>
  <si>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</si>
  <si>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</si>
  <si>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</si>
  <si>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</si>
  <si>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</si>
  <si>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</si>
  <si>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</si>
  <si>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</si>
  <si>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</si>
  <si>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</si>
  <si>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</si>
  <si>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</si>
  <si>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</si>
  <si>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</si>
  <si>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</si>
  <si>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</si>
  <si>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</si>
  <si>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</si>
  <si>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</si>
  <si>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</si>
  <si>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</si>
  <si>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</si>
  <si>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</si>
  <si>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</si>
  <si>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</si>
  <si>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</si>
  <si>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</si>
  <si>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</si>
  <si>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</si>
  <si>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</si>
  <si>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</si>
  <si>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</si>
  <si>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</si>
  <si>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</si>
  <si>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</si>
  <si>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</si>
  <si>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</si>
  <si>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</si>
  <si>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</si>
  <si>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</si>
  <si>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</si>
  <si>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</si>
  <si>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</si>
  <si>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</si>
  <si>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</si>
  <si>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</si>
  <si>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</si>
  <si>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</si>
  <si>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</si>
  <si>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</si>
  <si>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</si>
  <si>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</si>
  <si>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</si>
  <si>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</si>
  <si>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</si>
  <si>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</si>
  <si>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</si>
  <si>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</si>
  <si>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</si>
  <si>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</si>
  <si>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</si>
  <si>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</si>
  <si>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</si>
  <si>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</si>
  <si>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</si>
  <si>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</si>
  <si>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</si>
  <si>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</si>
  <si>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</si>
  <si>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</si>
  <si>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</si>
  <si>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</si>
  <si>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</si>
  <si>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</si>
  <si>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</si>
  <si>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</si>
  <si>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</si>
  <si>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</si>
  <si>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</si>
  <si>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</si>
  <si>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</si>
  <si>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</si>
  <si>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</si>
  <si>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</si>
  <si>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</si>
  <si>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</si>
  <si>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</si>
  <si>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</si>
  <si>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</si>
  <si>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</si>
  <si>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</si>
  <si>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</si>
  <si>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</si>
  <si>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</si>
  <si>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</si>
  <si>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</si>
  <si>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</si>
  <si>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</si>
  <si>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</si>
  <si>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</si>
  <si>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</si>
  <si>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</si>
  <si>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</si>
  <si>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</si>
  <si>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</si>
  <si>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</si>
  <si>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</si>
  <si>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</si>
  <si>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</si>
  <si>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</si>
  <si>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</si>
  <si>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</si>
  <si>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</si>
  <si>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</si>
  <si>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</si>
  <si>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</si>
  <si>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</si>
  <si>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</si>
  <si>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</si>
  <si>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</si>
  <si>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</si>
  <si>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</si>
  <si>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</si>
  <si>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</si>
  <si>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</si>
  <si>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</si>
  <si>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</si>
  <si>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</si>
  <si>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</si>
  <si>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</si>
  <si>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</si>
  <si>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</si>
  <si>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</si>
  <si>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</si>
  <si>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</si>
  <si>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</si>
  <si>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</si>
  <si>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</si>
  <si>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</si>
  <si>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</si>
  <si>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</si>
  <si>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</si>
  <si>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</si>
  <si>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</si>
  <si>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</si>
  <si>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</si>
  <si>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</si>
  <si>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</si>
  <si>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</si>
  <si>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</si>
  <si>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</si>
  <si>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</si>
  <si>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</si>
  <si>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</si>
  <si>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</si>
  <si>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</si>
  <si>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</si>
  <si>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</si>
  <si>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</si>
  <si>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</si>
  <si>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</si>
  <si>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</si>
  <si>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</si>
  <si>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</si>
  <si>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</si>
  <si>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</si>
  <si>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</si>
  <si>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</si>
  <si>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</si>
  <si>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</si>
  <si>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</si>
  <si>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</si>
  <si>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</si>
  <si>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</si>
  <si>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</si>
  <si>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</si>
  <si>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</si>
  <si>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</si>
  <si>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</si>
  <si>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</si>
  <si>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</si>
  <si>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</si>
  <si>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</si>
  <si>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</si>
  <si>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</si>
  <si>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</si>
  <si>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</si>
  <si>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</si>
  <si>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</si>
  <si>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</si>
  <si>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</si>
  <si>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</si>
  <si>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</si>
  <si>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</si>
  <si>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</si>
  <si>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</si>
  <si>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</si>
  <si>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</si>
  <si>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</si>
  <si>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</si>
  <si>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</si>
  <si>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</si>
  <si>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</si>
  <si>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</si>
  <si>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</si>
  <si>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</si>
  <si>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</si>
  <si>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</si>
  <si>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</si>
  <si>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</si>
  <si>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</si>
  <si>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</si>
  <si>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</si>
  <si>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</si>
  <si>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</si>
  <si>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</si>
  <si>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</si>
  <si>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</si>
  <si>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</si>
  <si>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</si>
  <si>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</si>
  <si>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</si>
  <si>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</si>
  <si>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</si>
  <si>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</si>
  <si>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</si>
  <si>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</si>
  <si>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</si>
  <si>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</si>
  <si>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</si>
  <si>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</si>
  <si>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</si>
  <si>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</si>
  <si>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</si>
  <si>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</si>
  <si>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</si>
  <si>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</si>
  <si>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</si>
  <si>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</si>
  <si>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</si>
  <si>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</si>
  <si>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</si>
  <si>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</si>
  <si>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</si>
  <si>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</si>
  <si>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</si>
  <si>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</si>
  <si>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</si>
  <si>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</si>
  <si>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</si>
  <si>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</si>
  <si>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</si>
  <si>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</si>
  <si>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</si>
  <si>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</si>
  <si>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</si>
  <si>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</si>
  <si>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</si>
  <si>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</si>
  <si>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</si>
  <si>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</si>
  <si>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</si>
  <si>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</si>
  <si>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</si>
  <si>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</si>
  <si>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</si>
  <si>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</si>
  <si>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</si>
  <si>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</si>
  <si>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</si>
  <si>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</si>
  <si>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</si>
  <si>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</si>
  <si>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</si>
  <si>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</si>
  <si>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</si>
  <si>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</si>
  <si>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</si>
  <si>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</si>
  <si>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</si>
  <si>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</si>
  <si>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</si>
  <si>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</si>
  <si>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</si>
  <si>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</si>
  <si>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</si>
  <si>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</si>
  <si>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</si>
  <si>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</si>
  <si>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</si>
  <si>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</si>
  <si>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</si>
  <si>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</si>
  <si>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</si>
  <si>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</si>
  <si>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</si>
  <si>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</si>
  <si>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</si>
  <si>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</si>
  <si>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</si>
  <si>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</si>
  <si>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</si>
  <si>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</si>
  <si>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</si>
  <si>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</si>
  <si>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</si>
  <si>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</si>
  <si>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</si>
  <si>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</si>
  <si>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</si>
  <si>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</si>
  <si>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</si>
  <si>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</si>
  <si>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</si>
  <si>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</si>
  <si>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</si>
  <si>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</si>
  <si>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</si>
  <si>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</si>
  <si>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</si>
  <si>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</si>
  <si>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</si>
  <si>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</si>
  <si>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</si>
  <si>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</si>
  <si>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</si>
  <si>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</si>
  <si>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</si>
  <si>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</si>
  <si>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</si>
  <si>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</si>
  <si>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</si>
  <si>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</si>
  <si>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</si>
  <si>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</si>
  <si>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</si>
  <si>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</si>
  <si>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</si>
  <si>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</si>
  <si>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</si>
  <si>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</si>
  <si>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</si>
  <si>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</si>
  <si>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</si>
  <si>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</si>
  <si>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</si>
  <si>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</si>
  <si>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</si>
  <si>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</si>
  <si>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</si>
  <si>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</si>
  <si>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</si>
  <si>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</si>
  <si>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</si>
  <si>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</si>
  <si>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</si>
  <si>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</si>
  <si>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</si>
  <si>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</si>
  <si>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</si>
  <si>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</si>
  <si>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</si>
  <si>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</si>
  <si>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</si>
  <si>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</si>
  <si>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</si>
  <si>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</si>
  <si>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</si>
  <si>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</si>
  <si>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</si>
  <si>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</si>
  <si>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</si>
  <si>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</si>
  <si>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</si>
  <si>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</si>
  <si>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</si>
  <si>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</si>
  <si>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</si>
  <si>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</si>
  <si>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</si>
  <si>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</si>
  <si>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</si>
  <si>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</si>
  <si>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</si>
  <si>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</si>
  <si>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</si>
  <si>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</si>
  <si>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</si>
  <si>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</si>
  <si>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</si>
  <si>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</si>
  <si>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</si>
  <si>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</si>
  <si>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</si>
  <si>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</si>
  <si>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</si>
  <si>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</si>
  <si>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</si>
  <si>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</si>
  <si>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</si>
  <si>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</si>
  <si>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</si>
  <si>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</si>
  <si>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</si>
  <si>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</si>
  <si>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</si>
  <si>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</si>
  <si>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</si>
  <si>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</si>
  <si>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</si>
  <si>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</si>
  <si>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</si>
  <si>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</si>
  <si>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</si>
  <si>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</si>
  <si>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</si>
  <si>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</si>
  <si>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</si>
  <si>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</si>
  <si>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</si>
  <si>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</si>
  <si>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</si>
  <si>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</si>
  <si>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</si>
  <si>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</si>
  <si>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</si>
  <si>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</si>
  <si>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</si>
  <si>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</si>
  <si>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</si>
  <si>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</si>
  <si>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</si>
  <si>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</si>
  <si>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</si>
  <si>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</si>
  <si>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</si>
  <si>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</si>
  <si>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</si>
  <si>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</si>
  <si>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</si>
  <si>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</si>
  <si>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</si>
  <si>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</si>
  <si>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</si>
  <si>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</si>
  <si>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</si>
  <si>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</si>
  <si>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</si>
  <si>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</si>
  <si>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</si>
  <si>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</si>
  <si>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</si>
  <si>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</si>
  <si>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</si>
  <si>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</si>
  <si>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</si>
  <si>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</si>
  <si>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</si>
  <si>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</si>
  <si>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</si>
  <si>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</si>
  <si>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</si>
  <si>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</si>
  <si>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</si>
  <si>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</si>
  <si>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</si>
  <si>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</si>
  <si>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</si>
  <si>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</si>
  <si>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</si>
  <si>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</si>
  <si>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</si>
  <si>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</si>
  <si>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</si>
  <si>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</si>
  <si>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</si>
  <si>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</si>
  <si>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</si>
  <si>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</si>
  <si>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</si>
  <si>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</si>
  <si>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</si>
  <si>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</si>
  <si>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</si>
  <si>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</si>
  <si>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</si>
  <si>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</si>
  <si>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</si>
  <si>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</si>
  <si>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</si>
  <si>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</si>
  <si>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</si>
  <si>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</si>
  <si>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</si>
  <si>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</si>
  <si>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</si>
  <si>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</si>
  <si>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</si>
  <si>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</si>
  <si>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</si>
  <si>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</si>
  <si>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</si>
  <si>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</si>
  <si>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</si>
  <si>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</si>
  <si>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</si>
  <si>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</si>
  <si>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</si>
  <si>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</si>
  <si>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</si>
  <si>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</si>
  <si>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</si>
  <si>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</si>
  <si>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</si>
  <si>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</si>
  <si>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</si>
  <si>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</si>
  <si>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</si>
  <si>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</si>
  <si>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</si>
  <si>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</si>
  <si>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</si>
  <si>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</si>
  <si>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</si>
  <si>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</si>
  <si>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</si>
  <si>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</si>
  <si>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</si>
  <si>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</si>
  <si>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</si>
  <si>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</si>
  <si>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</si>
  <si>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</si>
  <si>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</si>
  <si>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</si>
  <si>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</si>
  <si>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</si>
  <si>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</si>
  <si>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</si>
  <si>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</si>
  <si>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</si>
  <si>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</si>
  <si>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</si>
  <si>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</si>
  <si>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</si>
  <si>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</si>
  <si>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</si>
  <si>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</si>
  <si>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</si>
  <si>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</si>
  <si>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</si>
  <si>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</si>
  <si>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</si>
  <si>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</si>
  <si>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</si>
  <si>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</si>
  <si>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</si>
  <si>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</si>
  <si>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</si>
  <si>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</si>
  <si>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</si>
  <si>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</si>
  <si>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</si>
  <si>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</si>
  <si>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</si>
  <si>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</si>
  <si>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</si>
  <si>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</si>
  <si>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</si>
  <si>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</si>
  <si>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</si>
  <si>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</si>
  <si>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</si>
  <si>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</si>
  <si>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</si>
  <si>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</si>
  <si>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</si>
  <si>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</si>
  <si>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</si>
  <si>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</si>
  <si>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</si>
  <si>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</si>
  <si>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</si>
  <si>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</si>
  <si>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</si>
  <si>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</si>
  <si>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</si>
  <si>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</si>
  <si>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</si>
  <si>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</si>
  <si>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</si>
  <si>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</si>
  <si>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</si>
  <si>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</si>
  <si>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</si>
  <si>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</si>
  <si>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</si>
  <si>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</si>
  <si>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</si>
  <si>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</si>
  <si>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</si>
  <si>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</si>
  <si>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</si>
  <si>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</si>
  <si>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</si>
  <si>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</si>
  <si>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</si>
  <si>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</si>
  <si>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</si>
  <si>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</si>
  <si>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</si>
  <si>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</si>
  <si>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</si>
  <si>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</si>
  <si>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</si>
  <si>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</si>
  <si>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</si>
  <si>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</si>
  <si>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</si>
  <si>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</si>
  <si>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</si>
  <si>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</si>
  <si>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</si>
  <si>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</si>
  <si>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</si>
  <si>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</si>
  <si>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</si>
  <si>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</si>
  <si>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</si>
  <si>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</si>
  <si>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</si>
  <si>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</si>
  <si>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</si>
  <si>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</si>
  <si>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</si>
  <si>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</si>
  <si>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</si>
  <si>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</si>
  <si>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</si>
  <si>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</si>
  <si>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</si>
  <si>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</si>
  <si>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</si>
  <si>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</si>
  <si>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</si>
  <si>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</si>
  <si>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</si>
  <si>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</si>
  <si>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</si>
  <si>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</si>
  <si>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</si>
  <si>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</si>
  <si>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</si>
  <si>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</si>
  <si>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</si>
  <si>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</si>
  <si>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</si>
  <si>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</si>
  <si>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</si>
  <si>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</si>
  <si>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</si>
  <si>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</si>
  <si>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</si>
  <si>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</si>
  <si>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</si>
  <si>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</si>
  <si>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</si>
  <si>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</si>
  <si>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</si>
  <si>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</si>
  <si>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</si>
  <si>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</si>
  <si>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</si>
  <si>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</si>
  <si>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</si>
  <si>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</si>
  <si>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</si>
  <si>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</si>
  <si>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</si>
  <si>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</si>
  <si>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</si>
  <si>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</si>
  <si>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</si>
  <si>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</si>
  <si>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</si>
  <si>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</si>
  <si>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</si>
  <si>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</si>
  <si>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</si>
  <si>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</si>
  <si>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</si>
  <si>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</si>
  <si>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</si>
  <si>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</si>
  <si>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</si>
  <si>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</si>
  <si>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</si>
  <si>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</si>
  <si>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</si>
  <si>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</si>
  <si>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</si>
  <si>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</si>
  <si>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</si>
  <si>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</si>
  <si>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</si>
  <si>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</si>
  <si>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</si>
  <si>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</si>
  <si>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</si>
  <si>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</si>
  <si>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</si>
  <si>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</si>
  <si>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</si>
  <si>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</si>
  <si>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</si>
  <si>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</si>
  <si>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</si>
  <si>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</si>
  <si>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</si>
  <si>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</si>
  <si>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</si>
  <si>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</si>
  <si>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</si>
  <si>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</si>
  <si>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</si>
  <si>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</si>
  <si>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</si>
  <si>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</si>
  <si>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</si>
  <si>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</si>
  <si>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</si>
  <si>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</si>
  <si>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</si>
  <si>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</si>
  <si>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</si>
  <si>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</si>
  <si>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</si>
  <si>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</si>
  <si>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</si>
  <si>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</si>
  <si>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</si>
  <si>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</si>
  <si>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</si>
  <si>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</si>
  <si>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</si>
  <si>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</si>
  <si>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</si>
  <si>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</si>
  <si>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</si>
  <si>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</si>
  <si>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</si>
  <si>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</si>
  <si>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</si>
  <si>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</si>
  <si>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</si>
  <si>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</si>
  <si>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</si>
  <si>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</si>
  <si>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</si>
  <si>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</si>
  <si>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</si>
  <si>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</si>
  <si>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</si>
  <si>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</si>
  <si>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</si>
  <si>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</si>
  <si>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</si>
  <si>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</si>
  <si>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</si>
  <si>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</si>
  <si>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</si>
  <si>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</si>
  <si>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</si>
  <si>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</si>
  <si>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</si>
  <si>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</si>
  <si>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</si>
  <si>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</si>
  <si>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</si>
  <si>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</si>
  <si>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</si>
  <si>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</si>
  <si>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</si>
  <si>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</si>
  <si>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</si>
  <si>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</si>
  <si>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</si>
  <si>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</si>
  <si>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</si>
  <si>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</si>
  <si>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</si>
  <si>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</si>
  <si>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</si>
  <si>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</si>
  <si>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</si>
  <si>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</si>
  <si>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</si>
  <si>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</si>
  <si>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</si>
  <si>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</si>
  <si>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</si>
  <si>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</si>
  <si>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</si>
  <si>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</si>
  <si>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</si>
  <si>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</si>
  <si>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</si>
  <si>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</si>
  <si>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</si>
  <si>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</si>
  <si>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</si>
  <si>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</si>
  <si>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</si>
  <si>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</si>
  <si>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</si>
  <si>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</si>
  <si>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</si>
  <si>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</si>
  <si>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</si>
  <si>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</si>
  <si>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</si>
  <si>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</si>
  <si>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</si>
  <si>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</si>
  <si>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</si>
  <si>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</si>
  <si>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</si>
  <si>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</si>
  <si>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</si>
  <si>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</si>
  <si>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</si>
  <si>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</si>
  <si>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</si>
  <si>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</si>
  <si>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</si>
  <si>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</si>
  <si>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</si>
  <si>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</si>
  <si>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</si>
  <si>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</si>
  <si>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</si>
  <si>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</si>
  <si>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</si>
  <si>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</si>
  <si>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</si>
  <si>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</si>
  <si>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</si>
  <si>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</si>
  <si>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</si>
  <si>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</si>
  <si>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</si>
  <si>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</si>
  <si>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</si>
  <si>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</si>
  <si>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</si>
  <si>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</si>
  <si>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</si>
  <si>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</si>
  <si>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</si>
  <si>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</si>
  <si>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</si>
  <si>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</si>
  <si>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</si>
  <si>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</si>
  <si>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</si>
  <si>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</si>
  <si>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</si>
  <si>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</si>
  <si>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</si>
  <si>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</si>
  <si>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</si>
  <si>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</si>
  <si>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</si>
  <si>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</si>
  <si>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</si>
  <si>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</si>
  <si>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</si>
  <si>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</si>
  <si>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</si>
  <si>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</si>
  <si>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</si>
  <si>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</si>
  <si>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</si>
  <si>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</si>
  <si>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</si>
  <si>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</si>
  <si>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</si>
  <si>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</si>
  <si>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</si>
  <si>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</si>
  <si>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</si>
  <si>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</si>
  <si>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</si>
  <si>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</si>
  <si>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</si>
  <si>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</si>
  <si>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</si>
  <si>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</si>
  <si>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</si>
  <si>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</si>
  <si>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</si>
  <si>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</si>
  <si>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</si>
  <si>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</si>
  <si>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</si>
  <si>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</si>
  <si>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</si>
  <si>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</si>
  <si>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</si>
  <si>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</si>
  <si>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</si>
  <si>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</si>
  <si>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</si>
  <si>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</si>
  <si>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</si>
  <si>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</si>
  <si>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</si>
  <si>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</si>
  <si>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</si>
  <si>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</si>
  <si>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</si>
  <si>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</si>
  <si>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</si>
  <si>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</si>
  <si>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</si>
  <si>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</si>
  <si>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</si>
  <si>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</si>
  <si>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</si>
  <si>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</si>
  <si>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</si>
  <si>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</si>
  <si>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</si>
  <si>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</si>
  <si>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</si>
  <si>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</si>
  <si>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</si>
  <si>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</si>
  <si>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</si>
  <si>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</si>
  <si>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</si>
  <si>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</si>
  <si>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</si>
  <si>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</si>
  <si>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</si>
  <si>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</si>
  <si>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</si>
  <si>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</si>
  <si>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</si>
  <si>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</si>
  <si>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</si>
  <si>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</si>
  <si>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</si>
  <si>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</si>
  <si>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</si>
  <si>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</si>
  <si>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</si>
  <si>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</si>
  <si>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</si>
  <si>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</si>
  <si>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</si>
  <si>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</si>
  <si>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</si>
  <si>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</si>
  <si>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</si>
  <si>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</si>
  <si>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</si>
  <si>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</si>
  <si>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</si>
  <si>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</si>
  <si>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</si>
  <si>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</si>
  <si>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</si>
  <si>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</si>
  <si>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</si>
  <si>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</si>
  <si>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</si>
  <si>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</si>
  <si>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</si>
  <si>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</si>
  <si>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</si>
  <si>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</si>
  <si>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</si>
  <si>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</si>
  <si>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</si>
  <si>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</si>
  <si>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</si>
  <si>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</si>
  <si>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</si>
  <si>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</si>
  <si>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</si>
  <si>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</si>
  <si>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</si>
  <si>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</si>
  <si>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</si>
  <si>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</si>
  <si>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</si>
  <si>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</si>
  <si>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</si>
  <si>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</si>
  <si>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</si>
  <si>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</si>
  <si>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</si>
  <si>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</si>
  <si>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</si>
  <si>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</si>
  <si>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</si>
  <si>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</si>
  <si>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</si>
  <si>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</si>
  <si>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</si>
  <si>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</si>
  <si>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</si>
  <si>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</si>
  <si>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</si>
  <si>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</si>
  <si>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</si>
  <si>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</si>
  <si>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</si>
  <si>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</si>
  <si>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</si>
  <si>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</si>
  <si>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</si>
  <si>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</si>
  <si>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</si>
  <si>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</si>
  <si>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</si>
  <si>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</si>
  <si>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</si>
  <si>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</si>
  <si>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</si>
  <si>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</si>
  <si>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</si>
  <si>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</si>
  <si>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</si>
  <si>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</si>
  <si>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</si>
  <si>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</si>
  <si>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</si>
  <si>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</si>
  <si>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</si>
  <si>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</si>
  <si>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</si>
  <si>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</si>
  <si>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</si>
  <si>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</si>
  <si>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</si>
  <si>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</si>
  <si>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</si>
  <si>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</si>
  <si>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</si>
  <si>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</si>
  <si>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</si>
  <si>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</si>
  <si>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</si>
  <si>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</si>
  <si>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</si>
  <si>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</si>
  <si>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</si>
  <si>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</si>
  <si>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</si>
  <si>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</si>
  <si>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</si>
  <si>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</si>
  <si>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</si>
  <si>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</si>
  <si>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</si>
  <si>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</si>
  <si>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</si>
  <si>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</si>
  <si>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</si>
  <si>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</si>
  <si>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</si>
  <si>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</si>
  <si>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</si>
  <si>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</si>
  <si>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</si>
  <si>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</si>
  <si>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</si>
  <si>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</si>
  <si>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</si>
  <si>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</si>
  <si>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</si>
  <si>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</si>
  <si>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</si>
  <si>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</si>
  <si>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</si>
  <si>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</si>
  <si>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</si>
  <si>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</si>
  <si>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</si>
  <si>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</si>
  <si>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</si>
  <si>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</si>
  <si>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</si>
  <si>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</si>
  <si>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</si>
  <si>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</si>
  <si>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</si>
  <si>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</si>
  <si>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</si>
  <si>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</si>
  <si>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</si>
  <si>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</si>
  <si>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</si>
  <si>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</si>
  <si>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</si>
  <si>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</si>
  <si>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</si>
  <si>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</si>
  <si>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</si>
  <si>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</si>
  <si>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</si>
  <si>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</si>
  <si>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</si>
  <si>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</si>
  <si>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</si>
  <si>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</si>
  <si>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</si>
  <si>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</si>
  <si>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</si>
  <si>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</si>
  <si>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</si>
  <si>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</si>
  <si>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</si>
  <si>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</si>
  <si>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</si>
  <si>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</si>
  <si>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</si>
  <si>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</si>
  <si>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</si>
  <si>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</si>
  <si>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</si>
  <si>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</si>
  <si>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</si>
  <si>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</si>
  <si>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</si>
  <si>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</si>
  <si>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</si>
  <si>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</si>
  <si>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</si>
  <si>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</si>
  <si>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</si>
  <si>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</si>
  <si>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</si>
  <si>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</si>
  <si>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</si>
  <si>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</si>
  <si>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</si>
  <si>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</si>
  <si>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</si>
  <si>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</si>
  <si>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</si>
  <si>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</si>
  <si>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</si>
  <si>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</si>
  <si>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</si>
  <si>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</si>
  <si>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</si>
  <si>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</si>
  <si>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</si>
  <si>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</si>
  <si>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</si>
  <si>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</si>
  <si>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</si>
  <si>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</si>
  <si>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</si>
  <si>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</si>
  <si>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</si>
  <si>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</si>
  <si>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</si>
  <si>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</si>
  <si>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</si>
  <si>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</si>
  <si>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</si>
  <si>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</si>
  <si>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</si>
  <si>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</si>
  <si>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</si>
  <si>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</si>
  <si>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</si>
  <si>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</si>
  <si>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</si>
  <si>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</si>
  <si>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</si>
  <si>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</si>
  <si>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</si>
  <si>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</si>
  <si>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</si>
  <si>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</si>
  <si>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</si>
  <si>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</si>
  <si>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</si>
  <si>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</si>
  <si>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</si>
  <si>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</si>
  <si>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</si>
  <si>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</si>
  <si>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</si>
  <si>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</si>
  <si>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</si>
  <si>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</si>
  <si>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</si>
  <si>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</si>
  <si>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</si>
  <si>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</si>
  <si>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</si>
  <si>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</si>
  <si>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</si>
  <si>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</si>
  <si>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</si>
  <si>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</si>
  <si>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</si>
  <si>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</si>
  <si>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</si>
  <si>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</si>
  <si>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</si>
  <si>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</si>
  <si>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</si>
  <si>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</si>
  <si>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梁津</t>
  </si>
  <si>
    <t>王鹏</t>
  </si>
  <si>
    <t>中诚信托有限责任公司</t>
    <phoneticPr fontId="6" type="noConversion"/>
  </si>
  <si>
    <t>核定资产</t>
  </si>
  <si>
    <t>市场价格</t>
  </si>
  <si>
    <t>其他：</t>
  </si>
  <si>
    <t>广东省汕头市</t>
    <phoneticPr fontId="6" type="noConversion"/>
  </si>
  <si>
    <t>企业</t>
  </si>
  <si>
    <t>商业</t>
  </si>
  <si>
    <t>出让</t>
  </si>
  <si>
    <t>一致</t>
  </si>
  <si>
    <t>符合</t>
  </si>
  <si>
    <t>否</t>
  </si>
  <si>
    <t>《国有土地使用证》</t>
  </si>
  <si>
    <t>商业项目</t>
  </si>
  <si>
    <t>无</t>
  </si>
  <si>
    <t>场地平整</t>
  </si>
  <si>
    <t>平整</t>
  </si>
  <si>
    <t>通路</t>
  </si>
  <si>
    <t>通电</t>
  </si>
  <si>
    <t>通讯</t>
  </si>
  <si>
    <t>通上水</t>
  </si>
  <si>
    <t>通下水</t>
  </si>
  <si>
    <t>燃气</t>
  </si>
  <si>
    <t>地上</t>
  </si>
  <si>
    <t>不动产收益法</t>
  </si>
  <si>
    <t>临海情况</t>
    <phoneticPr fontId="26" type="noConversion"/>
  </si>
  <si>
    <t>楼面地价</t>
  </si>
  <si>
    <t>正常</t>
  </si>
  <si>
    <t>住宅、商业</t>
  </si>
  <si>
    <t>住宅、商业</t>
    <phoneticPr fontId="26" type="noConversion"/>
  </si>
  <si>
    <t>较好</t>
  </si>
  <si>
    <t>一般</t>
  </si>
  <si>
    <t>好</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</si>
  <si>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</si>
  <si>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</si>
  <si>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</si>
  <si>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</si>
  <si>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</si>
  <si>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</si>
  <si>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</si>
  <si>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</si>
  <si>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</si>
  <si>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</si>
  <si>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</si>
  <si>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</si>
  <si>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</si>
  <si>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</si>
  <si>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</si>
  <si>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</si>
  <si>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</si>
  <si>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</si>
  <si>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一线临海</t>
    <phoneticPr fontId="26" type="noConversion"/>
  </si>
  <si>
    <t>临近</t>
    <phoneticPr fontId="26" type="noConversion"/>
  </si>
  <si>
    <t>较远</t>
    <phoneticPr fontId="26" type="noConversion"/>
  </si>
  <si>
    <t>远</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</si>
  <si>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</si>
  <si>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汕头监测指标情况一览表</t>
  </si>
  <si>
    <t>时间</t>
  </si>
  <si>
    <t>水平值</t>
  </si>
  <si>
    <t>环比增长率</t>
  </si>
  <si>
    <t>指数</t>
  </si>
  <si>
    <t>东海岸新城新津片区E组团</t>
    <phoneticPr fontId="3" type="noConversion"/>
  </si>
  <si>
    <t>汕头市东海岸新城</t>
    <phoneticPr fontId="3" type="noConversion"/>
  </si>
  <si>
    <t>临近</t>
    <phoneticPr fontId="26" type="noConversion"/>
  </si>
  <si>
    <t>土地（套用方法）</t>
  </si>
  <si>
    <t>钢混</t>
  </si>
  <si>
    <t>按租金收入计税</t>
  </si>
  <si>
    <t>项目全部</t>
  </si>
  <si>
    <t>土地</t>
  </si>
  <si>
    <t>比较法-住宅、综合</t>
  </si>
  <si>
    <t>剩余法-待开发</t>
  </si>
  <si>
    <t>双面临街</t>
  </si>
  <si>
    <t>《国有土地使用证》[汕国用（2013）第10700250]</t>
  </si>
  <si>
    <t>《国有土地使用证》[汕国用（2013）第10700250]</t>
    <phoneticPr fontId="6" type="noConversion"/>
  </si>
  <si>
    <t>龙湖区海湾公园片区（335-00-02-096）</t>
    <phoneticPr fontId="6" type="noConversion"/>
  </si>
  <si>
    <t>住宅</t>
    <phoneticPr fontId="6" type="noConversion"/>
  </si>
  <si>
    <t>住宅、商业、地下车库</t>
    <phoneticPr fontId="6" type="noConversion"/>
  </si>
  <si>
    <t>广东锦峰地产投资有限公司</t>
    <phoneticPr fontId="6" type="noConversion"/>
  </si>
  <si>
    <t>《建设工程规划许可证》[[2014]汕规建字第015号]</t>
    <phoneticPr fontId="3" type="noConversion"/>
  </si>
  <si>
    <t>D地块</t>
    <phoneticPr fontId="3" type="noConversion"/>
  </si>
  <si>
    <t>平层住宅</t>
  </si>
  <si>
    <t>底商</t>
  </si>
  <si>
    <t>地下</t>
  </si>
  <si>
    <t>车库</t>
  </si>
  <si>
    <t>住宅</t>
    <phoneticPr fontId="7" type="noConversion"/>
  </si>
  <si>
    <t>商业</t>
    <phoneticPr fontId="7" type="noConversion"/>
  </si>
  <si>
    <t>车库</t>
    <phoneticPr fontId="7" type="noConversion"/>
  </si>
  <si>
    <t>住宅</t>
    <phoneticPr fontId="21" type="noConversion"/>
  </si>
  <si>
    <t>50-60（含）</t>
  </si>
  <si>
    <t>60-70（含）</t>
  </si>
  <si>
    <t>独栋别墅</t>
    <phoneticPr fontId="21" type="noConversion"/>
  </si>
  <si>
    <t>联排别墅</t>
    <phoneticPr fontId="21" type="noConversion"/>
  </si>
  <si>
    <t>叠拼别墅</t>
    <phoneticPr fontId="21" type="noConversion"/>
  </si>
  <si>
    <t>花园洋房</t>
    <phoneticPr fontId="21" type="noConversion"/>
  </si>
  <si>
    <t>普通住宅</t>
  </si>
  <si>
    <t>普通住宅</t>
    <phoneticPr fontId="21" type="noConversion"/>
  </si>
  <si>
    <t>钢</t>
    <phoneticPr fontId="21" type="noConversion"/>
  </si>
  <si>
    <t>钢混</t>
    <phoneticPr fontId="21" type="noConversion"/>
  </si>
  <si>
    <t>混合</t>
    <phoneticPr fontId="21" type="noConversion"/>
  </si>
  <si>
    <t>木</t>
    <phoneticPr fontId="21" type="noConversion"/>
  </si>
  <si>
    <t>高档</t>
  </si>
  <si>
    <t>高档</t>
    <phoneticPr fontId="21" type="noConversion"/>
  </si>
  <si>
    <t>中档</t>
  </si>
  <si>
    <t>中档</t>
    <phoneticPr fontId="21" type="noConversion"/>
  </si>
  <si>
    <t>低档</t>
    <phoneticPr fontId="21" type="noConversion"/>
  </si>
  <si>
    <t>精装修</t>
  </si>
  <si>
    <t>精装修</t>
    <phoneticPr fontId="21" type="noConversion"/>
  </si>
  <si>
    <t>普通装修</t>
    <phoneticPr fontId="21" type="noConversion"/>
  </si>
  <si>
    <t>毛坯</t>
  </si>
  <si>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</si>
  <si>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</si>
  <si>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</si>
  <si>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</si>
  <si>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</si>
  <si>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</si>
  <si>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</si>
  <si>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</si>
  <si>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80-120</t>
    <phoneticPr fontId="21" type="noConversion"/>
  </si>
  <si>
    <t>120-140</t>
    <phoneticPr fontId="21" type="noConversion"/>
  </si>
  <si>
    <t>140-180</t>
    <phoneticPr fontId="21" type="noConversion"/>
  </si>
  <si>
    <t>180-240</t>
    <phoneticPr fontId="21" type="noConversion"/>
  </si>
  <si>
    <t>一线临海</t>
    <phoneticPr fontId="21" type="noConversion"/>
  </si>
  <si>
    <t>临近</t>
    <phoneticPr fontId="21" type="noConversion"/>
  </si>
  <si>
    <t>较远</t>
    <phoneticPr fontId="21" type="noConversion"/>
  </si>
  <si>
    <t>远</t>
    <phoneticPr fontId="21" type="noConversion"/>
  </si>
  <si>
    <t>豪华装修</t>
  </si>
  <si>
    <t>豪华装修</t>
    <phoneticPr fontId="21" type="noConversion"/>
  </si>
  <si>
    <t>毛坯</t>
    <phoneticPr fontId="21" type="noConversion"/>
  </si>
  <si>
    <t>临近</t>
    <phoneticPr fontId="21" type="noConversion"/>
  </si>
  <si>
    <t>售价</t>
  </si>
  <si>
    <t>120-140</t>
    <phoneticPr fontId="21" type="noConversion"/>
  </si>
  <si>
    <t>汕头市东海岸新城津河路与望洋山路交界处</t>
    <phoneticPr fontId="3" type="noConversion"/>
  </si>
  <si>
    <t>商业</t>
    <phoneticPr fontId="26" type="noConversion"/>
  </si>
  <si>
    <t>20-30（含）</t>
  </si>
  <si>
    <t>30-40（含）</t>
  </si>
  <si>
    <t>一般</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</si>
  <si>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</si>
  <si>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</si>
  <si>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</si>
  <si>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</si>
  <si>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t>
    </r>
    <phoneticPr fontId="26" type="noConversion"/>
  </si>
  <si>
    <t>综合体商业</t>
    <phoneticPr fontId="26" type="noConversion"/>
  </si>
  <si>
    <t>商业街商业</t>
    <phoneticPr fontId="26" type="noConversion"/>
  </si>
  <si>
    <t>钢</t>
    <phoneticPr fontId="26" type="noConversion"/>
  </si>
  <si>
    <t>钢混</t>
    <phoneticPr fontId="26" type="noConversion"/>
  </si>
  <si>
    <t>混合</t>
    <phoneticPr fontId="26" type="noConversion"/>
  </si>
  <si>
    <t>木</t>
    <phoneticPr fontId="26" type="noConversion"/>
  </si>
  <si>
    <t>豪华装修</t>
    <phoneticPr fontId="26" type="noConversion"/>
  </si>
  <si>
    <t>精装修</t>
    <phoneticPr fontId="26" type="noConversion"/>
  </si>
  <si>
    <t>普通装修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</si>
  <si>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</si>
  <si>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</si>
  <si>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</si>
  <si>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</si>
  <si>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</si>
  <si>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</si>
  <si>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住宅底商</t>
  </si>
  <si>
    <t>住宅底商</t>
    <phoneticPr fontId="26" type="noConversion"/>
  </si>
  <si>
    <t>挑高层高</t>
    <phoneticPr fontId="26" type="noConversion"/>
  </si>
  <si>
    <t>普通层高</t>
  </si>
  <si>
    <t>普通层高</t>
    <phoneticPr fontId="26" type="noConversion"/>
  </si>
  <si>
    <t>1层</t>
  </si>
  <si>
    <t>一般</t>
    <phoneticPr fontId="26" type="noConversion"/>
  </si>
  <si>
    <t>华润.九里</t>
    <phoneticPr fontId="3" type="noConversion"/>
  </si>
  <si>
    <t>君悦海湾</t>
    <phoneticPr fontId="3" type="noConversion"/>
  </si>
  <si>
    <t>汕头市东海岸新城滨海大道与津泰路交界北侧</t>
    <phoneticPr fontId="3" type="noConversion"/>
  </si>
  <si>
    <t>汕头市东海岸新城华侨大道</t>
    <phoneticPr fontId="3" type="noConversion"/>
  </si>
  <si>
    <t>不规则</t>
  </si>
  <si>
    <t>一线临海</t>
    <phoneticPr fontId="3" type="noConversion"/>
  </si>
  <si>
    <t>押一</t>
  </si>
  <si>
    <t>非个人房产</t>
  </si>
  <si>
    <t>比较因素</t>
  </si>
  <si>
    <t>估价对象</t>
  </si>
  <si>
    <r>
      <t>案例：</t>
    </r>
    <r>
      <rPr>
        <sz val="10.5"/>
        <color rgb="FFE36C0A"/>
        <rFont val="Arial"/>
        <family val="2"/>
      </rPr>
      <t>A</t>
    </r>
  </si>
  <si>
    <r>
      <t>案例：</t>
    </r>
    <r>
      <rPr>
        <sz val="10.5"/>
        <color rgb="FFE36C0A"/>
        <rFont val="Arial"/>
        <family val="2"/>
      </rPr>
      <t>B</t>
    </r>
  </si>
  <si>
    <r>
      <t>案例：</t>
    </r>
    <r>
      <rPr>
        <sz val="10.5"/>
        <color rgb="FFE36C0A"/>
        <rFont val="Arial"/>
        <family val="2"/>
      </rPr>
      <t>C</t>
    </r>
  </si>
  <si>
    <t>用途</t>
  </si>
  <si>
    <t>土地使用年限（年）</t>
  </si>
  <si>
    <t>区域因素</t>
  </si>
  <si>
    <t>个别因素</t>
  </si>
  <si>
    <t>锦峰项目D地块</t>
    <phoneticPr fontId="233" type="noConversion"/>
  </si>
  <si>
    <t>汕头市东海岸新区</t>
    <phoneticPr fontId="233" type="noConversion"/>
  </si>
  <si>
    <t>东海岸新城新津片区E组团</t>
    <phoneticPr fontId="3" type="noConversion"/>
  </si>
  <si>
    <r>
      <rPr>
        <sz val="10.5"/>
        <color rgb="FF000000"/>
        <rFont val="宋体"/>
        <family val="3"/>
        <charset val="134"/>
      </rPr>
      <t>东海岸新城新津片区</t>
    </r>
    <r>
      <rPr>
        <sz val="10.5"/>
        <color rgb="FF000000"/>
        <rFont val="Arial"/>
        <family val="2"/>
      </rPr>
      <t>E</t>
    </r>
    <r>
      <rPr>
        <sz val="10.5"/>
        <color rgb="FF000000"/>
        <rFont val="宋体"/>
        <family val="3"/>
        <charset val="134"/>
      </rPr>
      <t>组团</t>
    </r>
    <phoneticPr fontId="233" type="noConversion"/>
  </si>
  <si>
    <t>汕头市东海岸新城</t>
    <phoneticPr fontId="3" type="noConversion"/>
  </si>
  <si>
    <t>汕头市东海岸新城</t>
    <phoneticPr fontId="233" type="noConversion"/>
  </si>
  <si>
    <t>汕头市东海岸新城新津片区A组团A01-08</t>
    <phoneticPr fontId="3" type="noConversion"/>
  </si>
  <si>
    <t>汕头市东海岸新城新津片区A组团A01-08</t>
    <phoneticPr fontId="233" type="noConversion"/>
  </si>
  <si>
    <r>
      <t>案例：</t>
    </r>
    <r>
      <rPr>
        <sz val="10.5"/>
        <color theme="1"/>
        <rFont val="Arial"/>
        <family val="2"/>
      </rPr>
      <t>A</t>
    </r>
  </si>
  <si>
    <r>
      <t>案例：</t>
    </r>
    <r>
      <rPr>
        <sz val="10.5"/>
        <color theme="1"/>
        <rFont val="Arial"/>
        <family val="2"/>
      </rPr>
      <t>B</t>
    </r>
  </si>
  <si>
    <r>
      <t>案例：</t>
    </r>
    <r>
      <rPr>
        <sz val="10.5"/>
        <color theme="1"/>
        <rFont val="Arial"/>
        <family val="2"/>
      </rPr>
      <t>C</t>
    </r>
  </si>
  <si>
    <t>100/</t>
  </si>
  <si>
    <r>
      <t>成交价格（元</t>
    </r>
    <r>
      <rPr>
        <sz val="10.5"/>
        <color theme="1"/>
        <rFont val="Arial"/>
        <family val="2"/>
      </rPr>
      <t>/</t>
    </r>
    <r>
      <rPr>
        <sz val="10.5"/>
        <color theme="1"/>
        <rFont val="仿宋"/>
        <family val="3"/>
        <charset val="134"/>
      </rPr>
      <t>平方米）</t>
    </r>
  </si>
  <si>
    <r>
      <t>比较价格（元</t>
    </r>
    <r>
      <rPr>
        <sz val="10.5"/>
        <color theme="1"/>
        <rFont val="Arial"/>
        <family val="2"/>
      </rPr>
      <t>/</t>
    </r>
    <r>
      <rPr>
        <sz val="10.5"/>
        <color theme="1"/>
        <rFont val="仿宋"/>
        <family val="3"/>
        <charset val="134"/>
      </rPr>
      <t>平方米）</t>
    </r>
  </si>
  <si>
    <r>
      <t>案例：</t>
    </r>
    <r>
      <rPr>
        <sz val="9"/>
        <color rgb="FF000000"/>
        <rFont val="Arial"/>
        <family val="2"/>
      </rPr>
      <t>A</t>
    </r>
  </si>
  <si>
    <r>
      <t>案例：</t>
    </r>
    <r>
      <rPr>
        <sz val="9"/>
        <color rgb="FF000000"/>
        <rFont val="Arial"/>
        <family val="2"/>
      </rPr>
      <t>B</t>
    </r>
  </si>
  <si>
    <r>
      <t>案例：</t>
    </r>
    <r>
      <rPr>
        <sz val="9"/>
        <color rgb="FF000000"/>
        <rFont val="Arial"/>
        <family val="2"/>
      </rPr>
      <t>C</t>
    </r>
  </si>
  <si>
    <t>系数</t>
  </si>
  <si>
    <t>主力户型面积</t>
    <phoneticPr fontId="233" type="noConversion"/>
  </si>
  <si>
    <t>合群.天合名门</t>
    <phoneticPr fontId="3" type="noConversion"/>
  </si>
  <si>
    <t>合群.天合名门</t>
    <phoneticPr fontId="233" type="noConversion"/>
  </si>
  <si>
    <t>汕头市东海岸大道中段</t>
    <phoneticPr fontId="3" type="noConversion"/>
  </si>
  <si>
    <t>汕头市东海岸大道中段</t>
    <phoneticPr fontId="233" type="noConversion"/>
  </si>
  <si>
    <t>保利.和府</t>
    <phoneticPr fontId="233" type="noConversion"/>
  </si>
  <si>
    <t>汕头市东海岸大道</t>
    <phoneticPr fontId="3" type="noConversion"/>
  </si>
  <si>
    <t>汕头市东海岸大道</t>
    <phoneticPr fontId="233" type="noConversion"/>
  </si>
  <si>
    <t>龙光.御海天辰</t>
    <phoneticPr fontId="233" type="noConversion"/>
  </si>
  <si>
    <r>
      <t>案例：</t>
    </r>
    <r>
      <rPr>
        <sz val="10"/>
        <color theme="1"/>
        <rFont val="Arial"/>
        <family val="2"/>
      </rPr>
      <t>A</t>
    </r>
  </si>
  <si>
    <r>
      <t>案例：</t>
    </r>
    <r>
      <rPr>
        <sz val="10"/>
        <color theme="1"/>
        <rFont val="Arial"/>
        <family val="2"/>
      </rPr>
      <t>B</t>
    </r>
  </si>
  <si>
    <r>
      <t>案例：</t>
    </r>
    <r>
      <rPr>
        <sz val="10"/>
        <color theme="1"/>
        <rFont val="Arial"/>
        <family val="2"/>
      </rPr>
      <t>C</t>
    </r>
  </si>
  <si>
    <r>
      <t>销售价格（元</t>
    </r>
    <r>
      <rPr>
        <sz val="10"/>
        <color theme="1"/>
        <rFont val="Arial"/>
        <family val="2"/>
      </rPr>
      <t>/</t>
    </r>
    <r>
      <rPr>
        <sz val="10"/>
        <color theme="1"/>
        <rFont val="仿宋_GB2312"/>
        <family val="3"/>
        <charset val="134"/>
      </rPr>
      <t>平方米）</t>
    </r>
  </si>
  <si>
    <r>
      <t>比较价值（元</t>
    </r>
    <r>
      <rPr>
        <sz val="10"/>
        <color theme="1"/>
        <rFont val="Arial"/>
        <family val="2"/>
      </rPr>
      <t>/</t>
    </r>
    <r>
      <rPr>
        <sz val="10"/>
        <color theme="1"/>
        <rFont val="仿宋_GB2312"/>
        <family val="3"/>
        <charset val="134"/>
      </rPr>
      <t>平方米）格</t>
    </r>
  </si>
  <si>
    <r>
      <t>楼面单价（元</t>
    </r>
    <r>
      <rPr>
        <sz val="10"/>
        <color theme="1"/>
        <rFont val="Arial"/>
        <family val="2"/>
      </rPr>
      <t>/</t>
    </r>
    <r>
      <rPr>
        <sz val="10"/>
        <color theme="1"/>
        <rFont val="仿宋_GB2312"/>
        <family val="3"/>
        <charset val="134"/>
      </rPr>
      <t>平方米）</t>
    </r>
  </si>
  <si>
    <r>
      <rPr>
        <sz val="10"/>
        <color theme="1"/>
        <rFont val="宋体"/>
        <family val="3"/>
        <charset val="134"/>
      </rPr>
      <t>合群</t>
    </r>
    <r>
      <rPr>
        <sz val="10"/>
        <color theme="1"/>
        <rFont val="Arial"/>
        <family val="2"/>
      </rPr>
      <t>.</t>
    </r>
    <r>
      <rPr>
        <sz val="10"/>
        <color theme="1"/>
        <rFont val="宋体"/>
        <family val="3"/>
        <charset val="134"/>
      </rPr>
      <t>天合名门</t>
    </r>
    <phoneticPr fontId="233" type="noConversion"/>
  </si>
  <si>
    <t>保利.和府</t>
    <phoneticPr fontId="3" type="noConversion"/>
  </si>
  <si>
    <r>
      <rPr>
        <sz val="10"/>
        <color theme="1"/>
        <rFont val="宋体"/>
        <family val="3"/>
        <charset val="134"/>
      </rPr>
      <t>保利</t>
    </r>
    <r>
      <rPr>
        <sz val="10"/>
        <color theme="1"/>
        <rFont val="Arial"/>
        <family val="2"/>
      </rPr>
      <t>.</t>
    </r>
    <r>
      <rPr>
        <sz val="10"/>
        <color theme="1"/>
        <rFont val="宋体"/>
        <family val="3"/>
        <charset val="134"/>
      </rPr>
      <t>和府</t>
    </r>
    <phoneticPr fontId="233" type="noConversion"/>
  </si>
  <si>
    <t>龙光.御海天辰</t>
    <phoneticPr fontId="3" type="noConversion"/>
  </si>
  <si>
    <r>
      <rPr>
        <sz val="10"/>
        <color theme="1"/>
        <rFont val="宋体"/>
        <family val="3"/>
        <charset val="134"/>
      </rPr>
      <t>龙光</t>
    </r>
    <r>
      <rPr>
        <sz val="10"/>
        <color theme="1"/>
        <rFont val="Arial"/>
        <family val="2"/>
      </rPr>
      <t>.</t>
    </r>
    <r>
      <rPr>
        <sz val="10"/>
        <color theme="1"/>
        <rFont val="宋体"/>
        <family val="3"/>
        <charset val="134"/>
      </rPr>
      <t>御海天辰</t>
    </r>
    <phoneticPr fontId="233" type="noConversion"/>
  </si>
  <si>
    <t>龙光.御海尚品</t>
    <phoneticPr fontId="3" type="noConversion"/>
  </si>
  <si>
    <t>可视性</t>
    <phoneticPr fontId="233" type="noConversion"/>
  </si>
  <si>
    <t>龙光.御海尚品</t>
    <phoneticPr fontId="233" type="noConversion"/>
  </si>
  <si>
    <t>汕头市东海岸新城津河路与望洋山路交界处</t>
    <phoneticPr fontId="233" type="noConversion"/>
  </si>
  <si>
    <t>华润.九里</t>
    <phoneticPr fontId="233" type="noConversion"/>
  </si>
  <si>
    <t>汕头市东海岸新城华侨大道</t>
    <phoneticPr fontId="233" type="noConversion"/>
  </si>
  <si>
    <t>君悦海湾</t>
    <phoneticPr fontId="233" type="noConversion"/>
  </si>
  <si>
    <t>汕头市东海岸新城滨海大道与津泰路交界北侧</t>
    <phoneticPr fontId="233" type="noConversion"/>
  </si>
  <si>
    <t>案例：G</t>
    <phoneticPr fontId="233" type="noConversion"/>
  </si>
  <si>
    <t>案例：H</t>
    <phoneticPr fontId="233" type="noConversion"/>
  </si>
  <si>
    <t>案例：I</t>
    <phoneticPr fontId="233" type="noConversion"/>
  </si>
  <si>
    <r>
      <rPr>
        <sz val="10"/>
        <color theme="1"/>
        <rFont val="宋体"/>
        <family val="3"/>
        <charset val="134"/>
      </rPr>
      <t>龙光</t>
    </r>
    <r>
      <rPr>
        <sz val="10"/>
        <color theme="1"/>
        <rFont val="Arial"/>
        <family val="2"/>
      </rPr>
      <t>.</t>
    </r>
    <r>
      <rPr>
        <sz val="10"/>
        <color theme="1"/>
        <rFont val="宋体"/>
        <family val="3"/>
        <charset val="134"/>
      </rPr>
      <t>御海尚品</t>
    </r>
    <phoneticPr fontId="233" type="noConversion"/>
  </si>
  <si>
    <r>
      <rPr>
        <sz val="10"/>
        <color theme="1"/>
        <rFont val="宋体"/>
        <family val="3"/>
        <charset val="134"/>
      </rPr>
      <t>华润</t>
    </r>
    <r>
      <rPr>
        <sz val="10"/>
        <color theme="1"/>
        <rFont val="Arial"/>
        <family val="2"/>
      </rPr>
      <t>.</t>
    </r>
    <r>
      <rPr>
        <sz val="10"/>
        <color theme="1"/>
        <rFont val="宋体"/>
        <family val="3"/>
        <charset val="134"/>
      </rPr>
      <t>九里</t>
    </r>
    <phoneticPr fontId="233" type="noConversion"/>
  </si>
  <si>
    <t>住宅55.5年、商业25.5年</t>
    <phoneticPr fontId="6"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</si>
</sst>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78B43C"/>
      <name val="微软雅黑"/>
      <family val="2"/>
      <charset val="134"/>
    </font>
    <font>
      <sz val="11"/>
      <color rgb="FF313131"/>
      <name val="微软雅黑"/>
      <family val="2"/>
      <charset val="134"/>
    </font>
    <font>
      <sz val="11"/>
      <color theme="1"/>
      <name val="微软雅黑"/>
      <family val="2"/>
      <charset val="134"/>
    </font>
    <font>
      <sz val="10.5"/>
      <color rgb="FF000000"/>
      <name val="仿宋"/>
      <family val="3"/>
      <charset val="134"/>
    </font>
    <font>
      <sz val="10.5"/>
      <color rgb="FF000000"/>
      <name val="Arial"/>
      <family val="2"/>
    </font>
    <font>
      <sz val="10.5"/>
      <color rgb="FFE36C0A"/>
      <name val="仿宋"/>
      <family val="3"/>
      <charset val="134"/>
    </font>
    <font>
      <sz val="10.5"/>
      <color rgb="FFE36C0A"/>
      <name val="Arial"/>
      <family val="2"/>
    </font>
    <font>
      <sz val="10.5"/>
      <color rgb="FF000000"/>
      <name val="宋体"/>
      <family val="3"/>
      <charset val="134"/>
    </font>
    <font>
      <sz val="10.5"/>
      <color theme="1"/>
      <name val="仿宋"/>
      <family val="3"/>
      <charset val="134"/>
    </font>
    <font>
      <sz val="10.5"/>
      <color theme="1"/>
      <name val="Arial"/>
      <family val="2"/>
    </font>
    <font>
      <sz val="9"/>
      <color rgb="FF000000"/>
      <name val="仿宋_GB2312"/>
      <family val="3"/>
      <charset val="134"/>
    </font>
    <font>
      <sz val="9"/>
      <color rgb="FF000000"/>
      <name val="Arial"/>
      <family val="2"/>
    </font>
    <font>
      <sz val="9"/>
      <color rgb="FFE36C0A"/>
      <name val="仿宋_GB2312"/>
      <family val="3"/>
      <charset val="134"/>
    </font>
    <font>
      <sz val="9"/>
      <color rgb="FF00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FFC000"/>
        <bgColor indexed="64"/>
      </patternFill>
    </fill>
  </fills>
  <borders count="18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top/>
      <bottom style="medium">
        <color rgb="FF404040"/>
      </bottom>
      <diagonal/>
    </border>
    <border>
      <left/>
      <right style="medium">
        <color rgb="FF000000"/>
      </right>
      <top style="medium">
        <color indexed="64"/>
      </top>
      <bottom/>
      <diagonal/>
    </border>
    <border>
      <left style="medium">
        <color indexed="64"/>
      </left>
      <right/>
      <top/>
      <bottom style="medium">
        <color rgb="FF000000"/>
      </bottom>
      <diagonal/>
    </border>
    <border>
      <left/>
      <right style="medium">
        <color rgb="FF000000"/>
      </right>
      <top/>
      <bottom style="medium">
        <color rgb="FF000000"/>
      </bottom>
      <diagonal/>
    </border>
    <border>
      <left/>
      <right style="medium">
        <color indexed="64"/>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style="medium">
        <color indexed="64"/>
      </left>
      <right/>
      <top style="medium">
        <color indexed="64"/>
      </top>
      <bottom style="medium">
        <color rgb="FF000000"/>
      </bottom>
      <diagonal/>
    </border>
    <border>
      <left style="medium">
        <color rgb="FF000000"/>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6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8" fillId="2" borderId="20" xfId="0" applyFont="1" applyFill="1" applyBorder="1" applyAlignment="1" applyProtection="1">
      <alignment horizontal="left" vertical="center" wrapText="1"/>
      <protection locked="0"/>
    </xf>
    <xf numFmtId="0" fontId="144" fillId="0" borderId="5"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279" fillId="0" borderId="0" xfId="0" applyFont="1" applyAlignment="1">
      <alignment horizontal="left" vertical="center" wrapText="1"/>
    </xf>
    <xf numFmtId="0" fontId="279" fillId="0" borderId="155" xfId="0" applyFont="1" applyBorder="1" applyAlignment="1">
      <alignment horizontal="right" vertical="center" wrapText="1"/>
    </xf>
    <xf numFmtId="0" fontId="279" fillId="18" borderId="0" xfId="0" applyFont="1" applyFill="1" applyAlignment="1">
      <alignment horizontal="left" vertical="center" wrapText="1"/>
    </xf>
    <xf numFmtId="0" fontId="279" fillId="18" borderId="155" xfId="0" applyFont="1" applyFill="1" applyBorder="1" applyAlignment="1">
      <alignment horizontal="right" vertical="center" wrapText="1"/>
    </xf>
    <xf numFmtId="0" fontId="81" fillId="0" borderId="59"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center" vertical="center" wrapText="1"/>
      <protection locked="0"/>
    </xf>
    <xf numFmtId="0" fontId="84" fillId="19" borderId="50" xfId="0" applyNumberFormat="1" applyFont="1" applyFill="1" applyBorder="1" applyAlignment="1" applyProtection="1">
      <alignment horizontal="center" vertical="center" wrapText="1"/>
      <protection locked="0"/>
    </xf>
    <xf numFmtId="181" fontId="85" fillId="19" borderId="25" xfId="0" applyNumberFormat="1" applyFont="1" applyFill="1" applyBorder="1" applyAlignment="1" applyProtection="1">
      <alignment horizontal="center" vertical="center"/>
      <protection locked="0"/>
    </xf>
    <xf numFmtId="0" fontId="71" fillId="19" borderId="2" xfId="0" applyFont="1" applyFill="1" applyBorder="1" applyAlignment="1" applyProtection="1">
      <alignment horizontal="center" vertical="center"/>
      <protection locked="0"/>
    </xf>
    <xf numFmtId="181" fontId="152" fillId="19" borderId="2" xfId="0" applyNumberFormat="1" applyFont="1" applyFill="1" applyBorder="1" applyAlignment="1" applyProtection="1">
      <alignment horizontal="center" vertical="center"/>
      <protection locked="0"/>
    </xf>
    <xf numFmtId="177" fontId="71" fillId="19" borderId="2" xfId="2" applyNumberFormat="1" applyFont="1" applyFill="1" applyBorder="1" applyAlignment="1" applyProtection="1">
      <alignment horizontal="center" vertical="center"/>
      <protection locked="0"/>
    </xf>
    <xf numFmtId="181" fontId="71" fillId="19" borderId="12" xfId="0" applyNumberFormat="1" applyFont="1" applyFill="1" applyBorder="1" applyAlignment="1" applyProtection="1">
      <alignment vertical="center"/>
      <protection locked="0"/>
    </xf>
    <xf numFmtId="0" fontId="106" fillId="19" borderId="16" xfId="0" applyNumberFormat="1" applyFont="1" applyFill="1" applyBorder="1" applyAlignment="1" applyProtection="1">
      <alignment horizontal="center" vertical="center" wrapText="1"/>
      <protection locked="0"/>
    </xf>
    <xf numFmtId="49" fontId="84" fillId="19" borderId="11" xfId="0" applyNumberFormat="1" applyFont="1" applyFill="1" applyBorder="1" applyAlignment="1" applyProtection="1">
      <alignment horizontal="center" vertical="center" wrapText="1"/>
      <protection locked="0"/>
    </xf>
    <xf numFmtId="0" fontId="71" fillId="19" borderId="64" xfId="0" applyNumberFormat="1" applyFont="1" applyFill="1" applyBorder="1" applyAlignment="1" applyProtection="1">
      <alignment horizontal="center" vertical="center" wrapText="1"/>
      <protection locked="0"/>
    </xf>
    <xf numFmtId="0" fontId="84" fillId="19" borderId="1" xfId="0" applyNumberFormat="1" applyFont="1" applyFill="1" applyBorder="1" applyAlignment="1" applyProtection="1">
      <alignment horizontal="center" vertical="center" wrapText="1"/>
      <protection locked="0"/>
    </xf>
    <xf numFmtId="0" fontId="281" fillId="0" borderId="161" xfId="0" applyFont="1" applyBorder="1" applyAlignment="1">
      <alignment vertical="center" wrapText="1"/>
    </xf>
    <xf numFmtId="14" fontId="281" fillId="0" borderId="161" xfId="0" applyNumberFormat="1" applyFont="1" applyBorder="1" applyAlignment="1">
      <alignment vertical="center" wrapText="1"/>
    </xf>
    <xf numFmtId="49" fontId="281" fillId="0" borderId="161" xfId="0" applyNumberFormat="1" applyFont="1" applyBorder="1" applyAlignment="1">
      <alignment vertical="center" wrapText="1"/>
    </xf>
    <xf numFmtId="9" fontId="281" fillId="0" borderId="161" xfId="0" applyNumberFormat="1" applyFont="1" applyBorder="1" applyAlignment="1">
      <alignment vertical="center" wrapText="1"/>
    </xf>
    <xf numFmtId="0" fontId="281" fillId="0" borderId="161" xfId="0" applyNumberFormat="1" applyFont="1" applyBorder="1" applyAlignment="1">
      <alignment vertical="center" wrapText="1"/>
    </xf>
    <xf numFmtId="0" fontId="286" fillId="0" borderId="166" xfId="0" applyFont="1" applyBorder="1" applyAlignment="1">
      <alignment vertical="center" wrapText="1"/>
    </xf>
    <xf numFmtId="0" fontId="283" fillId="0" borderId="161" xfId="0" applyFont="1" applyBorder="1" applyAlignment="1">
      <alignment vertical="center" wrapText="1"/>
    </xf>
    <xf numFmtId="0" fontId="281" fillId="0" borderId="161" xfId="0" applyFont="1" applyBorder="1" applyAlignment="1"/>
    <xf numFmtId="0" fontId="289" fillId="0" borderId="66" xfId="0" applyFont="1" applyBorder="1" applyAlignment="1">
      <alignment horizontal="center" vertical="center" wrapText="1"/>
    </xf>
    <xf numFmtId="0" fontId="288" fillId="0" borderId="66" xfId="0" applyFont="1" applyBorder="1" applyAlignment="1">
      <alignment horizontal="center" vertical="center" wrapText="1"/>
    </xf>
    <xf numFmtId="0" fontId="287" fillId="0" borderId="66" xfId="0" applyFont="1" applyBorder="1" applyAlignment="1">
      <alignment horizontal="center" vertical="center" wrapText="1"/>
    </xf>
    <xf numFmtId="0" fontId="288" fillId="0" borderId="66" xfId="0" applyFont="1" applyBorder="1" applyAlignment="1">
      <alignment horizontal="center" vertical="center"/>
    </xf>
    <xf numFmtId="0" fontId="288" fillId="0" borderId="66" xfId="0" applyFont="1" applyBorder="1">
      <alignment vertical="center"/>
    </xf>
    <xf numFmtId="0" fontId="288" fillId="0" borderId="66" xfId="0" applyNumberFormat="1" applyFont="1" applyBorder="1" applyAlignment="1">
      <alignment horizontal="center" vertical="center" wrapText="1"/>
    </xf>
    <xf numFmtId="188" fontId="288" fillId="0" borderId="66" xfId="0" applyNumberFormat="1" applyFont="1" applyBorder="1" applyAlignment="1">
      <alignment horizontal="center" vertical="center" wrapText="1"/>
    </xf>
    <xf numFmtId="0" fontId="290" fillId="0" borderId="66" xfId="0" applyFont="1" applyBorder="1">
      <alignment vertical="center"/>
    </xf>
    <xf numFmtId="49" fontId="288" fillId="0" borderId="66" xfId="0" applyNumberFormat="1" applyFont="1" applyBorder="1" applyAlignment="1">
      <alignment horizontal="center" vertical="center" wrapText="1"/>
    </xf>
    <xf numFmtId="49" fontId="287" fillId="0" borderId="66" xfId="0" applyNumberFormat="1" applyFont="1" applyBorder="1" applyAlignment="1">
      <alignment horizontal="center" vertical="center" wrapText="1"/>
    </xf>
    <xf numFmtId="0" fontId="152" fillId="0" borderId="61" xfId="0" applyFont="1" applyBorder="1" applyAlignment="1">
      <alignment vertical="center" wrapText="1"/>
    </xf>
    <xf numFmtId="0" fontId="152" fillId="0" borderId="66" xfId="0" applyFont="1" applyBorder="1" applyAlignment="1">
      <alignment vertical="top" wrapText="1"/>
    </xf>
    <xf numFmtId="0" fontId="152" fillId="0" borderId="66" xfId="0" applyFont="1" applyBorder="1" applyAlignment="1"/>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65" fillId="0" borderId="36" xfId="0" applyFont="1" applyBorder="1" applyAlignment="1">
      <alignment vertical="center" wrapText="1"/>
    </xf>
    <xf numFmtId="0" fontId="165" fillId="0" borderId="38" xfId="0" applyFont="1" applyBorder="1" applyAlignment="1">
      <alignment vertical="center" wrapText="1"/>
    </xf>
    <xf numFmtId="0" fontId="152" fillId="0" borderId="36" xfId="0" applyFont="1" applyBorder="1" applyAlignment="1">
      <alignment vertical="top" wrapText="1"/>
    </xf>
    <xf numFmtId="0" fontId="152" fillId="0" borderId="37" xfId="0" applyFont="1" applyBorder="1" applyAlignment="1">
      <alignment vertical="top" wrapText="1"/>
    </xf>
    <xf numFmtId="0" fontId="152" fillId="0" borderId="38" xfId="0" applyFont="1" applyBorder="1" applyAlignment="1">
      <alignment vertical="top" wrapText="1"/>
    </xf>
    <xf numFmtId="0" fontId="165" fillId="0" borderId="35" xfId="0" applyFont="1" applyBorder="1" applyAlignment="1">
      <alignment vertical="center" wrapText="1"/>
    </xf>
    <xf numFmtId="0" fontId="165" fillId="0" borderId="79" xfId="0" applyFont="1" applyBorder="1" applyAlignment="1">
      <alignment vertical="center" wrapText="1"/>
    </xf>
    <xf numFmtId="0" fontId="165" fillId="0" borderId="178" xfId="0" applyFont="1" applyBorder="1" applyAlignment="1">
      <alignment vertical="center" wrapText="1"/>
    </xf>
    <xf numFmtId="0" fontId="165" fillId="0" borderId="179" xfId="0" applyFont="1" applyBorder="1" applyAlignment="1">
      <alignment vertical="center" wrapText="1"/>
    </xf>
    <xf numFmtId="0" fontId="165" fillId="0" borderId="80" xfId="0" applyFont="1" applyBorder="1" applyAlignment="1">
      <alignment vertical="center" wrapText="1"/>
    </xf>
    <xf numFmtId="0" fontId="165" fillId="0" borderId="176" xfId="0" applyFont="1" applyBorder="1" applyAlignment="1"/>
    <xf numFmtId="0" fontId="165" fillId="0" borderId="175" xfId="0" applyFont="1" applyBorder="1" applyAlignment="1"/>
    <xf numFmtId="0" fontId="165" fillId="0" borderId="26" xfId="0" applyFont="1" applyBorder="1">
      <alignment vertical="center"/>
    </xf>
    <xf numFmtId="0" fontId="165" fillId="0" borderId="167" xfId="0" applyFont="1" applyBorder="1">
      <alignment vertical="center"/>
    </xf>
    <xf numFmtId="0" fontId="165" fillId="0" borderId="168" xfId="0" applyFont="1" applyBorder="1">
      <alignment vertical="center"/>
    </xf>
    <xf numFmtId="0" fontId="165" fillId="0" borderId="169" xfId="0" applyFont="1" applyBorder="1">
      <alignment vertical="center"/>
    </xf>
    <xf numFmtId="0" fontId="287" fillId="0" borderId="36" xfId="0" applyFont="1" applyBorder="1" applyAlignment="1">
      <alignment horizontal="center" vertical="center" wrapText="1"/>
    </xf>
    <xf numFmtId="0" fontId="287" fillId="0" borderId="38" xfId="0" applyFont="1" applyBorder="1" applyAlignment="1">
      <alignment horizontal="center" vertical="center" wrapText="1"/>
    </xf>
    <xf numFmtId="0" fontId="152" fillId="0" borderId="174" xfId="0" applyFont="1" applyBorder="1" applyAlignment="1">
      <alignment vertical="top" wrapText="1"/>
    </xf>
    <xf numFmtId="0" fontId="152" fillId="0" borderId="175" xfId="0" applyFont="1" applyBorder="1" applyAlignment="1">
      <alignment vertical="top" wrapText="1"/>
    </xf>
    <xf numFmtId="0" fontId="152" fillId="0" borderId="176" xfId="0" applyFont="1" applyBorder="1" applyAlignment="1">
      <alignment vertical="top" wrapText="1"/>
    </xf>
    <xf numFmtId="0" fontId="201" fillId="0" borderId="176" xfId="0" applyFont="1" applyBorder="1" applyAlignment="1">
      <alignment vertical="top" wrapText="1"/>
    </xf>
    <xf numFmtId="0" fontId="152" fillId="0" borderId="177" xfId="0" applyFont="1" applyBorder="1" applyAlignment="1">
      <alignment vertical="top" wrapText="1"/>
    </xf>
    <xf numFmtId="0" fontId="287" fillId="0" borderId="35" xfId="0" applyFont="1" applyBorder="1" applyAlignment="1">
      <alignment horizontal="center" vertical="center" wrapText="1"/>
    </xf>
    <xf numFmtId="0" fontId="287" fillId="0" borderId="79" xfId="0" applyFont="1" applyBorder="1" applyAlignment="1">
      <alignment horizontal="center" vertical="center" wrapText="1"/>
    </xf>
    <xf numFmtId="0" fontId="287" fillId="0" borderId="35" xfId="0" applyFont="1" applyBorder="1" applyAlignment="1">
      <alignment vertical="center" wrapText="1"/>
    </xf>
    <xf numFmtId="0" fontId="287" fillId="0" borderId="79" xfId="0" applyFont="1" applyBorder="1" applyAlignment="1">
      <alignment vertical="center" wrapText="1"/>
    </xf>
    <xf numFmtId="0" fontId="287" fillId="0" borderId="80" xfId="0" applyFont="1" applyBorder="1" applyAlignment="1">
      <alignment vertical="center" wrapText="1"/>
    </xf>
    <xf numFmtId="0" fontId="287" fillId="0" borderId="36" xfId="0" applyFont="1" applyBorder="1" applyAlignment="1">
      <alignment horizontal="center" vertical="center"/>
    </xf>
    <xf numFmtId="0" fontId="287" fillId="0" borderId="38" xfId="0" applyFont="1" applyBorder="1" applyAlignment="1">
      <alignment horizontal="center" vertical="center"/>
    </xf>
    <xf numFmtId="0" fontId="287" fillId="0" borderId="26" xfId="0" applyFont="1" applyBorder="1" applyAlignment="1">
      <alignment horizontal="center" vertical="center"/>
    </xf>
    <xf numFmtId="0" fontId="287" fillId="0" borderId="39" xfId="0" applyFont="1" applyBorder="1" applyAlignment="1">
      <alignment horizontal="center" vertical="center"/>
    </xf>
    <xf numFmtId="0" fontId="287" fillId="0" borderId="31" xfId="0" applyFont="1" applyBorder="1" applyAlignment="1">
      <alignment horizontal="center" vertical="center"/>
    </xf>
    <xf numFmtId="0" fontId="287" fillId="0" borderId="65" xfId="0" applyFont="1" applyBorder="1" applyAlignment="1">
      <alignment horizontal="center" vertical="center"/>
    </xf>
    <xf numFmtId="0" fontId="287" fillId="0" borderId="54" xfId="0" applyFont="1" applyBorder="1" applyAlignment="1">
      <alignment horizontal="center" vertical="center"/>
    </xf>
    <xf numFmtId="0" fontId="287" fillId="0" borderId="66" xfId="0" applyFont="1" applyBorder="1" applyAlignment="1">
      <alignment horizontal="center" vertical="center"/>
    </xf>
    <xf numFmtId="0" fontId="289" fillId="0" borderId="35" xfId="0" applyFont="1" applyBorder="1" applyAlignment="1">
      <alignment horizontal="center" vertical="center" wrapText="1"/>
    </xf>
    <xf numFmtId="0" fontId="289" fillId="0" borderId="80" xfId="0" applyFont="1" applyBorder="1" applyAlignment="1">
      <alignment horizontal="center" vertical="center" wrapText="1"/>
    </xf>
    <xf numFmtId="0" fontId="165" fillId="0" borderId="79" xfId="0" applyFont="1" applyBorder="1" applyAlignment="1">
      <alignment horizontal="center" vertical="center" wrapText="1"/>
    </xf>
    <xf numFmtId="0" fontId="165" fillId="0" borderId="80" xfId="0" applyFont="1" applyBorder="1" applyAlignment="1">
      <alignment horizontal="center" vertical="center" wrapText="1"/>
    </xf>
    <xf numFmtId="0" fontId="165" fillId="0" borderId="35" xfId="0" applyFont="1" applyBorder="1" applyAlignment="1">
      <alignment horizontal="center" vertical="center" wrapText="1"/>
    </xf>
    <xf numFmtId="0" fontId="165" fillId="0" borderId="173" xfId="0" applyFont="1" applyBorder="1" applyAlignment="1">
      <alignment vertical="top" wrapText="1"/>
    </xf>
    <xf numFmtId="0" fontId="165" fillId="0" borderId="171" xfId="0" applyFont="1" applyBorder="1" applyAlignment="1">
      <alignment vertical="top" wrapText="1"/>
    </xf>
    <xf numFmtId="0" fontId="165" fillId="0" borderId="172" xfId="0" applyFont="1" applyBorder="1" applyAlignment="1">
      <alignment vertical="top" wrapText="1"/>
    </xf>
    <xf numFmtId="0" fontId="165" fillId="0" borderId="170" xfId="0" applyFont="1" applyBorder="1" applyAlignment="1">
      <alignment vertical="top" wrapText="1"/>
    </xf>
    <xf numFmtId="0" fontId="286" fillId="0" borderId="164" xfId="0" applyFont="1" applyBorder="1">
      <alignment vertical="center"/>
    </xf>
    <xf numFmtId="0" fontId="286" fillId="0" borderId="162" xfId="0" applyFont="1" applyBorder="1">
      <alignment vertical="center"/>
    </xf>
    <xf numFmtId="0" fontId="285" fillId="0" borderId="164" xfId="0" applyFont="1" applyBorder="1" applyAlignment="1"/>
    <xf numFmtId="0" fontId="285" fillId="0" borderId="162" xfId="0" applyFont="1" applyBorder="1" applyAlignment="1"/>
    <xf numFmtId="0" fontId="285" fillId="0" borderId="156" xfId="0" applyFont="1" applyBorder="1" applyAlignment="1"/>
    <xf numFmtId="0" fontId="285" fillId="0" borderId="35" xfId="0" applyFont="1" applyBorder="1" applyAlignment="1">
      <alignment horizontal="center" vertical="center" wrapText="1"/>
    </xf>
    <xf numFmtId="0" fontId="285" fillId="0" borderId="79" xfId="0" applyFont="1" applyBorder="1" applyAlignment="1">
      <alignment horizontal="center" vertical="center" wrapText="1"/>
    </xf>
    <xf numFmtId="0" fontId="285" fillId="0" borderId="80" xfId="0" applyFont="1" applyBorder="1" applyAlignment="1">
      <alignment horizontal="center" vertical="center" wrapText="1"/>
    </xf>
    <xf numFmtId="0" fontId="285" fillId="0" borderId="164" xfId="0" applyFont="1" applyBorder="1" applyAlignment="1">
      <alignment vertical="center" wrapText="1"/>
    </xf>
    <xf numFmtId="0" fontId="285" fillId="0" borderId="162" xfId="0" applyFont="1" applyBorder="1" applyAlignment="1">
      <alignment vertical="center" wrapText="1"/>
    </xf>
    <xf numFmtId="0" fontId="285" fillId="0" borderId="163" xfId="0" applyFont="1" applyBorder="1" applyAlignment="1">
      <alignment horizontal="center" vertical="center" wrapText="1"/>
    </xf>
    <xf numFmtId="0" fontId="285" fillId="0" borderId="164" xfId="0" applyFont="1" applyBorder="1">
      <alignment vertical="center"/>
    </xf>
    <xf numFmtId="0" fontId="285" fillId="0" borderId="162" xfId="0" applyFont="1" applyBorder="1">
      <alignment vertical="center"/>
    </xf>
    <xf numFmtId="0" fontId="285" fillId="0" borderId="164" xfId="0" applyFont="1" applyBorder="1" applyAlignment="1">
      <alignment vertical="top" wrapText="1"/>
    </xf>
    <xf numFmtId="0" fontId="285" fillId="0" borderId="162" xfId="0" applyFont="1" applyBorder="1" applyAlignment="1">
      <alignment vertical="top" wrapText="1"/>
    </xf>
    <xf numFmtId="0" fontId="280" fillId="0" borderId="164" xfId="0" applyFont="1" applyBorder="1">
      <alignment vertical="center"/>
    </xf>
    <xf numFmtId="0" fontId="280" fillId="0" borderId="162" xfId="0" applyFont="1" applyBorder="1">
      <alignment vertical="center"/>
    </xf>
    <xf numFmtId="0" fontId="196" fillId="0" borderId="165" xfId="0" applyFont="1" applyBorder="1">
      <alignment vertical="center"/>
    </xf>
    <xf numFmtId="0" fontId="196" fillId="0" borderId="163" xfId="0" applyFont="1" applyBorder="1">
      <alignment vertical="center"/>
    </xf>
    <xf numFmtId="0" fontId="196" fillId="0" borderId="35" xfId="0" applyFont="1" applyBorder="1">
      <alignment vertical="center"/>
    </xf>
    <xf numFmtId="0" fontId="196" fillId="0" borderId="79" xfId="0" applyFont="1" applyBorder="1">
      <alignment vertical="center"/>
    </xf>
    <xf numFmtId="0" fontId="196" fillId="0" borderId="80" xfId="0" applyFont="1" applyBorder="1">
      <alignment vertical="center"/>
    </xf>
    <xf numFmtId="0" fontId="282" fillId="0" borderId="164" xfId="0" applyFont="1" applyBorder="1" applyAlignment="1">
      <alignment horizontal="center" vertical="top" wrapText="1"/>
    </xf>
    <xf numFmtId="0" fontId="282" fillId="0" borderId="162" xfId="0" applyFont="1" applyBorder="1" applyAlignment="1">
      <alignment horizontal="center" vertical="top" wrapText="1"/>
    </xf>
    <xf numFmtId="0" fontId="282" fillId="0" borderId="164" xfId="0" applyFont="1" applyBorder="1" applyAlignment="1">
      <alignment vertical="center" wrapText="1"/>
    </xf>
    <xf numFmtId="0" fontId="282" fillId="0" borderId="162" xfId="0" applyFont="1" applyBorder="1" applyAlignment="1">
      <alignment vertical="center" wrapText="1"/>
    </xf>
    <xf numFmtId="0" fontId="281" fillId="0" borderId="164" xfId="0" applyFont="1" applyBorder="1" applyAlignment="1">
      <alignment horizontal="center" vertical="center" wrapText="1"/>
    </xf>
    <xf numFmtId="0" fontId="281" fillId="0" borderId="162" xfId="0" applyFont="1" applyBorder="1" applyAlignment="1">
      <alignment horizontal="center" vertical="center" wrapText="1"/>
    </xf>
    <xf numFmtId="0" fontId="284" fillId="0" borderId="164" xfId="0" applyFont="1" applyBorder="1" applyAlignment="1">
      <alignment horizontal="center" vertical="center" wrapText="1"/>
    </xf>
    <xf numFmtId="0" fontId="277" fillId="0" borderId="0" xfId="0" applyFont="1" applyAlignment="1">
      <alignment horizontal="center" vertical="center" wrapText="1"/>
    </xf>
    <xf numFmtId="0" fontId="280" fillId="0" borderId="156" xfId="0" applyFont="1" applyBorder="1">
      <alignment vertical="center"/>
    </xf>
    <xf numFmtId="0" fontId="280" fillId="0" borderId="157" xfId="0" applyFont="1" applyBorder="1">
      <alignment vertical="center"/>
    </xf>
    <xf numFmtId="0" fontId="280" fillId="0" borderId="158" xfId="0" applyFont="1" applyBorder="1">
      <alignment vertical="center"/>
    </xf>
    <xf numFmtId="0" fontId="280" fillId="0" borderId="159" xfId="0" applyFont="1" applyBorder="1">
      <alignment vertical="center"/>
    </xf>
    <xf numFmtId="0" fontId="280" fillId="0" borderId="160" xfId="0" applyFont="1" applyBorder="1">
      <alignment vertical="center"/>
    </xf>
    <xf numFmtId="0" fontId="280" fillId="0" borderId="161" xfId="0" applyFont="1" applyBorder="1">
      <alignment vertical="center"/>
    </xf>
    <xf numFmtId="0" fontId="280" fillId="0" borderId="164" xfId="0" applyFont="1" applyBorder="1" applyAlignment="1">
      <alignment vertical="center" wrapText="1"/>
    </xf>
    <xf numFmtId="0" fontId="280" fillId="0" borderId="162" xfId="0" applyFont="1" applyBorder="1" applyAlignment="1">
      <alignmen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5">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2656</v>
      </c>
      <c r="B1" s="2915" t="s">
        <v>2753</v>
      </c>
    </row>
    <row r="2" spans="1:55" s="2919" customFormat="1" ht="15" thickTop="1">
      <c r="A2" s="2917" t="s">
        <v>2660</v>
      </c>
      <c r="B2" s="2918" t="str">
        <f>'预评函-封皮'!B37</f>
        <v>广东省汕头市龙湖区海湾公园片区（335-00-02-096）出让国有建设用地使用权市场价格预评估</v>
      </c>
      <c r="AX2" s="2920"/>
      <c r="AZ2" s="2920"/>
      <c r="BA2" s="2921"/>
      <c r="BC2" s="2921"/>
    </row>
    <row r="3" spans="1:55" s="2922" customFormat="1">
      <c r="A3" s="2901" t="s">
        <v>2661</v>
      </c>
      <c r="B3" s="2904" t="str">
        <f>'预评函-封皮'!B40</f>
        <v>广东锦峰地产投资有限公司</v>
      </c>
    </row>
    <row r="4" spans="1:55" s="2903" customFormat="1">
      <c r="A4" s="2901" t="s">
        <v>2662</v>
      </c>
      <c r="B4" s="2902" t="str">
        <f>'预评函-封皮'!B46</f>
        <v>梁津、王鹏</v>
      </c>
      <c r="N4" s="2903" t="str">
        <f>'预评函-1'!A28</f>
        <v>——</v>
      </c>
    </row>
    <row r="5" spans="1:55" s="2916" customFormat="1" ht="15" thickBot="1">
      <c r="A5" s="2923" t="s">
        <v>2663</v>
      </c>
      <c r="B5" s="2924" t="str">
        <f>'预评函-封皮'!B49</f>
        <v>康正预评字号</v>
      </c>
    </row>
    <row r="6" spans="1:55" s="2925" customFormat="1" ht="15" thickTop="1">
      <c r="A6" s="2917" t="s">
        <v>2705</v>
      </c>
      <c r="B6" s="2918" t="str">
        <f>'预评函-1'!A4</f>
        <v>受贵公司委托，我公司对广东省汕头市龙湖区海湾公园片区（335-00-02-096）出让国有建设用地使用权市场价格进行了预评估。</v>
      </c>
      <c r="AM6" s="2926"/>
    </row>
    <row r="7" spans="1:55" s="2900" customFormat="1">
      <c r="A7" s="2901" t="s">
        <v>2657</v>
      </c>
      <c r="B7" s="2902" t="str">
        <f>'预评函-1'!A6</f>
        <v>估价对象为使用的、位于广东省汕头市龙湖区海湾公园片区（335-00-02-096）出让国有建设用地使用权。根据《国有土地使用证》[汕国用（2013）第10700250]，估价对象（分摊）出让国有建设用地使用权面积为15168.4平方米。根据《建设工程规划许可证》[[2014]汕规建字第015号]，估价对象规划建筑面积为67516.63平方米。</v>
      </c>
    </row>
    <row r="8" spans="1:55" s="2900" customFormat="1">
      <c r="A8" s="2901" t="s">
        <v>2658</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2708</v>
      </c>
      <c r="B9" s="2902" t="str">
        <f>'预评函-1'!A9</f>
        <v>本次评估为委托估价方了解标的物之市场价格提供参考依据而评估出让国有建设用地使用权市场价格。</v>
      </c>
    </row>
    <row r="10" spans="1:55" s="2900" customFormat="1">
      <c r="A10" s="2901" t="s">
        <v>2659</v>
      </c>
      <c r="B10" s="2902" t="str">
        <f>'预评函-1'!A11</f>
        <v>2018年5月24日（评估专业人员勘察现场之日）</v>
      </c>
    </row>
    <row r="11" spans="1:55" s="2900" customFormat="1">
      <c r="A11" s="2901" t="s">
        <v>2665</v>
      </c>
      <c r="B11" s="2902" t="str">
        <f>'预评函-1'!A14</f>
        <v>根据《国有土地使用证》[汕国用（2013）第10700250]，本次评估估价对象证载（地类）用途为住宅。</v>
      </c>
    </row>
    <row r="12" spans="1:55" s="2900" customFormat="1">
      <c r="A12" s="2901" t="s">
        <v>2666</v>
      </c>
      <c r="B12" s="2902" t="str">
        <f>'预评函-1'!A15</f>
        <v>本次评估设定用途即为证载用途住宅、商业、地下车库。</v>
      </c>
    </row>
    <row r="13" spans="1:55" s="2900" customFormat="1">
      <c r="A13" s="2901" t="s">
        <v>2667</v>
      </c>
      <c r="B13" s="2902" t="str">
        <f>'预评函-1'!A17</f>
        <v>根据委托估价方介绍及评估专业人员现场勘查，本次评估估价对象实际土地开发程度为红线外市政基础设施达“七通”（即通路、通电、通讯、通上水、通下水、燃气、）、宗地红线内场地平整。</v>
      </c>
    </row>
    <row r="14" spans="1:55" s="2900" customFormat="1">
      <c r="A14" s="2901" t="s">
        <v>2668</v>
      </c>
      <c r="B14" s="2902" t="str">
        <f>'预评函-1'!A18</f>
        <v>本次评估设定土地开发程度为红线外市政基础设施达“七通”、宗地红线内场地平整。</v>
      </c>
    </row>
    <row r="15" spans="1:55" s="2900" customFormat="1">
      <c r="A15" s="2901" t="s">
        <v>2664</v>
      </c>
      <c r="B15" s="2902" t="str">
        <f>'预评函-1'!A20</f>
        <v>根据《国有土地使用证》[汕国用（2013）第10700250]，估价对象（分摊）出让国有建设用地使用权面积为15168.4平方米。根据《建设工程规划许可证》[[2014]汕规建字第015号]，估价对象规划建筑面积为67516.63平方米。</v>
      </c>
    </row>
    <row r="16" spans="1:55" s="2900" customFormat="1">
      <c r="A16" s="2901" t="s">
        <v>2669</v>
      </c>
      <c r="B16" s="2902" t="str">
        <f>'预评函-1'!A22</f>
        <v>本次估价对象为出让国有建设用地使用权，《国有土地使用证》[汕国用（2013）第10700250]证载土地终止日期为住宅2073年11月30日、商业2043年11月30日地下车库2053年11月30日。截至估价期日，出让国有建设用地使用权剩余土地使用年限为住宅55.5年、商业25.5年。</v>
      </c>
    </row>
    <row r="17" spans="1:48" s="2900" customFormat="1">
      <c r="A17" s="2901" t="s">
        <v>2670</v>
      </c>
      <c r="B17" s="2902" t="str">
        <f>'预评函-1'!A23</f>
        <v>本次评估设定估价对象剩余土地使用年限为住宅55.5年、商业25.5年。</v>
      </c>
    </row>
    <row r="18" spans="1:48" s="2900" customFormat="1">
      <c r="A18" s="2901" t="s">
        <v>2671</v>
      </c>
      <c r="B18" s="2902" t="str">
        <f>'预评函-1'!A25</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商业、地下车库，剩余土地使用年限为住宅55.5年、商业25.5年的出让国有建设用地使用权价格。</v>
      </c>
    </row>
    <row r="19" spans="1:48" s="2900" customFormat="1">
      <c r="A19" s="2901" t="s">
        <v>2672</v>
      </c>
      <c r="B19" s="2902" t="str">
        <f>'预评函-1'!A26</f>
        <v>——</v>
      </c>
    </row>
    <row r="20" spans="1:48" s="2900" customFormat="1">
      <c r="A20" s="2901" t="s">
        <v>2673</v>
      </c>
      <c r="B20" s="2902" t="str">
        <f>'预评函-1'!A27</f>
        <v>——</v>
      </c>
    </row>
    <row r="21" spans="1:48" s="2916" customFormat="1" ht="15" thickBot="1">
      <c r="A21" s="2923" t="s">
        <v>2674</v>
      </c>
      <c r="B21" s="2924" t="str">
        <f>'预评函-1'!A28</f>
        <v>——</v>
      </c>
    </row>
    <row r="22" spans="1:48" ht="15" thickTop="1">
      <c r="A22" s="2912" t="s">
        <v>2675</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2676</v>
      </c>
      <c r="B23" s="2902" t="str">
        <f>'预评函-2'!K2</f>
        <v>估价期日：2018年5月24日</v>
      </c>
    </row>
    <row r="24" spans="1:48">
      <c r="A24" s="2901" t="s">
        <v>2677</v>
      </c>
      <c r="B24" s="2902" t="str">
        <f>'预评函-2'!R2</f>
        <v>估价期日的国有建设用地使用权性质：出让</v>
      </c>
    </row>
    <row r="25" spans="1:48">
      <c r="A25" s="2901" t="s">
        <v>2733</v>
      </c>
      <c r="B25" s="2902" t="str">
        <f>'预评函-2'!A3</f>
        <v>估价期日土地使用者</v>
      </c>
    </row>
    <row r="26" spans="1:48">
      <c r="A26" s="2901" t="s">
        <v>2709</v>
      </c>
      <c r="B26" s="2902" t="str">
        <f>'预评函-2'!A5</f>
        <v>中信开发</v>
      </c>
    </row>
    <row r="27" spans="1:48">
      <c r="A27" s="2901" t="s">
        <v>2734</v>
      </c>
      <c r="B27" s="2902" t="str">
        <f>'预评函-2'!B3</f>
        <v>宗地编号/不动产单元号</v>
      </c>
    </row>
    <row r="28" spans="1:48">
      <c r="A28" s="2901" t="s">
        <v>2710</v>
      </c>
      <c r="B28" s="2902" t="str">
        <f>'预评函-2'!B5</f>
        <v>11111111111</v>
      </c>
    </row>
    <row r="29" spans="1:48">
      <c r="A29" s="2901" t="s">
        <v>2736</v>
      </c>
      <c r="B29" s="2902">
        <f>'预评函-2'!C5</f>
        <v>22</v>
      </c>
    </row>
    <row r="30" spans="1:48">
      <c r="A30" s="2901" t="s">
        <v>2737</v>
      </c>
      <c r="B30" s="2902" t="str">
        <f>'预评函-2'!D3</f>
        <v>土地使用证编号/不动产权证书编号</v>
      </c>
    </row>
    <row r="31" spans="1:48">
      <c r="A31" s="2901" t="s">
        <v>2711</v>
      </c>
      <c r="B31" s="2902" t="str">
        <f>'预评函-2'!D5</f>
        <v>京国土字第111号</v>
      </c>
    </row>
    <row r="32" spans="1:48">
      <c r="A32" s="2901" t="s">
        <v>2712</v>
      </c>
      <c r="B32" s="2902" t="str">
        <f>'预评函-2'!E5</f>
        <v>住宅</v>
      </c>
      <c r="AV32" s="2906"/>
    </row>
    <row r="33" spans="1:2">
      <c r="A33" s="2901" t="s">
        <v>2713</v>
      </c>
      <c r="B33" s="2902">
        <f>'预评函-2'!F5</f>
        <v>258</v>
      </c>
    </row>
    <row r="34" spans="1:2">
      <c r="A34" s="2901" t="s">
        <v>2714</v>
      </c>
      <c r="B34" s="2902" t="str">
        <f>'预评函-2'!G5</f>
        <v>住宅、商业、地下车库</v>
      </c>
    </row>
    <row r="35" spans="1:2">
      <c r="A35" s="2901" t="s">
        <v>2715</v>
      </c>
      <c r="B35" s="2902">
        <f>'预评函-2'!H5</f>
        <v>1.5</v>
      </c>
    </row>
    <row r="36" spans="1:2">
      <c r="A36" s="2901" t="s">
        <v>2716</v>
      </c>
      <c r="B36" s="2902">
        <f>'预评函-2'!I5</f>
        <v>1.5</v>
      </c>
    </row>
    <row r="37" spans="1:2">
      <c r="A37" s="2901" t="s">
        <v>2717</v>
      </c>
      <c r="B37" s="2902">
        <f>'预评函-2'!J5</f>
        <v>1.5</v>
      </c>
    </row>
    <row r="38" spans="1:2">
      <c r="A38" s="2901" t="s">
        <v>2718</v>
      </c>
      <c r="B38" s="2902" t="str">
        <f>'预评函-2'!K5</f>
        <v>红线外七通、宗地红线内场地平整</v>
      </c>
    </row>
    <row r="39" spans="1:2">
      <c r="A39" s="2901" t="s">
        <v>2719</v>
      </c>
      <c r="B39" s="2902" t="str">
        <f>'预评函-2'!L5</f>
        <v>红线外七通、宗地红线内场地平整</v>
      </c>
    </row>
    <row r="40" spans="1:2">
      <c r="A40" s="2901" t="s">
        <v>2738</v>
      </c>
      <c r="B40" s="2902" t="str">
        <f>'预评函-2'!M3</f>
        <v>（剩余）土地使用年限/年</v>
      </c>
    </row>
    <row r="41" spans="1:2">
      <c r="A41" s="2901" t="s">
        <v>2720</v>
      </c>
      <c r="B41" s="2902" t="str">
        <f>'预评函-2'!M5</f>
        <v>住宅55.5年、商业25.5年</v>
      </c>
    </row>
    <row r="42" spans="1:2">
      <c r="A42" s="2901" t="s">
        <v>2739</v>
      </c>
      <c r="B42" s="2902" t="str">
        <f>'预评函-2'!N3</f>
        <v>（分摊）出让国有建设用地使用权面积/㎡</v>
      </c>
    </row>
    <row r="43" spans="1:2">
      <c r="A43" s="2901" t="s">
        <v>2721</v>
      </c>
      <c r="B43" s="2902">
        <f>'预评函-2'!N5</f>
        <v>15168.4</v>
      </c>
    </row>
    <row r="44" spans="1:2">
      <c r="A44" s="2901" t="s">
        <v>2740</v>
      </c>
      <c r="B44" s="2902" t="str">
        <f>'预评函-2'!O3</f>
        <v>规划建筑面积/㎡</v>
      </c>
    </row>
    <row r="45" spans="1:2">
      <c r="A45" s="2901" t="s">
        <v>2722</v>
      </c>
      <c r="B45" s="2902">
        <f>'预评函-2'!O5</f>
        <v>67516.63</v>
      </c>
    </row>
    <row r="46" spans="1:2">
      <c r="A46" s="2901" t="s">
        <v>2723</v>
      </c>
      <c r="B46" s="2902">
        <f ca="1">'预评函-2'!P5</f>
        <v>42960</v>
      </c>
    </row>
    <row r="47" spans="1:2">
      <c r="A47" s="2901" t="s">
        <v>2724</v>
      </c>
      <c r="B47" s="2902">
        <f ca="1">'预评函-2'!Q5</f>
        <v>9652</v>
      </c>
    </row>
    <row r="48" spans="1:2">
      <c r="A48" s="2901" t="s">
        <v>2725</v>
      </c>
      <c r="B48" s="2902">
        <f ca="1">'预评函-2'!R5</f>
        <v>65164</v>
      </c>
    </row>
    <row r="49" spans="1:2">
      <c r="A49" s="2901" t="s">
        <v>2741</v>
      </c>
      <c r="B49" s="2902" t="str">
        <f>'预评函-2'!A6</f>
        <v>——</v>
      </c>
    </row>
    <row r="50" spans="1:2">
      <c r="A50" s="2901" t="s">
        <v>2726</v>
      </c>
      <c r="B50" s="2902" t="str">
        <f>'预评函-2'!R6</f>
        <v>——</v>
      </c>
    </row>
    <row r="51" spans="1:2">
      <c r="A51" s="2901" t="s">
        <v>2742</v>
      </c>
      <c r="B51" s="2902" t="str">
        <f>'预评函-2'!A7</f>
        <v>——</v>
      </c>
    </row>
    <row r="52" spans="1:2">
      <c r="A52" s="2901" t="s">
        <v>2727</v>
      </c>
      <c r="B52" s="2902" t="str">
        <f>'预评函-2'!R7</f>
        <v>——</v>
      </c>
    </row>
    <row r="53" spans="1:2">
      <c r="A53" s="2901" t="s">
        <v>2743</v>
      </c>
      <c r="B53" s="2902" t="str">
        <f>'预评函-2'!A8</f>
        <v>——</v>
      </c>
    </row>
    <row r="54" spans="1:2" s="2916" customFormat="1" ht="15" thickBot="1">
      <c r="A54" s="2923" t="s">
        <v>2728</v>
      </c>
      <c r="B54" s="2924" t="str">
        <f>'预评函-2'!R8</f>
        <v>——</v>
      </c>
    </row>
    <row r="55" spans="1:2" ht="15" thickTop="1">
      <c r="A55" s="2912" t="s">
        <v>2678</v>
      </c>
      <c r="B55" s="2913" t="str">
        <f>'预评函-3'!A2</f>
        <v>1.权利限制：根据估价对象《国有土地使用证》复印件，截至估价期日，估价对象已设定抵押。未设定租赁等其他他项权利。</v>
      </c>
    </row>
    <row r="56" spans="1:2">
      <c r="A56" s="2901" t="s">
        <v>2679</v>
      </c>
      <c r="B56" s="2902" t="str">
        <f>'预评函-3'!A3</f>
        <v>2.基础设施条件：估价对象实际开发程度为红线外七通、宗地红线内场地平整；本次评估设定开发程度为红线外七通、宗地红线内场地平整。</v>
      </c>
    </row>
    <row r="57" spans="1:2">
      <c r="A57" s="2901" t="s">
        <v>2680</v>
      </c>
      <c r="B57" s="2902" t="str">
        <f>'预评函-3'!A4</f>
        <v>3.估价规划限制条件：详见《建设工程规划许可证》[[2014]汕规建字第015号]。</v>
      </c>
    </row>
    <row r="58" spans="1:2" s="2916" customFormat="1" ht="15" thickBot="1">
      <c r="A58" s="2923" t="s">
        <v>2729</v>
      </c>
      <c r="B58" s="2924" t="str">
        <f>'预评函-3'!A5</f>
        <v>4.影响价格的其他限定条件：无。</v>
      </c>
    </row>
    <row r="59" spans="1:2" ht="15" thickTop="1">
      <c r="A59" s="2912" t="s">
        <v>2681</v>
      </c>
      <c r="B59" s="2913" t="str">
        <f>'预评函-3'!A8</f>
        <v>2.本次评估设定估价对象宗地权属无争议，未被查封或者以其他形式限制其房地产权利，未设定抵押权等他项权利，不涉及第三方权利义务。</v>
      </c>
    </row>
    <row r="60" spans="1:2">
      <c r="A60" s="2901" t="s">
        <v>2682</v>
      </c>
      <c r="B60" s="2902" t="str">
        <f>'预评函-3'!A9</f>
        <v>——</v>
      </c>
    </row>
    <row r="61" spans="1:2">
      <c r="A61" s="2901" t="s">
        <v>2684</v>
      </c>
      <c r="B61" s="2902" t="str">
        <f>'预评函-3'!A10</f>
        <v>——</v>
      </c>
    </row>
    <row r="62" spans="1:2">
      <c r="A62" s="2901" t="s">
        <v>2683</v>
      </c>
      <c r="B62" s="2902" t="str">
        <f>'预评函-3'!A11</f>
        <v>——</v>
      </c>
    </row>
    <row r="63" spans="1:2">
      <c r="A63" s="2901" t="s">
        <v>2685</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2686</v>
      </c>
      <c r="B64" s="2907" t="str">
        <f>'预评函-3'!A13</f>
        <v>（3）。</v>
      </c>
    </row>
    <row r="65" spans="1:2">
      <c r="A65" s="2901" t="s">
        <v>2687</v>
      </c>
      <c r="B65" s="2908" t="str">
        <f>'预评函-3'!A14</f>
        <v>——</v>
      </c>
    </row>
    <row r="66" spans="1:2">
      <c r="A66" s="2901" t="s">
        <v>2688</v>
      </c>
      <c r="B66" s="290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2689</v>
      </c>
      <c r="B67" s="290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2692</v>
      </c>
      <c r="B68" s="2927">
        <f>'预评函-3'!D30</f>
        <v>42558</v>
      </c>
    </row>
    <row r="69" spans="1:2" ht="15" thickTop="1">
      <c r="A69" s="2912" t="s">
        <v>2690</v>
      </c>
      <c r="B69" s="2913" t="str">
        <f>'预评函-3'!A20</f>
        <v>梁津</v>
      </c>
    </row>
    <row r="70" spans="1:2">
      <c r="A70" s="2901" t="s">
        <v>2690</v>
      </c>
      <c r="B70" s="2908">
        <f ca="1">'预评函-3'!B20</f>
        <v>96010014</v>
      </c>
    </row>
    <row r="71" spans="1:2">
      <c r="A71" s="2901" t="s">
        <v>2691</v>
      </c>
      <c r="B71" s="2902" t="str">
        <f>'预评函-3'!A21</f>
        <v>王鹏</v>
      </c>
    </row>
    <row r="72" spans="1:2" s="2916" customFormat="1" ht="15" thickBot="1">
      <c r="A72" s="2923" t="s">
        <v>2691</v>
      </c>
      <c r="B72" s="2929">
        <f ca="1">'预评函-3'!B21</f>
        <v>2002110030</v>
      </c>
    </row>
    <row r="73" spans="1:2" ht="15" thickTop="1">
      <c r="A73" s="2912" t="s">
        <v>2750</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2751</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2752</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2787</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D20" sqref="D20:I20"/>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2"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70" t="str">
        <f>IF(B10="北京市","北京市",C10)&amp;F10&amp;B16&amp;"国有建设用地使用权"&amp;B9&amp;"预评估"</f>
        <v>广东省汕头市龙湖区海湾公园片区（335-00-02-096）出让国有建设用地使用权市场价格预评估</v>
      </c>
      <c r="C1" s="3271"/>
      <c r="D1" s="3271"/>
      <c r="E1" s="3271"/>
      <c r="F1" s="3271"/>
      <c r="G1" s="3271"/>
      <c r="H1" s="3271"/>
      <c r="I1" s="3272"/>
      <c r="J1" s="1694"/>
      <c r="K1" s="2478" t="str">
        <f>IF(B10="北京市","北京市",C10)&amp;F10&amp;B16&amp;"国有建设用地使用权"&amp;B9</f>
        <v>广东省汕头市龙湖区海湾公园片区（335-00-02-096）出让国有建设用地使用权市场价格</v>
      </c>
      <c r="L1" s="1722"/>
      <c r="M1" s="1722"/>
      <c r="N1" s="1694"/>
      <c r="O1" s="1695"/>
      <c r="P1" s="1694"/>
      <c r="Q1" s="1694"/>
      <c r="R1" s="1694"/>
      <c r="S1" s="1694"/>
      <c r="T1" s="1694"/>
      <c r="U1" s="1694"/>
    </row>
    <row r="2" spans="1:21">
      <c r="A2" s="1660" t="s">
        <v>1941</v>
      </c>
      <c r="B2" s="1841"/>
      <c r="D2" s="1694"/>
      <c r="E2" s="1694"/>
      <c r="F2" s="1694"/>
      <c r="G2" s="1694"/>
      <c r="H2" s="1660"/>
      <c r="I2" s="1695"/>
      <c r="J2" s="1694"/>
      <c r="K2" s="2478" t="str">
        <f>IF(B10="北京市","北京市",C10)&amp;F10&amp;B16&amp;"国有建设用地使用权"</f>
        <v>广东省汕头市龙湖区海湾公园片区（335-00-02-096）出让国有建设用地使用权</v>
      </c>
      <c r="L2" s="1722"/>
      <c r="M2" s="1722"/>
      <c r="N2" s="1694"/>
      <c r="O2" s="1695"/>
      <c r="P2" s="1694"/>
      <c r="Q2" s="1694"/>
      <c r="R2" s="1694"/>
      <c r="S2" s="1694"/>
      <c r="T2" s="1694"/>
      <c r="U2" s="1694"/>
    </row>
    <row r="3" spans="1:21">
      <c r="A3" s="1661" t="s">
        <v>1942</v>
      </c>
      <c r="B3" s="1662">
        <v>43244</v>
      </c>
      <c r="C3" s="1663" t="s">
        <v>1996</v>
      </c>
      <c r="D3" s="1662">
        <f>B3</f>
        <v>43244</v>
      </c>
      <c r="E3" s="1694"/>
      <c r="F3" s="1694"/>
      <c r="G3" s="1694"/>
      <c r="H3" s="1660"/>
      <c r="I3" s="1695"/>
      <c r="J3" s="1694"/>
      <c r="K3" s="1773"/>
      <c r="L3" s="1722"/>
      <c r="M3" s="1722"/>
      <c r="N3" s="1694"/>
      <c r="O3" s="1695"/>
      <c r="P3" s="1694"/>
      <c r="Q3" s="1694"/>
      <c r="R3" s="1694"/>
      <c r="S3" s="1694"/>
      <c r="T3" s="1694"/>
      <c r="U3" s="1694"/>
    </row>
    <row r="4" spans="1:21" ht="15" thickBot="1">
      <c r="A4" s="1664" t="s">
        <v>1943</v>
      </c>
      <c r="B4" s="1842" t="s">
        <v>2979</v>
      </c>
      <c r="C4" s="1845">
        <f ca="1">SUMIF(土地估价师,B4,估价师及机构信息!E3:E24)</f>
        <v>96010014</v>
      </c>
      <c r="D4" s="1842" t="s">
        <v>2980</v>
      </c>
      <c r="E4" s="1845">
        <f ca="1">SUMIF(土地估价师,D4,估价师及机构信息!E3:E24)</f>
        <v>2002110030</v>
      </c>
      <c r="F4" s="1842" t="s">
        <v>952</v>
      </c>
      <c r="G4" s="1845">
        <f>SUMIF(土地估价师,F4,估价师及机构信息!E3:E24)</f>
        <v>0</v>
      </c>
      <c r="H4" s="1842" t="s">
        <v>952</v>
      </c>
      <c r="I4" s="1845">
        <f>SUMIF(土地估价师,H4,估价师及机构信息!E3:E24)</f>
        <v>0</v>
      </c>
      <c r="J4" s="1694"/>
      <c r="K4" s="2478" t="str">
        <f>IF(AND(F4="——",H4="——"),B4&amp;"、"&amp;D4,IF(AND(F4&lt;&gt;"——",H4="——"),B4&amp;"、"&amp;D4&amp;"、"&amp;F4,B4&amp;"、"&amp;D4&amp;"、"&amp;F4&amp;"、"&amp;H4))</f>
        <v>梁津、王鹏</v>
      </c>
      <c r="L4" s="1722"/>
      <c r="M4" s="1722"/>
      <c r="N4" s="1694"/>
      <c r="O4" s="1695"/>
      <c r="P4" s="1694"/>
      <c r="Q4" s="1694"/>
      <c r="R4" s="1694"/>
      <c r="S4" s="1694"/>
      <c r="T4" s="1694"/>
      <c r="U4" s="1694"/>
    </row>
    <row r="5" spans="1:21" ht="15" thickTop="1">
      <c r="A5" s="1665" t="s">
        <v>1944</v>
      </c>
      <c r="B5" s="1788" t="s">
        <v>3057</v>
      </c>
      <c r="C5" s="1666"/>
      <c r="D5" s="1667"/>
      <c r="E5" s="1694"/>
      <c r="F5" s="1694"/>
      <c r="G5" s="1694"/>
      <c r="H5" s="1660"/>
      <c r="I5" s="1695"/>
      <c r="J5" s="1694"/>
      <c r="K5" s="1773"/>
      <c r="L5" s="1722"/>
      <c r="M5" s="1722"/>
      <c r="N5" s="1694"/>
      <c r="O5" s="1695"/>
      <c r="P5" s="1694"/>
      <c r="Q5" s="1694"/>
      <c r="R5" s="1694"/>
      <c r="S5" s="1694"/>
      <c r="T5" s="1694"/>
      <c r="U5" s="1694"/>
    </row>
    <row r="6" spans="1:21" ht="26.25">
      <c r="A6" s="1663" t="s">
        <v>2706</v>
      </c>
      <c r="B6" s="1788" t="s">
        <v>2981</v>
      </c>
      <c r="C6" s="1760"/>
      <c r="D6" s="1668"/>
      <c r="E6" s="1694"/>
      <c r="F6" s="1694"/>
      <c r="G6" s="1694"/>
      <c r="H6" s="1660"/>
      <c r="I6" s="1695"/>
      <c r="J6" s="1694"/>
      <c r="K6" s="3078" t="str">
        <f>IF(COUNTIF(B6,"*上海银行*"),"上海银行","")</f>
        <v/>
      </c>
      <c r="L6" s="1722"/>
      <c r="M6" s="1722"/>
      <c r="N6" s="1694"/>
      <c r="O6" s="1695"/>
      <c r="P6" s="1694"/>
      <c r="Q6" s="1694"/>
      <c r="R6" s="1694"/>
      <c r="S6" s="1694"/>
      <c r="T6" s="1694"/>
      <c r="U6" s="1694"/>
    </row>
    <row r="7" spans="1:21">
      <c r="A7" s="1669" t="s">
        <v>2707</v>
      </c>
      <c r="B7" s="1788" t="s">
        <v>3057</v>
      </c>
      <c r="C7" s="1760"/>
      <c r="D7" s="1668"/>
      <c r="E7" s="1694"/>
      <c r="F7" s="1694"/>
      <c r="G7" s="1694"/>
      <c r="H7" s="1660"/>
      <c r="I7" s="1695"/>
      <c r="J7" s="1694"/>
      <c r="K7" s="1773"/>
      <c r="L7" s="1722"/>
      <c r="M7" s="1722"/>
      <c r="N7" s="1694"/>
      <c r="O7" s="1695"/>
      <c r="P7" s="1694"/>
      <c r="Q7" s="1694"/>
      <c r="R7" s="1694"/>
      <c r="S7" s="1694"/>
      <c r="T7" s="1694"/>
      <c r="U7" s="1694"/>
    </row>
    <row r="8" spans="1:21">
      <c r="A8" s="1669" t="s">
        <v>1945</v>
      </c>
      <c r="B8" s="1670" t="s">
        <v>2982</v>
      </c>
      <c r="C8" s="1671"/>
      <c r="D8" s="3276" t="s">
        <v>1947</v>
      </c>
      <c r="E8" s="1843"/>
      <c r="F8" s="1672"/>
      <c r="G8" s="1660"/>
      <c r="H8" s="1660"/>
      <c r="I8" s="1707"/>
      <c r="J8" s="1694"/>
      <c r="K8" s="1773"/>
      <c r="L8" s="1722"/>
      <c r="M8" s="1722"/>
      <c r="N8" s="1694"/>
      <c r="O8" s="1695"/>
      <c r="P8" s="1694"/>
      <c r="Q8" s="1694"/>
      <c r="R8" s="1694"/>
      <c r="S8" s="1694"/>
      <c r="T8" s="1694"/>
      <c r="U8" s="1694"/>
    </row>
    <row r="9" spans="1:21" ht="15" thickBot="1">
      <c r="A9" s="1673" t="s">
        <v>1946</v>
      </c>
      <c r="B9" s="1674" t="s">
        <v>2983</v>
      </c>
      <c r="C9" s="1675"/>
      <c r="D9" s="3277"/>
      <c r="E9" s="1674"/>
      <c r="F9" s="1746"/>
      <c r="G9" s="1741"/>
      <c r="H9" s="1741"/>
      <c r="I9" s="1742"/>
      <c r="J9" s="1694"/>
      <c r="K9" s="1773"/>
      <c r="L9" s="1722"/>
      <c r="M9" s="1722"/>
      <c r="N9" s="1694"/>
      <c r="O9" s="1695"/>
      <c r="P9" s="1694"/>
      <c r="Q9" s="1694"/>
      <c r="R9" s="1694"/>
      <c r="S9" s="1694"/>
      <c r="T9" s="1694"/>
      <c r="U9" s="1694"/>
    </row>
    <row r="10" spans="1:21" ht="15" thickTop="1">
      <c r="A10" s="1743" t="s">
        <v>1999</v>
      </c>
      <c r="B10" s="3180" t="s">
        <v>2984</v>
      </c>
      <c r="C10" s="1676" t="s">
        <v>2985</v>
      </c>
      <c r="D10" s="1667"/>
      <c r="E10" s="1677" t="s">
        <v>1949</v>
      </c>
      <c r="F10" s="1678" t="s">
        <v>3054</v>
      </c>
      <c r="G10" s="1744"/>
      <c r="H10" s="1745"/>
      <c r="I10" s="1667"/>
      <c r="J10" s="1694"/>
      <c r="K10" s="1773"/>
      <c r="L10" s="1722"/>
      <c r="M10" s="1722"/>
      <c r="N10" s="1694"/>
      <c r="O10" s="1695"/>
      <c r="P10" s="1694"/>
      <c r="Q10" s="1694"/>
      <c r="R10" s="1694"/>
      <c r="S10" s="1694"/>
      <c r="T10" s="1694"/>
      <c r="U10" s="1694"/>
    </row>
    <row r="11" spans="1:21">
      <c r="A11" s="1697" t="s">
        <v>2000</v>
      </c>
      <c r="B11" s="1698" t="s">
        <v>2986</v>
      </c>
      <c r="C11" s="1679"/>
      <c r="D11" s="1761"/>
      <c r="E11" s="1660"/>
      <c r="F11" s="1660"/>
      <c r="G11" s="1660"/>
      <c r="H11" s="1660"/>
      <c r="I11" s="1660"/>
      <c r="J11" s="1694"/>
      <c r="K11" s="1773"/>
      <c r="L11" s="1722"/>
      <c r="M11" s="1722"/>
      <c r="N11" s="1694"/>
      <c r="O11" s="1695"/>
      <c r="P11" s="1694"/>
      <c r="Q11" s="1694"/>
      <c r="R11" s="1694"/>
      <c r="S11" s="1694"/>
      <c r="T11" s="1694"/>
      <c r="U11" s="1694"/>
    </row>
    <row r="12" spans="1:21">
      <c r="A12" s="1784" t="s">
        <v>2058</v>
      </c>
      <c r="B12" s="3273" t="s">
        <v>3055</v>
      </c>
      <c r="C12" s="3274"/>
      <c r="D12" s="3275"/>
      <c r="E12" s="1699" t="s">
        <v>2061</v>
      </c>
      <c r="F12" s="3291" t="s">
        <v>3053</v>
      </c>
      <c r="G12" s="3292"/>
      <c r="H12" s="3292"/>
      <c r="I12" s="3293"/>
      <c r="J12" s="1694"/>
      <c r="K12" s="1773"/>
      <c r="L12" s="1722"/>
      <c r="M12" s="1722"/>
      <c r="N12" s="1694"/>
      <c r="O12" s="1695"/>
      <c r="P12" s="1694"/>
      <c r="Q12" s="1694"/>
      <c r="R12" s="1694"/>
      <c r="S12" s="1694"/>
      <c r="T12" s="1694"/>
      <c r="U12" s="1694"/>
    </row>
    <row r="13" spans="1:21">
      <c r="A13" s="1687" t="s">
        <v>2059</v>
      </c>
      <c r="B13" s="3273" t="s">
        <v>3056</v>
      </c>
      <c r="C13" s="3274"/>
      <c r="D13" s="3275"/>
      <c r="E13" s="1699" t="s">
        <v>2061</v>
      </c>
      <c r="F13" s="3291" t="s">
        <v>3053</v>
      </c>
      <c r="G13" s="3292"/>
      <c r="H13" s="3292"/>
      <c r="I13" s="3293"/>
      <c r="J13" s="1694"/>
      <c r="K13" s="1773"/>
      <c r="L13" s="1722"/>
      <c r="M13" s="1722"/>
      <c r="N13" s="1694"/>
      <c r="O13" s="1695"/>
      <c r="P13" s="1694"/>
      <c r="Q13" s="1694"/>
      <c r="R13" s="1694"/>
      <c r="S13" s="1694"/>
      <c r="T13" s="1694"/>
      <c r="U13" s="1694"/>
    </row>
    <row r="14" spans="1:21">
      <c r="A14" s="1661" t="s">
        <v>2062</v>
      </c>
      <c r="B14" s="1699"/>
      <c r="C14" s="1844" t="s">
        <v>2989</v>
      </c>
      <c r="D14" s="1732" t="str">
        <f>IF(C14="不一致","是否符合证载地类范围","")</f>
        <v/>
      </c>
      <c r="E14" s="1699"/>
      <c r="F14" s="1789" t="s">
        <v>2990</v>
      </c>
      <c r="G14" s="1727"/>
      <c r="H14" s="1727"/>
      <c r="I14" s="1836"/>
      <c r="J14" s="1694"/>
      <c r="K14" s="1773"/>
      <c r="L14" s="1722"/>
      <c r="M14" s="1722"/>
      <c r="N14" s="1694"/>
      <c r="O14" s="1695"/>
      <c r="P14" s="1694"/>
      <c r="Q14" s="1694"/>
      <c r="R14" s="1694"/>
      <c r="S14" s="1694"/>
      <c r="T14" s="1694"/>
      <c r="U14" s="1694"/>
    </row>
    <row r="15" spans="1:21" hidden="1">
      <c r="A15" s="2668"/>
      <c r="B15" s="1663"/>
      <c r="C15" s="1663"/>
      <c r="D15" s="1765" t="s">
        <v>1952</v>
      </c>
      <c r="E15" s="1765" t="s">
        <v>1953</v>
      </c>
      <c r="F15" s="1765" t="s">
        <v>1954</v>
      </c>
      <c r="G15" s="1686" t="s">
        <v>1955</v>
      </c>
      <c r="H15" s="1686" t="s">
        <v>1956</v>
      </c>
      <c r="I15" s="1686" t="s">
        <v>1957</v>
      </c>
      <c r="J15" s="1694"/>
      <c r="K15" s="1773"/>
      <c r="L15" s="1722"/>
      <c r="M15" s="1722"/>
      <c r="N15" s="1694"/>
      <c r="O15" s="1695"/>
      <c r="P15" s="1694"/>
      <c r="Q15" s="1694"/>
      <c r="R15" s="1694"/>
      <c r="S15" s="1694"/>
      <c r="T15" s="1694"/>
      <c r="U15" s="1694"/>
    </row>
    <row r="16" spans="1:21" ht="42.75">
      <c r="A16" s="1680" t="s">
        <v>1950</v>
      </c>
      <c r="B16" s="1681" t="s">
        <v>2988</v>
      </c>
      <c r="C16" s="1699" t="s">
        <v>1951</v>
      </c>
      <c r="D16" s="2669" t="s">
        <v>1952</v>
      </c>
      <c r="E16" s="1721" t="s">
        <v>2987</v>
      </c>
      <c r="F16" s="1721"/>
      <c r="G16" s="1721" t="s">
        <v>35</v>
      </c>
      <c r="H16" s="1721"/>
      <c r="I16" s="1686" t="s">
        <v>1957</v>
      </c>
      <c r="J16" s="1694"/>
      <c r="K16" s="2479" t="str">
        <f>IF(D17="","",D16&amp;TEXT(D17,"yyyy年m月d日;;"))</f>
        <v>住宅2073年11月30日</v>
      </c>
      <c r="L16" s="1699" t="str">
        <f>IF(OR(K16="",M16=""),"","、")</f>
        <v>、</v>
      </c>
      <c r="M16" s="2479" t="str">
        <f>IF(E17="","",E16&amp;TEXT(E17,"yyyy年m月d日;;"))</f>
        <v>商业2043年11月30日</v>
      </c>
      <c r="N16" s="1699" t="str">
        <f>IF(OR(M16="",O16=""),"","、")</f>
        <v/>
      </c>
      <c r="O16" s="2479" t="str">
        <f>IF(F17="","",F16&amp;TEXT(F17,"yyyy年m月d日;;"))</f>
        <v/>
      </c>
      <c r="P16" s="1699" t="str">
        <f>IF(OR(O16="",Q16=""),"","、")</f>
        <v/>
      </c>
      <c r="Q16" s="2479" t="str">
        <f>IF(G17="","",G16&amp;TEXT(G17,"yyyy年m月d日;;"))</f>
        <v>地下车库2053年11月30日</v>
      </c>
      <c r="R16" s="1699" t="str">
        <f>IF(OR(Q16="",S16=""),"","、")</f>
        <v/>
      </c>
      <c r="S16" s="2479" t="str">
        <f>IF(H17="","",H16&amp;TEXT(H17,"yyyy年m月d日;;"))</f>
        <v/>
      </c>
      <c r="T16" s="1699" t="str">
        <f>IF(OR(S16="",U16=""),"","、")</f>
        <v/>
      </c>
      <c r="U16" s="2479" t="str">
        <f>IF(I17="","",I16&amp;TEXT(I17,"yyyy年m月d日;;"))</f>
        <v/>
      </c>
    </row>
    <row r="17" spans="1:21">
      <c r="A17" s="1762"/>
      <c r="B17" s="1682"/>
      <c r="C17" s="1683" t="s">
        <v>1958</v>
      </c>
      <c r="D17" s="1700">
        <v>63523</v>
      </c>
      <c r="E17" s="1700">
        <v>52565</v>
      </c>
      <c r="F17" s="1700"/>
      <c r="G17" s="1700">
        <v>56218</v>
      </c>
      <c r="H17" s="1700"/>
      <c r="I17" s="1700"/>
      <c r="J17" s="1694"/>
      <c r="K17" s="2478" t="str">
        <f>CONCATENATE(K16,L16,M16,N16,O16,P16,Q16,R16,S16,T16,,U16)</f>
        <v>住宅2073年11月30日、商业2043年11月30日地下车库2053年11月30日</v>
      </c>
      <c r="L17" s="1722"/>
      <c r="M17" s="1722"/>
      <c r="N17" s="1694"/>
      <c r="O17" s="1695"/>
      <c r="P17" s="1694"/>
      <c r="Q17" s="1694"/>
      <c r="R17" s="1694"/>
      <c r="S17" s="1694"/>
      <c r="T17" s="1694"/>
      <c r="U17" s="1694"/>
    </row>
    <row r="18" spans="1:21">
      <c r="A18" s="1762"/>
      <c r="B18" s="1682"/>
      <c r="C18" s="1683" t="s">
        <v>1959</v>
      </c>
      <c r="D18" s="1684">
        <v>70</v>
      </c>
      <c r="E18" s="1684">
        <v>40</v>
      </c>
      <c r="F18" s="1684"/>
      <c r="G18" s="1684">
        <v>50</v>
      </c>
      <c r="H18" s="1684"/>
      <c r="I18" s="1684"/>
      <c r="J18" s="1694"/>
      <c r="K18" s="1773"/>
      <c r="L18" s="1722"/>
      <c r="M18" s="1722"/>
      <c r="N18" s="1694"/>
      <c r="O18" s="1695"/>
      <c r="P18" s="1694"/>
      <c r="Q18" s="1694"/>
      <c r="R18" s="1694"/>
      <c r="S18" s="1694"/>
      <c r="T18" s="1694"/>
      <c r="U18" s="1694"/>
    </row>
    <row r="19" spans="1:21">
      <c r="A19" s="1762"/>
      <c r="B19" s="1682"/>
      <c r="C19" s="1660" t="s">
        <v>1960</v>
      </c>
      <c r="D19" s="1757">
        <f>IF(B16="出让",IF(D17="","",ROUNDDOWN(MIN((D17-$D$3)/365,D18),2)),D18)</f>
        <v>55.55</v>
      </c>
      <c r="E19" s="1685">
        <f>IF(B16="出让",IF(E17="","",ROUNDDOWN(MIN((E17-$D$3)/365,E18),2)),E18)</f>
        <v>25.53</v>
      </c>
      <c r="F19" s="1685" t="str">
        <f>IF(B16="出让",IF(F17="","",ROUNDDOWN(MIN((F17-$D$3)/365,F18),2)),F18)</f>
        <v/>
      </c>
      <c r="G19" s="1685">
        <f>IF(B16="出让",IF(G17="","",ROUNDDOWN(MIN((G17-$D$3)/365,G18),2)),G18)</f>
        <v>35.54</v>
      </c>
      <c r="H19" s="1685" t="str">
        <f>IF(B16="出让",IF(H17="","",ROUNDDOWN(MIN((H17-$D$3)/365,H18),2)),H18)</f>
        <v/>
      </c>
      <c r="I19" s="1685" t="str">
        <f>IF(B16="出让",IF(I17="","",ROUNDDOWN(MIN((I17-$D$3)/365,I18),2)),I18)</f>
        <v/>
      </c>
      <c r="J19" s="1694"/>
      <c r="K19" s="1773"/>
      <c r="L19" s="1722"/>
      <c r="M19" s="1722"/>
      <c r="N19" s="1694"/>
      <c r="O19" s="1695"/>
      <c r="P19" s="1694"/>
      <c r="Q19" s="1694"/>
      <c r="R19" s="1694"/>
      <c r="S19" s="1694"/>
      <c r="T19" s="1694"/>
      <c r="U19" s="1694"/>
    </row>
    <row r="20" spans="1:21">
      <c r="A20" s="1785"/>
      <c r="B20" s="1786"/>
      <c r="C20" s="1787" t="s">
        <v>2060</v>
      </c>
      <c r="D20" s="3288" t="s">
        <v>3211</v>
      </c>
      <c r="E20" s="3289"/>
      <c r="F20" s="3289"/>
      <c r="G20" s="3289"/>
      <c r="H20" s="3289"/>
      <c r="I20" s="3290"/>
      <c r="J20" s="1694"/>
      <c r="K20" s="1773"/>
      <c r="L20" s="1722"/>
      <c r="M20" s="1722"/>
      <c r="N20" s="1694"/>
      <c r="O20" s="1695"/>
      <c r="P20" s="1694"/>
      <c r="Q20" s="1694"/>
      <c r="R20" s="1694"/>
      <c r="S20" s="1694"/>
      <c r="T20" s="1694"/>
      <c r="U20" s="1694"/>
    </row>
    <row r="21" spans="1:21">
      <c r="A21" s="1762" t="s">
        <v>1961</v>
      </c>
      <c r="B21" s="1763" t="s">
        <v>1962</v>
      </c>
      <c r="C21" s="1758">
        <f>'数据-汇总表'!E3</f>
        <v>67516.63</v>
      </c>
      <c r="D21" s="1759" t="s">
        <v>1963</v>
      </c>
      <c r="E21" s="3278" t="s">
        <v>3058</v>
      </c>
      <c r="F21" s="3279"/>
      <c r="G21" s="3279"/>
      <c r="H21" s="3279"/>
      <c r="I21" s="3280"/>
      <c r="J21" s="1694"/>
      <c r="K21" s="1773"/>
      <c r="L21" s="1722"/>
      <c r="M21" s="1722"/>
      <c r="N21" s="1694"/>
      <c r="O21" s="1695"/>
      <c r="P21" s="1694"/>
      <c r="Q21" s="1694"/>
      <c r="R21" s="1694"/>
      <c r="S21" s="1694"/>
      <c r="T21" s="1694"/>
      <c r="U21" s="1694"/>
    </row>
    <row r="22" spans="1:21">
      <c r="A22" s="3177" t="s">
        <v>952</v>
      </c>
      <c r="B22" s="1661" t="s">
        <v>1964</v>
      </c>
      <c r="C22" s="1686">
        <f>'数据-汇总表'!D3</f>
        <v>15168.4</v>
      </c>
      <c r="D22" s="1687" t="s">
        <v>1963</v>
      </c>
      <c r="E22" s="3278" t="s">
        <v>3052</v>
      </c>
      <c r="F22" s="3279"/>
      <c r="G22" s="3279"/>
      <c r="H22" s="3279"/>
      <c r="I22" s="3280"/>
      <c r="J22" s="1694"/>
      <c r="K22" s="1773"/>
      <c r="L22" s="1722"/>
      <c r="M22" s="1722"/>
      <c r="N22" s="1694"/>
      <c r="O22" s="1695"/>
      <c r="P22" s="1694"/>
      <c r="Q22" s="1694"/>
      <c r="R22" s="1694"/>
      <c r="S22" s="1694"/>
      <c r="T22" s="1694"/>
      <c r="U22" s="1694"/>
    </row>
    <row r="23" spans="1:21" ht="43.5" thickBot="1">
      <c r="A23" s="1764" t="s">
        <v>1965</v>
      </c>
      <c r="B23" s="1701" t="s">
        <v>1966</v>
      </c>
      <c r="C23" s="1702" t="s">
        <v>1679</v>
      </c>
      <c r="D23" s="1703" t="s">
        <v>1967</v>
      </c>
      <c r="E23" s="1704" t="s">
        <v>2991</v>
      </c>
      <c r="F23" s="1705" t="str">
        <f>IF(AND(C23="是",E23="否"),"是否提供他项权证或相关说明","")</f>
        <v>是否提供他项权证或相关说明</v>
      </c>
      <c r="G23" s="1706" t="s">
        <v>2991</v>
      </c>
      <c r="H23" s="1694"/>
      <c r="I23" s="1707"/>
      <c r="J23" s="1694"/>
      <c r="K23" s="1773"/>
      <c r="L23" s="1722"/>
      <c r="M23" s="1722"/>
      <c r="N23" s="1694"/>
      <c r="O23" s="1695"/>
      <c r="P23" s="1694"/>
      <c r="Q23" s="1694"/>
      <c r="R23" s="1694"/>
      <c r="S23" s="1694"/>
      <c r="T23" s="1694"/>
      <c r="U23" s="1694"/>
    </row>
    <row r="24" spans="1:21">
      <c r="A24" s="1749" t="s">
        <v>1968</v>
      </c>
      <c r="B24" s="3281" t="s">
        <v>1969</v>
      </c>
      <c r="C24" s="3282"/>
      <c r="D24" s="3283" t="s">
        <v>1970</v>
      </c>
      <c r="E24" s="3284"/>
      <c r="F24" s="1708" t="s">
        <v>1971</v>
      </c>
      <c r="G24" s="1694"/>
      <c r="H24" s="1694"/>
      <c r="I24" s="1707"/>
      <c r="J24" s="1694"/>
      <c r="K24" s="3269" t="s">
        <v>1972</v>
      </c>
      <c r="L24" s="2480" t="str">
        <f>"根据估价对象"&amp;IF(B26="——",B25&amp;C25,B25&amp;C25&amp;"、"&amp;B26&amp;C26)&amp;"，"&amp;IF(C23="是","截至估价期日，估价对象已设定抵押。","截至估价期日，估价对象抵押权未见登记。")</f>
        <v>根据估价对象《国有土地使用证》复印件，截至估价期日，估价对象已设定抵押。</v>
      </c>
      <c r="M24" s="1722"/>
      <c r="N24" s="1694"/>
      <c r="O24" s="1695"/>
      <c r="P24" s="1694"/>
      <c r="Q24" s="1694"/>
      <c r="R24" s="1694"/>
      <c r="S24" s="1694"/>
      <c r="T24" s="1694"/>
      <c r="U24" s="1694"/>
    </row>
    <row r="25" spans="1:21" ht="28.5">
      <c r="A25" s="1750"/>
      <c r="B25" s="1747" t="s">
        <v>2992</v>
      </c>
      <c r="C25" s="1709" t="s">
        <v>2325</v>
      </c>
      <c r="D25" s="1710"/>
      <c r="E25" s="1711" t="s">
        <v>952</v>
      </c>
      <c r="F25" s="1712"/>
      <c r="G25" s="1694"/>
      <c r="H25" s="1694"/>
      <c r="I25" s="1707"/>
      <c r="J25" s="1694"/>
      <c r="K25" s="3269"/>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4"/>
      <c r="O25" s="1695"/>
      <c r="P25" s="1694"/>
      <c r="Q25" s="1694"/>
      <c r="R25" s="1694"/>
      <c r="S25" s="1694"/>
      <c r="T25" s="1694"/>
      <c r="U25" s="1694"/>
    </row>
    <row r="26" spans="1:21" ht="15" thickBot="1">
      <c r="A26" s="1751"/>
      <c r="B26" s="1748" t="s">
        <v>952</v>
      </c>
      <c r="C26" s="1709" t="s">
        <v>952</v>
      </c>
      <c r="D26" s="1660"/>
      <c r="E26" s="1660"/>
      <c r="F26" s="1688"/>
      <c r="G26" s="1694"/>
      <c r="H26" s="1694"/>
      <c r="I26" s="1707"/>
      <c r="J26" s="1694"/>
      <c r="K26" s="3269"/>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4"/>
      <c r="O26" s="1695"/>
      <c r="P26" s="1694"/>
      <c r="Q26" s="1694"/>
      <c r="R26" s="1694"/>
      <c r="S26" s="1694"/>
      <c r="T26" s="1694"/>
      <c r="U26" s="1694"/>
    </row>
    <row r="27" spans="1:21">
      <c r="A27" s="1754" t="s">
        <v>1973</v>
      </c>
      <c r="B27" s="1752" t="s">
        <v>1974</v>
      </c>
      <c r="C27" s="1713"/>
      <c r="D27" s="2674" t="s">
        <v>1974</v>
      </c>
      <c r="E27" s="1714"/>
      <c r="F27" s="1688"/>
      <c r="G27" s="1694"/>
      <c r="H27" s="1694"/>
      <c r="I27" s="1707"/>
      <c r="J27" s="1694"/>
      <c r="K27" s="1773"/>
      <c r="L27" s="1722"/>
      <c r="M27" s="1722"/>
      <c r="N27" s="1694"/>
      <c r="O27" s="1695"/>
      <c r="P27" s="1694"/>
      <c r="Q27" s="1694"/>
      <c r="R27" s="1694"/>
      <c r="S27" s="1694"/>
      <c r="T27" s="1694"/>
      <c r="U27" s="1694"/>
    </row>
    <row r="28" spans="1:21">
      <c r="A28" s="1755"/>
      <c r="B28" s="1752" t="s">
        <v>1975</v>
      </c>
      <c r="C28" s="1715"/>
      <c r="D28" s="2675" t="s">
        <v>1975</v>
      </c>
      <c r="E28" s="1716"/>
      <c r="F28" s="1688"/>
      <c r="G28" s="1694"/>
      <c r="H28" s="1694"/>
      <c r="I28" s="1707"/>
      <c r="J28" s="1694"/>
      <c r="K28" s="1773"/>
      <c r="L28" s="1722"/>
      <c r="M28" s="1722"/>
      <c r="N28" s="1694"/>
      <c r="O28" s="1695"/>
      <c r="P28" s="1694"/>
      <c r="Q28" s="1694"/>
      <c r="R28" s="1694"/>
      <c r="S28" s="1694"/>
      <c r="T28" s="1694"/>
      <c r="U28" s="1694"/>
    </row>
    <row r="29" spans="1:21">
      <c r="A29" s="1755"/>
      <c r="B29" s="1752" t="s">
        <v>1976</v>
      </c>
      <c r="C29" s="1715"/>
      <c r="D29" s="2675" t="s">
        <v>1976</v>
      </c>
      <c r="E29" s="1716"/>
      <c r="F29" s="1688"/>
      <c r="G29" s="1694"/>
      <c r="H29" s="1694"/>
      <c r="I29" s="1707"/>
      <c r="J29" s="1694"/>
      <c r="K29" s="1773"/>
      <c r="L29" s="1722"/>
      <c r="M29" s="1722"/>
      <c r="N29" s="1694"/>
      <c r="O29" s="1695"/>
      <c r="P29" s="1694"/>
      <c r="Q29" s="1694"/>
      <c r="R29" s="1694"/>
      <c r="S29" s="1694"/>
      <c r="T29" s="1694"/>
      <c r="U29" s="1694"/>
    </row>
    <row r="30" spans="1:21" ht="15" thickBot="1">
      <c r="A30" s="1756"/>
      <c r="B30" s="1753" t="s">
        <v>1977</v>
      </c>
      <c r="C30" s="1717"/>
      <c r="D30" s="2676" t="s">
        <v>1977</v>
      </c>
      <c r="E30" s="1718"/>
      <c r="F30" s="1689"/>
      <c r="G30" s="1741"/>
      <c r="H30" s="1741"/>
      <c r="I30" s="1742"/>
      <c r="J30" s="1694"/>
      <c r="K30" s="1773"/>
      <c r="L30" s="1722"/>
      <c r="M30" s="1722"/>
      <c r="N30" s="1694"/>
      <c r="O30" s="1695"/>
      <c r="P30" s="1694"/>
      <c r="Q30" s="1694"/>
      <c r="R30" s="1694"/>
      <c r="S30" s="1694"/>
      <c r="T30" s="1694"/>
      <c r="U30" s="1694"/>
    </row>
    <row r="31" spans="1:21" ht="15" thickTop="1">
      <c r="A31" s="3255" t="s">
        <v>2001</v>
      </c>
      <c r="B31" s="1763" t="s">
        <v>2002</v>
      </c>
      <c r="C31" s="3294" t="s">
        <v>2993</v>
      </c>
      <c r="D31" s="3295"/>
      <c r="E31" s="1694"/>
      <c r="F31" s="1694"/>
      <c r="G31" s="1694"/>
      <c r="H31" s="1694"/>
      <c r="I31" s="1707"/>
      <c r="J31" s="1694"/>
      <c r="K31" s="2481"/>
      <c r="L31" s="1694"/>
      <c r="M31" s="1694"/>
      <c r="N31" s="1694"/>
      <c r="O31" s="1694"/>
      <c r="P31" s="1694"/>
      <c r="Q31" s="1694"/>
      <c r="R31" s="1694"/>
      <c r="S31" s="1694"/>
      <c r="T31" s="1694"/>
      <c r="U31" s="1694"/>
    </row>
    <row r="32" spans="1:21">
      <c r="A32" s="3255"/>
      <c r="B32" s="1661" t="s">
        <v>2003</v>
      </c>
      <c r="C32" s="3180" t="s">
        <v>2994</v>
      </c>
      <c r="D32" s="1719"/>
      <c r="E32" s="1694"/>
      <c r="F32" s="1694"/>
      <c r="G32" s="1694"/>
      <c r="H32" s="1694"/>
      <c r="I32" s="1707"/>
      <c r="J32" s="1694"/>
      <c r="K32" s="2481"/>
      <c r="L32" s="1694"/>
      <c r="M32" s="1694"/>
      <c r="N32" s="1694"/>
      <c r="O32" s="1694"/>
      <c r="P32" s="1694"/>
      <c r="Q32" s="1694"/>
      <c r="R32" s="1694"/>
      <c r="S32" s="1694"/>
      <c r="T32" s="1694"/>
      <c r="U32" s="1694"/>
    </row>
    <row r="33" spans="1:21">
      <c r="A33" s="3255"/>
      <c r="B33" s="1661" t="s">
        <v>2004</v>
      </c>
      <c r="C33" s="1720" t="s">
        <v>2991</v>
      </c>
      <c r="D33" s="1837"/>
      <c r="E33" s="1694"/>
      <c r="F33" s="1694"/>
      <c r="G33" s="1694"/>
      <c r="H33" s="1694"/>
      <c r="I33" s="1707"/>
      <c r="J33" s="1694"/>
      <c r="K33" s="2481"/>
      <c r="L33" s="1694"/>
      <c r="M33" s="1694"/>
      <c r="N33" s="1694"/>
      <c r="O33" s="1694"/>
      <c r="P33" s="1694"/>
      <c r="Q33" s="1694"/>
      <c r="R33" s="1694"/>
      <c r="S33" s="1694"/>
      <c r="T33" s="1694"/>
      <c r="U33" s="1694"/>
    </row>
    <row r="34" spans="1:21">
      <c r="A34" s="3256"/>
      <c r="B34" s="1661" t="s">
        <v>2005</v>
      </c>
      <c r="C34" s="3257"/>
      <c r="D34" s="3258"/>
      <c r="E34" s="1694"/>
      <c r="F34" s="1694"/>
      <c r="G34" s="1694"/>
      <c r="H34" s="1694"/>
      <c r="I34" s="1707"/>
      <c r="J34" s="1694"/>
      <c r="K34" s="2481"/>
      <c r="L34" s="1694"/>
      <c r="M34" s="1694"/>
      <c r="N34" s="1694"/>
      <c r="O34" s="1694"/>
      <c r="P34" s="1694"/>
      <c r="Q34" s="1694"/>
      <c r="R34" s="1694"/>
      <c r="S34" s="1694"/>
      <c r="T34" s="1694"/>
      <c r="U34" s="1694"/>
    </row>
    <row r="35" spans="1:21">
      <c r="A35" s="3259" t="s">
        <v>847</v>
      </c>
      <c r="B35" s="1721" t="s">
        <v>2995</v>
      </c>
      <c r="C35" s="1775" t="str">
        <f>IF(B35="场地平整","——","具体情况：")</f>
        <v>——</v>
      </c>
      <c r="D35" s="3261"/>
      <c r="E35" s="3262"/>
      <c r="F35" s="3262"/>
      <c r="G35" s="3262"/>
      <c r="H35" s="3262"/>
      <c r="I35" s="3263"/>
      <c r="J35" s="1694"/>
      <c r="K35" s="1774"/>
      <c r="L35" s="1722"/>
      <c r="M35" s="1722"/>
      <c r="N35" s="1694"/>
      <c r="O35" s="1695"/>
      <c r="P35" s="1694"/>
      <c r="Q35" s="1694"/>
      <c r="R35" s="1694"/>
      <c r="S35" s="1694"/>
      <c r="T35" s="1694"/>
      <c r="U35" s="1694"/>
    </row>
    <row r="36" spans="1:21">
      <c r="A36" s="3255"/>
      <c r="B36" s="3264" t="s">
        <v>2054</v>
      </c>
      <c r="C36" s="3265"/>
      <c r="D36" s="1791" t="s">
        <v>2996</v>
      </c>
      <c r="E36" s="3266"/>
      <c r="F36" s="3266"/>
      <c r="G36" s="1687" t="str">
        <f>IF(B35="场地未平整","估价结果处理","")</f>
        <v/>
      </c>
      <c r="H36" s="3267"/>
      <c r="I36" s="3267"/>
      <c r="J36" s="1694"/>
      <c r="K36" s="1774"/>
      <c r="L36" s="1722"/>
      <c r="M36" s="1722"/>
      <c r="N36" s="1694"/>
      <c r="O36" s="1695"/>
      <c r="P36" s="1694"/>
      <c r="Q36" s="1694"/>
      <c r="R36" s="1694"/>
      <c r="S36" s="1694"/>
      <c r="T36" s="1694"/>
      <c r="U36" s="1694"/>
    </row>
    <row r="37" spans="1:21" ht="28.5">
      <c r="A37" s="3255"/>
      <c r="B37" s="3285" t="s">
        <v>848</v>
      </c>
      <c r="C37" s="1723" t="s">
        <v>849</v>
      </c>
      <c r="D37" s="1724"/>
      <c r="E37" s="1725"/>
      <c r="F37" s="1694"/>
      <c r="G37" s="1694"/>
      <c r="H37" s="1694"/>
      <c r="I37" s="1707"/>
      <c r="J37" s="1694"/>
      <c r="K37" s="1774"/>
      <c r="L37" s="1694"/>
      <c r="M37" s="1694"/>
      <c r="N37" s="1694"/>
      <c r="O37" s="1694"/>
      <c r="P37" s="1694"/>
      <c r="Q37" s="1694"/>
      <c r="R37" s="1694"/>
      <c r="S37" s="1694"/>
      <c r="T37" s="1694"/>
      <c r="U37" s="1694"/>
    </row>
    <row r="38" spans="1:21">
      <c r="A38" s="3255"/>
      <c r="B38" s="3286"/>
      <c r="C38" s="1669" t="s">
        <v>850</v>
      </c>
      <c r="D38" s="1790">
        <f>ROUNDDOWN(MIN(('数据-取费表'!$B$2-D37)/365,D34),1)</f>
        <v>118.4</v>
      </c>
      <c r="E38" s="1726" t="s">
        <v>851</v>
      </c>
      <c r="F38" s="1694"/>
      <c r="G38" s="1694"/>
      <c r="H38" s="1694"/>
      <c r="I38" s="1707"/>
      <c r="J38" s="1694"/>
      <c r="K38" s="1774"/>
      <c r="L38" s="1694"/>
      <c r="M38" s="1694"/>
      <c r="N38" s="1694"/>
      <c r="O38" s="1694"/>
      <c r="P38" s="1694"/>
      <c r="Q38" s="1694"/>
      <c r="R38" s="1694"/>
      <c r="S38" s="1694"/>
      <c r="T38" s="1694"/>
      <c r="U38" s="1694"/>
    </row>
    <row r="39" spans="1:21">
      <c r="A39" s="3256"/>
      <c r="B39" s="3287"/>
      <c r="C39" s="1697" t="str">
        <f>IF(D38&lt;1,"不存在土地闲置",IF(B35="宗地内已开工建设","已开工，不存在土地闲置","估价对象已涉嫌土地闲置"))</f>
        <v>估价对象已涉嫌土地闲置</v>
      </c>
      <c r="D39" s="1727"/>
      <c r="E39" s="1728"/>
      <c r="F39" s="1694"/>
      <c r="G39" s="1694"/>
      <c r="H39" s="1694"/>
      <c r="I39" s="1707"/>
      <c r="J39" s="1694"/>
      <c r="K39" s="1773"/>
      <c r="L39" s="1722"/>
      <c r="M39" s="1722"/>
      <c r="N39" s="1694"/>
      <c r="O39" s="1695"/>
      <c r="P39" s="1694"/>
      <c r="Q39" s="1694"/>
      <c r="R39" s="1694"/>
      <c r="S39" s="1694"/>
      <c r="T39" s="1694"/>
      <c r="U39" s="1694"/>
    </row>
    <row r="40" spans="1:21">
      <c r="A40" s="1687" t="s">
        <v>1978</v>
      </c>
      <c r="B40" s="1690" t="s">
        <v>2997</v>
      </c>
      <c r="C40" s="1690" t="s">
        <v>2998</v>
      </c>
      <c r="D40" s="1690" t="s">
        <v>2999</v>
      </c>
      <c r="E40" s="1690" t="s">
        <v>3000</v>
      </c>
      <c r="F40" s="1690" t="s">
        <v>3001</v>
      </c>
      <c r="G40" s="1690" t="s">
        <v>3002</v>
      </c>
      <c r="H40" s="1690"/>
      <c r="I40" s="1707"/>
      <c r="J40" s="1694"/>
      <c r="K40" s="1729">
        <f>COUNTIF(B40:H40,"——")</f>
        <v>0</v>
      </c>
      <c r="L40" s="1699" t="s">
        <v>1979</v>
      </c>
      <c r="M40" s="1696" t="s">
        <v>1980</v>
      </c>
      <c r="N40" s="1696" t="s">
        <v>1981</v>
      </c>
      <c r="O40" s="1696" t="s">
        <v>1982</v>
      </c>
      <c r="P40" s="1696" t="s">
        <v>1983</v>
      </c>
      <c r="Q40" s="1696" t="s">
        <v>1984</v>
      </c>
      <c r="R40" s="1696" t="s">
        <v>1985</v>
      </c>
      <c r="S40" s="3268" t="s">
        <v>1986</v>
      </c>
      <c r="T40" s="1730" t="str">
        <f>NUMBERSTRING(7-K40,1)&amp;"通"</f>
        <v>七通</v>
      </c>
      <c r="U40" s="1694"/>
    </row>
    <row r="41" spans="1:21" ht="28.5">
      <c r="A41" s="1663"/>
      <c r="B41" s="3260" t="s">
        <v>1722</v>
      </c>
      <c r="C41" s="3260"/>
      <c r="D41" s="3260"/>
      <c r="E41" s="3260"/>
      <c r="F41" s="1731" t="str">
        <f>C10</f>
        <v>广东省汕头市</v>
      </c>
      <c r="G41" s="1694"/>
      <c r="H41" s="1694"/>
      <c r="I41" s="1707"/>
      <c r="J41" s="1694"/>
      <c r="K41" s="1699"/>
      <c r="L41" s="1696"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268"/>
      <c r="T41" s="1732" t="str">
        <f>IF(T40="一通",L41,IF(T40="二通",M41,IF(T40="三通",N41,IF(T40="四通",O41,IF(T40="五通",P41,IF(T40="六通",Q41,R41))))))</f>
        <v>通路、通电、通讯、通上水、通下水、燃气、</v>
      </c>
      <c r="U41" s="1694"/>
    </row>
    <row r="42" spans="1:21">
      <c r="A42" s="1734"/>
      <c r="B42" s="1765" t="s">
        <v>1898</v>
      </c>
      <c r="C42" s="1765" t="s">
        <v>1899</v>
      </c>
      <c r="D42" s="1765" t="s">
        <v>1900</v>
      </c>
      <c r="E42" s="1699" t="s">
        <v>1901</v>
      </c>
      <c r="F42" s="1735"/>
      <c r="G42" s="1694"/>
      <c r="H42" s="1694"/>
      <c r="I42" s="1707"/>
      <c r="J42" s="1694"/>
      <c r="K42" s="1773"/>
      <c r="L42" s="1722"/>
      <c r="M42" s="1722"/>
      <c r="N42" s="1694"/>
      <c r="O42" s="1695"/>
      <c r="P42" s="1694"/>
      <c r="Q42" s="1694"/>
      <c r="R42" s="1694"/>
      <c r="S42" s="1694"/>
      <c r="T42" s="1694"/>
      <c r="U42" s="1694"/>
    </row>
    <row r="43" spans="1:21">
      <c r="A43" s="1736" t="s">
        <v>1707</v>
      </c>
      <c r="B43" s="1737"/>
      <c r="C43" s="1737"/>
      <c r="D43" s="1737"/>
      <c r="E43" s="1737"/>
      <c r="F43" s="1738"/>
      <c r="G43" s="1694"/>
      <c r="H43" s="1694"/>
      <c r="I43" s="1707"/>
      <c r="J43" s="1694"/>
      <c r="K43" s="1773"/>
      <c r="L43" s="1722"/>
      <c r="M43" s="1722"/>
      <c r="N43" s="1694"/>
      <c r="O43" s="1695"/>
      <c r="P43" s="1694"/>
      <c r="Q43" s="1694"/>
      <c r="R43" s="1694"/>
      <c r="S43" s="1694"/>
      <c r="T43" s="1694"/>
      <c r="U43" s="1694"/>
    </row>
    <row r="44" spans="1:21">
      <c r="A44" s="1736" t="s">
        <v>1708</v>
      </c>
      <c r="B44" s="1737"/>
      <c r="C44" s="1737"/>
      <c r="D44" s="1737"/>
      <c r="E44" s="1791"/>
      <c r="F44" s="1738"/>
      <c r="G44" s="1694"/>
      <c r="H44" s="1694"/>
      <c r="I44" s="1707"/>
      <c r="J44" s="1694"/>
      <c r="K44" s="1773"/>
      <c r="L44" s="1722"/>
      <c r="M44" s="1722"/>
      <c r="N44" s="1694"/>
      <c r="O44" s="1695"/>
      <c r="P44" s="1694"/>
      <c r="Q44" s="1694"/>
      <c r="R44" s="1694"/>
      <c r="S44" s="1694"/>
      <c r="T44" s="1694"/>
      <c r="U44" s="1694"/>
    </row>
    <row r="45" spans="1:21" s="3095" customFormat="1" ht="21" thickBot="1">
      <c r="A45" s="3096" t="s">
        <v>2888</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4"/>
      <c r="B46" s="1694"/>
      <c r="C46" s="1694"/>
      <c r="D46" s="1694"/>
      <c r="E46" s="1694"/>
      <c r="F46" s="1694"/>
      <c r="G46" s="1694"/>
      <c r="H46" s="1694"/>
      <c r="I46" s="1707"/>
      <c r="J46" s="1694"/>
      <c r="K46" s="1773"/>
      <c r="L46" s="1722"/>
      <c r="M46" s="1722"/>
      <c r="N46" s="1694"/>
      <c r="O46" s="1695"/>
      <c r="P46" s="1694"/>
      <c r="Q46" s="1694"/>
      <c r="R46" s="1694"/>
      <c r="S46" s="1694"/>
      <c r="T46" s="1694"/>
      <c r="U46" s="1694"/>
    </row>
    <row r="47" spans="1:21">
      <c r="A47" s="1739" t="s">
        <v>2006</v>
      </c>
      <c r="B47" s="1740"/>
      <c r="C47" s="1728"/>
      <c r="D47" s="1694"/>
      <c r="E47" s="1694"/>
      <c r="F47" s="1694"/>
      <c r="G47" s="1694"/>
      <c r="H47" s="1694"/>
      <c r="I47" s="1695"/>
      <c r="J47" s="1694"/>
      <c r="K47" s="1773"/>
      <c r="L47" s="1722"/>
      <c r="M47" s="1722"/>
      <c r="N47" s="1694"/>
      <c r="O47" s="1695"/>
      <c r="P47" s="1694"/>
      <c r="Q47" s="1694"/>
      <c r="R47" s="1694"/>
      <c r="S47" s="1694"/>
      <c r="T47" s="1694"/>
      <c r="U47" s="1694"/>
    </row>
    <row r="48" spans="1:21" ht="28.5">
      <c r="A48" s="1699" t="s">
        <v>2007</v>
      </c>
      <c r="B48" s="1686" t="s">
        <v>2008</v>
      </c>
      <c r="C48" s="1686" t="s">
        <v>2009</v>
      </c>
      <c r="D48" s="1686" t="s">
        <v>2010</v>
      </c>
      <c r="E48" s="1686" t="s">
        <v>2011</v>
      </c>
      <c r="F48" s="1686" t="s">
        <v>2012</v>
      </c>
      <c r="G48" s="1686" t="s">
        <v>2013</v>
      </c>
      <c r="H48" s="1686" t="s">
        <v>2014</v>
      </c>
      <c r="I48" s="1686" t="s">
        <v>2015</v>
      </c>
      <c r="J48" s="1771" t="s">
        <v>2016</v>
      </c>
      <c r="K48" s="1765" t="s">
        <v>2017</v>
      </c>
      <c r="L48" s="1765" t="s">
        <v>2018</v>
      </c>
      <c r="M48" s="1765" t="s">
        <v>2019</v>
      </c>
      <c r="N48" s="1686" t="s">
        <v>2020</v>
      </c>
      <c r="O48" s="1686" t="s">
        <v>2021</v>
      </c>
      <c r="P48" s="1686" t="s">
        <v>2022</v>
      </c>
      <c r="Q48" s="1699" t="s">
        <v>2023</v>
      </c>
      <c r="R48" s="1699" t="s">
        <v>2024</v>
      </c>
      <c r="S48" s="1694"/>
      <c r="T48" s="1694"/>
      <c r="U48" s="1694"/>
    </row>
    <row r="49" spans="1:21">
      <c r="A49" s="1696"/>
      <c r="B49" s="1729"/>
      <c r="C49" s="1729"/>
      <c r="D49" s="1729"/>
      <c r="E49" s="1729"/>
      <c r="F49" s="1729"/>
      <c r="G49" s="1729"/>
      <c r="H49" s="1729"/>
      <c r="I49" s="1729"/>
      <c r="J49" s="1838"/>
      <c r="K49" s="1839"/>
      <c r="L49" s="1839"/>
      <c r="M49" s="1729"/>
      <c r="N49" s="1729"/>
      <c r="O49" s="1729"/>
      <c r="P49" s="1729"/>
      <c r="Q49" s="1729"/>
      <c r="R49" s="1729"/>
      <c r="S49" s="1694"/>
      <c r="T49" s="1694"/>
      <c r="U49" s="1694"/>
    </row>
    <row r="50" spans="1:21">
      <c r="A50" s="1696"/>
      <c r="B50" s="1696"/>
      <c r="C50" s="1729"/>
      <c r="D50" s="1729"/>
      <c r="E50" s="1729"/>
      <c r="F50" s="1729"/>
      <c r="G50" s="1729"/>
      <c r="H50" s="1729"/>
      <c r="I50" s="1729"/>
      <c r="J50" s="1838"/>
      <c r="K50" s="1839"/>
      <c r="L50" s="1839"/>
      <c r="M50" s="1729"/>
      <c r="N50" s="1729"/>
      <c r="O50" s="1729"/>
      <c r="P50" s="1729"/>
      <c r="Q50" s="1729"/>
      <c r="R50" s="1729"/>
      <c r="S50" s="1694"/>
      <c r="T50" s="1694"/>
      <c r="U50" s="1694"/>
    </row>
    <row r="51" spans="1:21">
      <c r="A51" s="1696"/>
      <c r="B51" s="1696"/>
      <c r="C51" s="1729"/>
      <c r="D51" s="1729"/>
      <c r="E51" s="1729"/>
      <c r="F51" s="1729"/>
      <c r="G51" s="1729"/>
      <c r="H51" s="1729"/>
      <c r="I51" s="1729"/>
      <c r="J51" s="1838"/>
      <c r="K51" s="1839"/>
      <c r="L51" s="1839"/>
      <c r="M51" s="1729"/>
      <c r="N51" s="1729"/>
      <c r="O51" s="1729"/>
      <c r="P51" s="1729"/>
      <c r="Q51" s="1729"/>
      <c r="R51" s="1729"/>
      <c r="S51" s="1694"/>
      <c r="T51" s="1694"/>
      <c r="U51" s="1694"/>
    </row>
    <row r="52" spans="1:21">
      <c r="A52" s="1696"/>
      <c r="B52" s="1696"/>
      <c r="C52" s="1729"/>
      <c r="D52" s="1729"/>
      <c r="E52" s="1729"/>
      <c r="F52" s="1729"/>
      <c r="G52" s="1729"/>
      <c r="H52" s="1729"/>
      <c r="I52" s="1729"/>
      <c r="J52" s="1838"/>
      <c r="K52" s="1839"/>
      <c r="L52" s="1839"/>
      <c r="M52" s="1729"/>
      <c r="N52" s="1729"/>
      <c r="O52" s="1729"/>
      <c r="P52" s="1729"/>
      <c r="Q52" s="1729"/>
      <c r="R52" s="1729"/>
      <c r="S52" s="1694"/>
      <c r="T52" s="1694"/>
      <c r="U52" s="1694"/>
    </row>
    <row r="53" spans="1:21">
      <c r="A53" s="1696"/>
      <c r="B53" s="1696"/>
      <c r="C53" s="1729"/>
      <c r="D53" s="1729"/>
      <c r="E53" s="1729"/>
      <c r="F53" s="1729"/>
      <c r="G53" s="1729"/>
      <c r="H53" s="1729"/>
      <c r="I53" s="1729"/>
      <c r="J53" s="1838"/>
      <c r="K53" s="1839"/>
      <c r="L53" s="1839"/>
      <c r="M53" s="1729"/>
      <c r="N53" s="1729"/>
      <c r="O53" s="1729"/>
      <c r="P53" s="1729"/>
      <c r="Q53" s="1729"/>
      <c r="R53" s="1729"/>
      <c r="S53" s="1694"/>
      <c r="T53" s="1694"/>
      <c r="U53" s="1694"/>
    </row>
    <row r="54" spans="1:21">
      <c r="A54" s="1696"/>
      <c r="B54" s="1696"/>
      <c r="C54" s="1696"/>
      <c r="D54" s="1696"/>
      <c r="E54" s="1696"/>
      <c r="F54" s="1729"/>
      <c r="G54" s="1696"/>
      <c r="H54" s="1696"/>
      <c r="I54" s="1696"/>
      <c r="J54" s="1840"/>
      <c r="K54" s="1839"/>
      <c r="L54" s="1839"/>
      <c r="M54" s="1839"/>
      <c r="N54" s="1696"/>
      <c r="O54" s="1696"/>
      <c r="P54" s="1696"/>
      <c r="Q54" s="1696"/>
      <c r="R54" s="1696"/>
      <c r="S54" s="1694"/>
      <c r="T54" s="1694"/>
      <c r="U54" s="1694"/>
    </row>
    <row r="55" spans="1:21">
      <c r="A55" s="1696"/>
      <c r="B55" s="1696"/>
      <c r="C55" s="1696"/>
      <c r="D55" s="1696"/>
      <c r="E55" s="1696"/>
      <c r="F55" s="1729"/>
      <c r="G55" s="1696"/>
      <c r="H55" s="1696"/>
      <c r="I55" s="1696"/>
      <c r="J55" s="1840"/>
      <c r="K55" s="1839"/>
      <c r="L55" s="1839"/>
      <c r="M55" s="1839"/>
      <c r="N55" s="1696"/>
      <c r="O55" s="1696"/>
      <c r="P55" s="1696"/>
      <c r="Q55" s="1696"/>
      <c r="R55" s="1696"/>
      <c r="S55" s="1694"/>
      <c r="T55" s="1694"/>
      <c r="U55" s="1694"/>
    </row>
    <row r="56" spans="1:21">
      <c r="A56" s="1696"/>
      <c r="B56" s="1696"/>
      <c r="C56" s="1696"/>
      <c r="D56" s="1696"/>
      <c r="E56" s="1696"/>
      <c r="F56" s="1729"/>
      <c r="G56" s="1696"/>
      <c r="H56" s="1696"/>
      <c r="I56" s="1696"/>
      <c r="J56" s="1840"/>
      <c r="K56" s="1839"/>
      <c r="L56" s="1839"/>
      <c r="M56" s="1839"/>
      <c r="N56" s="1696"/>
      <c r="O56" s="1696"/>
      <c r="P56" s="1696"/>
      <c r="Q56" s="1696"/>
      <c r="R56" s="1696"/>
      <c r="S56" s="1694"/>
      <c r="T56" s="1694"/>
      <c r="U56" s="1694"/>
    </row>
    <row r="57" spans="1:21">
      <c r="A57" s="1696"/>
      <c r="B57" s="1696"/>
      <c r="C57" s="1696"/>
      <c r="D57" s="1696"/>
      <c r="E57" s="1696"/>
      <c r="F57" s="1729"/>
      <c r="G57" s="1696"/>
      <c r="H57" s="1696"/>
      <c r="I57" s="1696"/>
      <c r="J57" s="1840"/>
      <c r="K57" s="1839"/>
      <c r="L57" s="1839"/>
      <c r="M57" s="1839"/>
      <c r="N57" s="1696"/>
      <c r="O57" s="1696"/>
      <c r="P57" s="1696"/>
      <c r="Q57" s="1696"/>
      <c r="R57" s="1696"/>
      <c r="S57" s="1694"/>
      <c r="T57" s="1694"/>
      <c r="U57" s="1694"/>
    </row>
    <row r="58" spans="1:21">
      <c r="A58" s="1696"/>
      <c r="B58" s="1696"/>
      <c r="C58" s="1696"/>
      <c r="D58" s="1696"/>
      <c r="E58" s="1696"/>
      <c r="F58" s="1729"/>
      <c r="G58" s="1696"/>
      <c r="H58" s="1696"/>
      <c r="I58" s="1696"/>
      <c r="J58" s="1840"/>
      <c r="K58" s="1839"/>
      <c r="L58" s="1839"/>
      <c r="M58" s="1839"/>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AC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39" width="9.5" style="15" customWidth="1"/>
    <col min="40"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2332</v>
      </c>
      <c r="BA2" s="2360"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15168.4</v>
      </c>
      <c r="B3" s="22">
        <f>IF(C3="否",G5-AT5,G5)</f>
        <v>67516.63</v>
      </c>
      <c r="C3" s="23" t="s">
        <v>2991</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84904.48000000001</v>
      </c>
      <c r="H5" s="27">
        <f t="shared" ref="H5:AT5" si="0">SUM(H13:H641)</f>
        <v>66711.66</v>
      </c>
      <c r="I5" s="27">
        <f t="shared" si="0"/>
        <v>57055.89</v>
      </c>
      <c r="J5" s="27">
        <f t="shared" si="0"/>
        <v>0</v>
      </c>
      <c r="K5" s="27">
        <f t="shared" si="0"/>
        <v>3790.85</v>
      </c>
      <c r="L5" s="27">
        <f t="shared" si="0"/>
        <v>0</v>
      </c>
      <c r="M5" s="27">
        <f t="shared" si="0"/>
        <v>5864.9200000000019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804.97</v>
      </c>
      <c r="AD5" s="27">
        <f t="shared" si="0"/>
        <v>0</v>
      </c>
      <c r="AE5" s="27">
        <f t="shared" si="0"/>
        <v>0</v>
      </c>
      <c r="AF5" s="27">
        <f t="shared" si="0"/>
        <v>0</v>
      </c>
      <c r="AG5" s="27">
        <f t="shared" si="0"/>
        <v>0</v>
      </c>
      <c r="AH5" s="27">
        <f t="shared" si="0"/>
        <v>0</v>
      </c>
      <c r="AI5" s="27">
        <f t="shared" si="0"/>
        <v>0</v>
      </c>
      <c r="AJ5" s="27">
        <f t="shared" si="0"/>
        <v>0</v>
      </c>
      <c r="AK5" s="27">
        <f t="shared" si="0"/>
        <v>0</v>
      </c>
      <c r="AL5" s="27">
        <f t="shared" si="0"/>
        <v>804.97</v>
      </c>
      <c r="AM5" s="27">
        <f t="shared" si="0"/>
        <v>0</v>
      </c>
      <c r="AN5" s="27">
        <f t="shared" si="0"/>
        <v>0</v>
      </c>
      <c r="AO5" s="27">
        <f t="shared" si="0"/>
        <v>0</v>
      </c>
      <c r="AP5" s="27">
        <f t="shared" si="0"/>
        <v>0</v>
      </c>
      <c r="AQ5" s="27">
        <f t="shared" si="0"/>
        <v>0</v>
      </c>
      <c r="AR5" s="27">
        <f t="shared" si="0"/>
        <v>0</v>
      </c>
      <c r="AS5" s="27">
        <f t="shared" si="0"/>
        <v>0</v>
      </c>
      <c r="AT5" s="27">
        <f t="shared" si="0"/>
        <v>17387.849999999999</v>
      </c>
      <c r="AU5" s="988"/>
      <c r="AV5" s="26" t="s">
        <v>168</v>
      </c>
      <c r="AW5" s="989"/>
      <c r="AX5" s="989"/>
      <c r="AY5" s="28" t="s">
        <v>3</v>
      </c>
      <c r="AZ5" s="29">
        <f t="shared" ref="AZ5:BT5" si="1">SUM(AZ13:AZ641)</f>
        <v>67516.63</v>
      </c>
      <c r="BA5" s="29">
        <f t="shared" si="1"/>
        <v>66711.66</v>
      </c>
      <c r="BB5" s="29">
        <f t="shared" si="1"/>
        <v>57055.89</v>
      </c>
      <c r="BC5" s="29">
        <f t="shared" si="1"/>
        <v>3790.85</v>
      </c>
      <c r="BD5" s="29">
        <f t="shared" si="1"/>
        <v>5864.9200000000019</v>
      </c>
      <c r="BE5" s="29">
        <f t="shared" si="1"/>
        <v>0</v>
      </c>
      <c r="BF5" s="29">
        <f t="shared" si="1"/>
        <v>0</v>
      </c>
      <c r="BG5" s="29">
        <f t="shared" si="1"/>
        <v>0</v>
      </c>
      <c r="BH5" s="29">
        <f t="shared" si="1"/>
        <v>0</v>
      </c>
      <c r="BI5" s="29">
        <f t="shared" si="1"/>
        <v>0</v>
      </c>
      <c r="BJ5" s="29">
        <f t="shared" si="1"/>
        <v>0</v>
      </c>
      <c r="BK5" s="29">
        <f t="shared" si="1"/>
        <v>0</v>
      </c>
      <c r="BL5" s="29">
        <f t="shared" si="1"/>
        <v>804.97</v>
      </c>
      <c r="BM5" s="29">
        <f t="shared" si="1"/>
        <v>0</v>
      </c>
      <c r="BN5" s="29">
        <f t="shared" si="1"/>
        <v>0</v>
      </c>
      <c r="BO5" s="29">
        <f t="shared" si="1"/>
        <v>0</v>
      </c>
      <c r="BP5" s="29">
        <f t="shared" si="1"/>
        <v>0</v>
      </c>
      <c r="BQ5" s="29">
        <f t="shared" si="1"/>
        <v>804.97</v>
      </c>
      <c r="BR5" s="29">
        <f t="shared" si="1"/>
        <v>0</v>
      </c>
      <c r="BS5" s="29">
        <f t="shared" si="1"/>
        <v>0</v>
      </c>
      <c r="BT5" s="30">
        <f t="shared" si="1"/>
        <v>0</v>
      </c>
    </row>
    <row r="6" spans="1:72" s="37" customFormat="1" ht="12.75">
      <c r="A6" s="26" t="s">
        <v>169</v>
      </c>
      <c r="B6" s="31"/>
      <c r="C6" s="31"/>
      <c r="D6" s="32"/>
      <c r="E6" s="27">
        <f>H6+AC6+AT6</f>
        <v>15168.4</v>
      </c>
      <c r="F6" s="27" t="s">
        <v>1</v>
      </c>
      <c r="G6" s="27" t="s">
        <v>2</v>
      </c>
      <c r="H6" s="33">
        <f>SUMIF(I$12:AB$12,"总值",I6:AB6)</f>
        <v>14987.55</v>
      </c>
      <c r="I6" s="27">
        <f t="shared" ref="I6:AB6" si="2">ROUND($A$3*I5/$B$3,2)</f>
        <v>12818.27</v>
      </c>
      <c r="J6" s="27">
        <f t="shared" si="2"/>
        <v>0</v>
      </c>
      <c r="K6" s="27">
        <f t="shared" si="2"/>
        <v>851.66</v>
      </c>
      <c r="L6" s="27">
        <f t="shared" si="2"/>
        <v>0</v>
      </c>
      <c r="M6" s="27">
        <f t="shared" si="2"/>
        <v>1317.62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180.85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180.85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15168.4</v>
      </c>
      <c r="AZ6" s="27" t="s">
        <v>3</v>
      </c>
      <c r="BA6" s="27">
        <f>ROUND($AY$6*BA5/$AZ$5,2)</f>
        <v>14987.55</v>
      </c>
      <c r="BB6" s="27">
        <f>ROUND($AY$6*BB5/$AZ$5,2)</f>
        <v>12818.27</v>
      </c>
      <c r="BC6" s="27">
        <f t="shared" ref="BC6:BH6" si="4">ROUND($AY$6*BC5/$AZ$5,2)</f>
        <v>851.66</v>
      </c>
      <c r="BD6" s="27">
        <f t="shared" si="4"/>
        <v>1317.62</v>
      </c>
      <c r="BE6" s="27">
        <f t="shared" si="4"/>
        <v>0</v>
      </c>
      <c r="BF6" s="27">
        <f t="shared" si="4"/>
        <v>0</v>
      </c>
      <c r="BG6" s="27">
        <f t="shared" si="4"/>
        <v>0</v>
      </c>
      <c r="BH6" s="27">
        <f t="shared" si="4"/>
        <v>0</v>
      </c>
      <c r="BI6" s="27">
        <f t="shared" ref="BI6:BT6" si="5">ROUND($AY$6*BI5/$AZ$5,2)</f>
        <v>0</v>
      </c>
      <c r="BJ6" s="27">
        <f t="shared" si="5"/>
        <v>0</v>
      </c>
      <c r="BK6" s="27">
        <f t="shared" si="5"/>
        <v>0</v>
      </c>
      <c r="BL6" s="27">
        <f t="shared" si="5"/>
        <v>180.85</v>
      </c>
      <c r="BM6" s="27">
        <f t="shared" si="5"/>
        <v>0</v>
      </c>
      <c r="BN6" s="27">
        <f t="shared" si="5"/>
        <v>0</v>
      </c>
      <c r="BO6" s="27">
        <f t="shared" si="5"/>
        <v>0</v>
      </c>
      <c r="BP6" s="27">
        <f t="shared" si="5"/>
        <v>0</v>
      </c>
      <c r="BQ6" s="27">
        <f t="shared" si="5"/>
        <v>180.85</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2" t="s">
        <v>3003</v>
      </c>
      <c r="J9" s="51"/>
      <c r="K9" s="3042" t="s">
        <v>3003</v>
      </c>
      <c r="L9" s="51"/>
      <c r="M9" s="3042" t="s">
        <v>3062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2" t="s">
        <v>923</v>
      </c>
      <c r="J10" s="51"/>
      <c r="K10" s="3044" t="s">
        <v>2987</v>
      </c>
      <c r="L10" s="51"/>
      <c r="M10" s="3044" t="s">
        <v>3063</v>
      </c>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2330</v>
      </c>
      <c r="AK10" s="2332"/>
      <c r="AL10" s="2313" t="s">
        <v>2319</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3" t="s">
        <v>3060</v>
      </c>
      <c r="J11" s="71"/>
      <c r="K11" s="3043" t="s">
        <v>3061</v>
      </c>
      <c r="L11" s="71"/>
      <c r="M11" s="70"/>
      <c r="N11" s="71"/>
      <c r="O11" s="70"/>
      <c r="P11" s="71"/>
      <c r="Q11" s="70"/>
      <c r="R11" s="71"/>
      <c r="S11" s="70"/>
      <c r="T11" s="71"/>
      <c r="U11" s="70"/>
      <c r="V11" s="71"/>
      <c r="W11" s="70"/>
      <c r="X11" s="71"/>
      <c r="Y11" s="70"/>
      <c r="Z11" s="71"/>
      <c r="AA11" s="70"/>
      <c r="AB11" s="71"/>
      <c r="AC11" s="55"/>
      <c r="AD11" s="2333" t="s">
        <v>2329</v>
      </c>
      <c r="AE11" s="1002"/>
      <c r="AF11" s="2333" t="s">
        <v>2329</v>
      </c>
      <c r="AG11" s="1002"/>
      <c r="AH11" s="2333" t="s">
        <v>2328</v>
      </c>
      <c r="AI11" s="2334"/>
      <c r="AJ11" s="2333" t="s">
        <v>2328</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7"/>
      <c r="B13" s="3037"/>
      <c r="C13" s="3037" t="s">
        <v>3059</v>
      </c>
      <c r="D13" s="3038" t="s">
        <v>1679</v>
      </c>
      <c r="E13" s="27">
        <f t="shared" ref="E13:E20" si="6">IF($C$3="是",ROUND($A$3*G13/$B$3,2),ROUND($A$3*(G13-AT13)/$B$3,2))</f>
        <v>15168.4</v>
      </c>
      <c r="F13" s="81"/>
      <c r="G13" s="82">
        <f t="shared" ref="G13:G20" si="7">H13+AC13+AT13</f>
        <v>84904.48000000001</v>
      </c>
      <c r="H13" s="33">
        <f t="shared" ref="H13:H20" si="8">SUMIF(I$12:AB$12,"总值",I13:AB13)</f>
        <v>66711.66</v>
      </c>
      <c r="I13" s="3041">
        <v>57055.89</v>
      </c>
      <c r="J13" s="3041"/>
      <c r="K13" s="3041">
        <v>3790.85</v>
      </c>
      <c r="L13" s="3041"/>
      <c r="M13" s="3041">
        <f>23252.77-17387.85</f>
        <v>5864.9200000000019</v>
      </c>
      <c r="N13" s="83"/>
      <c r="O13" s="83"/>
      <c r="P13" s="83"/>
      <c r="Q13" s="83"/>
      <c r="R13" s="83"/>
      <c r="S13" s="83"/>
      <c r="T13" s="83"/>
      <c r="U13" s="83"/>
      <c r="V13" s="83"/>
      <c r="W13" s="83"/>
      <c r="X13" s="83"/>
      <c r="Y13" s="83"/>
      <c r="Z13" s="83"/>
      <c r="AA13" s="83"/>
      <c r="AB13" s="83"/>
      <c r="AC13" s="27">
        <f t="shared" ref="AC13:AC20" si="9">SUMIF(AD$12:AS$12,"总值",AD13:AS13)</f>
        <v>804.97</v>
      </c>
      <c r="AD13" s="3045"/>
      <c r="AE13" s="3045"/>
      <c r="AF13" s="3045"/>
      <c r="AG13" s="3045"/>
      <c r="AH13" s="3045"/>
      <c r="AI13" s="3045"/>
      <c r="AJ13" s="3045"/>
      <c r="AK13" s="3045"/>
      <c r="AL13" s="3045">
        <f>733.98+70.99</f>
        <v>804.97</v>
      </c>
      <c r="AM13" s="3045"/>
      <c r="AN13" s="3045"/>
      <c r="AO13" s="3045"/>
      <c r="AP13" s="3045"/>
      <c r="AQ13" s="3045"/>
      <c r="AR13" s="3045"/>
      <c r="AS13" s="3045"/>
      <c r="AT13" s="3046">
        <v>17387.849999999999</v>
      </c>
      <c r="AU13" s="3047"/>
      <c r="AV13" s="17">
        <f t="shared" ref="AV13:AX20" si="10">A13</f>
        <v>0</v>
      </c>
      <c r="AW13" s="17">
        <f t="shared" si="10"/>
        <v>0</v>
      </c>
      <c r="AX13" s="17" t="str">
        <f t="shared" si="10"/>
        <v>D地块</v>
      </c>
      <c r="AY13" s="996">
        <f t="shared" ref="AY13:AY20" si="11">ROUND($AY$6*AZ13/$AZ$5,2)</f>
        <v>15168.4</v>
      </c>
      <c r="AZ13" s="27">
        <f t="shared" ref="AZ13:AZ20" si="12">BA13+BL13</f>
        <v>67516.63</v>
      </c>
      <c r="BA13" s="27">
        <f t="shared" ref="BA13:BA20" si="13">SUM(BB13:BK13)</f>
        <v>66711.66</v>
      </c>
      <c r="BB13" s="27">
        <f t="shared" ref="BB13:BB20" si="14">IF($D13="是",I13-J13,0)</f>
        <v>57055.89</v>
      </c>
      <c r="BC13" s="27">
        <f t="shared" ref="BC13:BC20" si="15">IF($D13="是",K13-L13,0)</f>
        <v>3790.85</v>
      </c>
      <c r="BD13" s="27">
        <f t="shared" ref="BD13:BD20" si="16">IF($D13="是",M13-N13,0)</f>
        <v>5864.9200000000019</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804.97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804.97</v>
      </c>
      <c r="BR13" s="27">
        <f t="shared" ref="BR13:BR20" si="30">IF($D13="是",AN13-AO13,0)</f>
        <v>0</v>
      </c>
      <c r="BS13" s="27">
        <f t="shared" ref="BS13:BS20" si="31">IF($D13="是",AP13-AQ13,0)</f>
        <v>0</v>
      </c>
      <c r="BT13" s="36">
        <f t="shared" ref="BT13:BT20" si="32">IF($D13="是",AR13-AS13,0)</f>
        <v>0</v>
      </c>
    </row>
    <row r="14" spans="1:72" s="18" customFormat="1" ht="12.75">
      <c r="A14" s="3037"/>
      <c r="B14" s="3037"/>
      <c r="C14" s="3039"/>
      <c r="D14" s="3038" t="s">
        <v>952</v>
      </c>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6" t="s">
        <v>0</v>
      </c>
      <c r="B1" s="3296" t="s">
        <v>4</v>
      </c>
      <c r="C1" s="3296" t="s">
        <v>5</v>
      </c>
      <c r="D1" s="3297" t="s">
        <v>40</v>
      </c>
      <c r="E1" s="3297" t="s">
        <v>41</v>
      </c>
      <c r="F1" s="3297"/>
      <c r="G1" s="3297"/>
      <c r="H1" s="3297"/>
      <c r="I1" s="3297"/>
      <c r="J1" s="3297"/>
      <c r="K1" s="3297"/>
      <c r="L1" s="3297"/>
      <c r="M1" s="3297"/>
    </row>
    <row r="2" spans="1:13" ht="27" customHeight="1">
      <c r="A2" s="3296"/>
      <c r="B2" s="3296"/>
      <c r="C2" s="3296"/>
      <c r="D2" s="3297"/>
      <c r="E2" s="3297" t="s">
        <v>24</v>
      </c>
      <c r="F2" s="3297" t="s">
        <v>25</v>
      </c>
      <c r="G2" s="3297"/>
      <c r="H2" s="3297"/>
      <c r="I2" s="3297"/>
      <c r="J2" s="3297" t="s">
        <v>26</v>
      </c>
      <c r="K2" s="3297"/>
      <c r="L2" s="3297"/>
      <c r="M2" s="3297"/>
    </row>
    <row r="3" spans="1:13" ht="28.5">
      <c r="A3" s="3296"/>
      <c r="B3" s="3296"/>
      <c r="C3" s="3296"/>
      <c r="D3" s="3297"/>
      <c r="E3" s="329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7" t="s">
        <v>42</v>
      </c>
      <c r="B9" s="3297"/>
      <c r="C9" s="32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N9" sqref="N9"/>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07" t="s">
        <v>203</v>
      </c>
      <c r="B2" s="3307"/>
      <c r="C2" s="3307"/>
      <c r="D2" s="1974" t="s">
        <v>204</v>
      </c>
      <c r="E2" s="106" t="s">
        <v>205</v>
      </c>
      <c r="F2" s="1983"/>
      <c r="G2" s="1198"/>
      <c r="H2" s="1199"/>
      <c r="I2" s="1200" t="s">
        <v>857</v>
      </c>
      <c r="J2" s="1983"/>
      <c r="K2" s="1983"/>
      <c r="L2" s="1983"/>
    </row>
    <row r="3" spans="1:16" ht="15.75" thickBot="1">
      <c r="A3" s="3308" t="s">
        <v>206</v>
      </c>
      <c r="B3" s="3308"/>
      <c r="C3" s="3308"/>
      <c r="D3" s="107">
        <f>'数据-基础表'!AY6</f>
        <v>15168.4</v>
      </c>
      <c r="E3" s="107">
        <f>'数据-基础表'!AZ5</f>
        <v>67516.63</v>
      </c>
      <c r="F3" s="1983"/>
      <c r="G3" s="280" t="s">
        <v>858</v>
      </c>
      <c r="H3" s="275" t="s">
        <v>859</v>
      </c>
      <c r="I3" s="1975">
        <f>ROUND('数据-基础表'!B3/'数据-基础表'!A3,2)</f>
        <v>4.45</v>
      </c>
      <c r="J3" s="1983"/>
      <c r="K3" s="1983"/>
      <c r="L3" s="1983"/>
    </row>
    <row r="4" spans="1:16" ht="15">
      <c r="A4" s="3309"/>
      <c r="B4" s="3310"/>
      <c r="C4" s="3311"/>
      <c r="D4" s="108" t="s">
        <v>204</v>
      </c>
      <c r="E4" s="109" t="s">
        <v>205</v>
      </c>
      <c r="F4" s="1983"/>
      <c r="G4" s="1201"/>
      <c r="H4" s="275" t="s">
        <v>860</v>
      </c>
      <c r="I4" s="1975">
        <f>ROUND(SUMIF('数据-基础表'!I9:AS9,"地上",'数据-基础表'!I5:AS5)/'数据-基础表'!A3,2)</f>
        <v>4.0599999999999996</v>
      </c>
      <c r="J4" s="1983"/>
      <c r="K4" s="1983"/>
      <c r="L4" s="1983"/>
    </row>
    <row r="5" spans="1:16">
      <c r="A5" s="110" t="s">
        <v>207</v>
      </c>
      <c r="B5" s="3312" t="s">
        <v>230</v>
      </c>
      <c r="C5" s="3312"/>
      <c r="D5" s="111">
        <f>ROUND($D$3*E5/$E$3,2)</f>
        <v>12818.27</v>
      </c>
      <c r="E5" s="112">
        <f>SUMIF('数据-基础表'!$11:$11,"住宅",'数据-基础表'!$5:$5)</f>
        <v>57055.89</v>
      </c>
      <c r="F5" s="1983"/>
      <c r="G5" s="280" t="s">
        <v>861</v>
      </c>
      <c r="H5" s="275" t="s">
        <v>859</v>
      </c>
      <c r="I5" s="1975">
        <f>ROUND(E31/D31,2)</f>
        <v>4.45</v>
      </c>
      <c r="J5" s="1983"/>
      <c r="K5" s="1983"/>
      <c r="L5" s="1983"/>
    </row>
    <row r="6" spans="1:16" ht="15" thickBot="1">
      <c r="A6" s="113"/>
      <c r="B6" s="3312" t="s">
        <v>208</v>
      </c>
      <c r="C6" s="3312"/>
      <c r="D6" s="111">
        <f>ROUND($D$3*E6/$E$3,2)</f>
        <v>2350.13</v>
      </c>
      <c r="E6" s="112">
        <f>E3-E5</f>
        <v>10460.740000000005</v>
      </c>
      <c r="F6" s="1983"/>
      <c r="G6" s="1201"/>
      <c r="H6" s="275" t="s">
        <v>860</v>
      </c>
      <c r="I6" s="1975">
        <f>ROUND(F31/D31,2)</f>
        <v>4.0599999999999996</v>
      </c>
      <c r="J6" s="1983"/>
      <c r="K6" s="1983"/>
      <c r="L6" s="1983"/>
    </row>
    <row r="7" spans="1:16" ht="15">
      <c r="A7" s="3304"/>
      <c r="B7" s="3305"/>
      <c r="C7" s="3306"/>
      <c r="D7" s="108" t="s">
        <v>204</v>
      </c>
      <c r="E7" s="114" t="s">
        <v>231</v>
      </c>
      <c r="F7" s="1983"/>
      <c r="G7" s="1156" t="s">
        <v>1646</v>
      </c>
      <c r="H7" s="1157"/>
      <c r="I7" s="3198"/>
      <c r="J7" s="1983"/>
      <c r="K7" s="1983"/>
      <c r="L7" s="1983"/>
    </row>
    <row r="8" spans="1:16">
      <c r="A8" s="110" t="s">
        <v>209</v>
      </c>
      <c r="B8" s="115" t="s">
        <v>210</v>
      </c>
      <c r="C8" s="111" t="s">
        <v>211</v>
      </c>
      <c r="D8" s="111">
        <f t="shared" ref="D8:D15" si="0">ROUND($D$3*E8/$E$3,2)</f>
        <v>13669.93</v>
      </c>
      <c r="E8" s="116">
        <f>SUMIF('数据-基础表'!BB10:BK10,"地上",'数据-基础表'!BB5:BK5)</f>
        <v>60846.74</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1317.62</v>
      </c>
      <c r="E13" s="116">
        <f>SUMPRODUCT(('数据-基础表'!BB10:BK10="地下")*('数据-基础表'!BB11:BK11="车库")*('数据-基础表'!BB5:BK5))</f>
        <v>5864.9200000000019</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14987.55</v>
      </c>
      <c r="E16" s="120">
        <f>SUM(E8:E15)</f>
        <v>66711.66</v>
      </c>
      <c r="F16" s="1983"/>
      <c r="G16" s="1985"/>
      <c r="H16" s="968" t="s">
        <v>219</v>
      </c>
      <c r="I16" s="969"/>
      <c r="J16" s="1983"/>
      <c r="K16" s="3298" t="s">
        <v>2566</v>
      </c>
      <c r="L16" s="3299"/>
      <c r="M16" s="3299"/>
      <c r="N16" s="3299"/>
      <c r="O16" s="3299"/>
      <c r="P16" s="3300"/>
    </row>
    <row r="17" spans="1:19" ht="15">
      <c r="A17" s="121" t="s">
        <v>216</v>
      </c>
      <c r="B17" s="122" t="s">
        <v>217</v>
      </c>
      <c r="C17" s="2297" t="s">
        <v>2313</v>
      </c>
      <c r="D17" s="108" t="s">
        <v>204</v>
      </c>
      <c r="E17" s="124" t="s">
        <v>205</v>
      </c>
      <c r="F17" s="125"/>
      <c r="G17" s="1366"/>
      <c r="H17" s="970" t="s">
        <v>218</v>
      </c>
      <c r="I17" s="971" t="s">
        <v>2312</v>
      </c>
      <c r="J17" s="1983"/>
      <c r="K17" s="3301" t="s">
        <v>2567</v>
      </c>
      <c r="L17" s="3302"/>
      <c r="M17" s="3303"/>
      <c r="N17" s="3301" t="s">
        <v>2568</v>
      </c>
      <c r="O17" s="3302"/>
      <c r="P17" s="3303"/>
      <c r="R17" s="2298" t="s">
        <v>2311</v>
      </c>
      <c r="S17" s="144"/>
    </row>
    <row r="18" spans="1:19" ht="15">
      <c r="A18" s="117"/>
      <c r="B18" s="128"/>
      <c r="C18" s="129"/>
      <c r="D18" s="2665"/>
      <c r="E18" s="130" t="s">
        <v>220</v>
      </c>
      <c r="F18" s="131" t="s">
        <v>221</v>
      </c>
      <c r="G18" s="1367" t="s">
        <v>222</v>
      </c>
      <c r="H18" s="972" t="s">
        <v>223</v>
      </c>
      <c r="I18" s="973" t="s">
        <v>224</v>
      </c>
      <c r="J18" s="1983"/>
      <c r="K18" s="2628" t="s">
        <v>2569</v>
      </c>
      <c r="L18" s="2629" t="s">
        <v>2570</v>
      </c>
      <c r="M18" s="2630" t="s">
        <v>2571</v>
      </c>
      <c r="N18" s="2628" t="s">
        <v>2569</v>
      </c>
      <c r="O18" s="2629" t="s">
        <v>2570</v>
      </c>
      <c r="P18" s="2630" t="s">
        <v>2571</v>
      </c>
      <c r="R18" s="2299" t="s">
        <v>2309</v>
      </c>
      <c r="S18" s="2299" t="s">
        <v>2310</v>
      </c>
    </row>
    <row r="19" spans="1:19">
      <c r="A19" s="133"/>
      <c r="B19" s="115" t="s">
        <v>225</v>
      </c>
      <c r="C19" s="3048" t="s">
        <v>3064</v>
      </c>
      <c r="D19" s="111">
        <f t="shared" ref="D19:D26" si="1">ROUND($D$3*E19/$E$3,2)</f>
        <v>12818.27</v>
      </c>
      <c r="E19" s="134">
        <f t="shared" ref="E19:E26" si="2">SUM(F19:G19)</f>
        <v>57055.89</v>
      </c>
      <c r="F19" s="135">
        <f>'数据-基础表'!I13</f>
        <v>57055.89</v>
      </c>
      <c r="G19" s="1368"/>
      <c r="H19" s="974">
        <f>ROUND($D$3*I19/$E$3,2)</f>
        <v>154.66999999999999</v>
      </c>
      <c r="I19" s="116">
        <f>IF($I$17="自定义",P19,M19)</f>
        <v>688.46</v>
      </c>
      <c r="J19" s="1983"/>
      <c r="K19" s="2631">
        <f t="shared" ref="K19:K26" si="3">ROUND(E$28*E19/E$27,2)</f>
        <v>688.46</v>
      </c>
      <c r="L19" s="275">
        <f t="shared" ref="L19:L26" si="4">ROUND(IF(COUNTIF(C19,"*住宅*")&gt;0,E$29*E19/E$32,0),2)</f>
        <v>0</v>
      </c>
      <c r="M19" s="2632">
        <f>K19+L19</f>
        <v>688.46</v>
      </c>
      <c r="N19" s="2633"/>
      <c r="O19" s="2634"/>
      <c r="P19" s="2635">
        <f>N19+O19</f>
        <v>0</v>
      </c>
      <c r="R19" s="275">
        <f t="shared" ref="R19:S26" si="5">D19+H19</f>
        <v>12972.94</v>
      </c>
      <c r="S19" s="2300">
        <f t="shared" si="5"/>
        <v>57744.35</v>
      </c>
    </row>
    <row r="20" spans="1:19">
      <c r="A20" s="138"/>
      <c r="B20" s="115" t="s">
        <v>226</v>
      </c>
      <c r="C20" s="3048" t="s">
        <v>3065</v>
      </c>
      <c r="D20" s="111">
        <f t="shared" si="1"/>
        <v>851.66</v>
      </c>
      <c r="E20" s="134">
        <f t="shared" si="2"/>
        <v>3790.85</v>
      </c>
      <c r="F20" s="135">
        <f>'数据-基础表'!K13</f>
        <v>3790.85</v>
      </c>
      <c r="G20" s="1368"/>
      <c r="H20" s="974">
        <f t="shared" ref="H20:H26" si="6">ROUND($D$3*I20/$E$3,2)</f>
        <v>10.28</v>
      </c>
      <c r="I20" s="116">
        <f t="shared" ref="I20:I26" si="7">IF($I$17="自定义",P20,M20)</f>
        <v>45.74</v>
      </c>
      <c r="J20" s="1983"/>
      <c r="K20" s="2631">
        <f t="shared" si="3"/>
        <v>45.74</v>
      </c>
      <c r="L20" s="275">
        <f t="shared" si="4"/>
        <v>0</v>
      </c>
      <c r="M20" s="2632">
        <f t="shared" ref="M20:M26" si="8">K20+L20</f>
        <v>45.74</v>
      </c>
      <c r="N20" s="2633"/>
      <c r="O20" s="2634"/>
      <c r="P20" s="2635">
        <f t="shared" ref="P20:P26" si="9">N20+O20</f>
        <v>0</v>
      </c>
      <c r="R20" s="275">
        <f t="shared" si="5"/>
        <v>861.93999999999994</v>
      </c>
      <c r="S20" s="2300">
        <f t="shared" si="5"/>
        <v>3836.5899999999997</v>
      </c>
    </row>
    <row r="21" spans="1:19">
      <c r="A21" s="138"/>
      <c r="B21" s="115" t="s">
        <v>226</v>
      </c>
      <c r="C21" s="3048" t="s">
        <v>3066</v>
      </c>
      <c r="D21" s="111">
        <f t="shared" si="1"/>
        <v>1317.62</v>
      </c>
      <c r="E21" s="134">
        <f t="shared" si="2"/>
        <v>5864.9200000000019</v>
      </c>
      <c r="F21" s="135"/>
      <c r="G21" s="1368">
        <f>'数据-基础表'!M13</f>
        <v>5864.9200000000019</v>
      </c>
      <c r="H21" s="974">
        <f t="shared" si="6"/>
        <v>15.9</v>
      </c>
      <c r="I21" s="116">
        <f t="shared" si="7"/>
        <v>70.77</v>
      </c>
      <c r="J21" s="1983"/>
      <c r="K21" s="2631">
        <f t="shared" si="3"/>
        <v>70.77</v>
      </c>
      <c r="L21" s="275">
        <f t="shared" si="4"/>
        <v>0</v>
      </c>
      <c r="M21" s="2632">
        <f t="shared" si="8"/>
        <v>70.77</v>
      </c>
      <c r="N21" s="2633"/>
      <c r="O21" s="2634"/>
      <c r="P21" s="2635">
        <f t="shared" si="9"/>
        <v>0</v>
      </c>
      <c r="R21" s="275">
        <f t="shared" si="5"/>
        <v>1333.52</v>
      </c>
      <c r="S21" s="2300">
        <f t="shared" si="5"/>
        <v>5935.6900000000023</v>
      </c>
    </row>
    <row r="22" spans="1:19">
      <c r="A22" s="138"/>
      <c r="B22" s="115" t="s">
        <v>226</v>
      </c>
      <c r="C22" s="1365"/>
      <c r="D22" s="111">
        <f t="shared" si="1"/>
        <v>0</v>
      </c>
      <c r="E22" s="134">
        <f t="shared" si="2"/>
        <v>0</v>
      </c>
      <c r="F22" s="140"/>
      <c r="G22" s="1369"/>
      <c r="H22" s="974">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75" thickBot="1">
      <c r="A27" s="138"/>
      <c r="B27" s="111"/>
      <c r="C27" s="127" t="s">
        <v>215</v>
      </c>
      <c r="D27" s="134">
        <f>SUM(D19:D26)</f>
        <v>14987.55</v>
      </c>
      <c r="E27" s="143">
        <f>IF(SUM(E19:E26)='数据-基础表'!BA5,SUM(E19:E26),IF(F27="地上面积有误","面积有误","地下面积有误"))</f>
        <v>66711.66</v>
      </c>
      <c r="F27" s="134">
        <f>IF(SUM(F19:F26)=E8,SUM(F19:F26),"地上面积有误")</f>
        <v>60846.74</v>
      </c>
      <c r="G27" s="112">
        <f>SUM(G19:G26)</f>
        <v>5864.9200000000019</v>
      </c>
      <c r="H27" s="975">
        <f>SUM(H19:H26)</f>
        <v>180.85</v>
      </c>
      <c r="I27" s="976">
        <f>SUM(I19:I26)</f>
        <v>804.97</v>
      </c>
      <c r="J27" s="1983"/>
      <c r="K27" s="2640">
        <f t="shared" ref="K27:P27" si="10">SUM(K19:K26)</f>
        <v>804.97</v>
      </c>
      <c r="L27" s="2641">
        <f t="shared" si="10"/>
        <v>0</v>
      </c>
      <c r="M27" s="2642">
        <f t="shared" si="10"/>
        <v>804.97</v>
      </c>
      <c r="N27" s="2640">
        <f t="shared" si="10"/>
        <v>0</v>
      </c>
      <c r="O27" s="2641">
        <f t="shared" si="10"/>
        <v>0</v>
      </c>
      <c r="P27" s="2643">
        <f t="shared" si="10"/>
        <v>0</v>
      </c>
      <c r="R27" s="2304">
        <f>IF(SUM(R19:R26)=$D$3,SUM(R19:R26),SUM(R19:R26)&amp;"误差"&amp;ROUND(SUM(R19:R26)-$D$3,2))</f>
        <v>15168.400000000001</v>
      </c>
      <c r="S27" s="275">
        <f>IF(SUM(S19:S26)=$E$3,SUM(S19:S26),SUM(S19:S26)&amp;"误差"&amp;ROUND(SUM(S19:S26)-E3,2))</f>
        <v>67516.63</v>
      </c>
    </row>
    <row r="28" spans="1:19">
      <c r="A28" s="138"/>
      <c r="B28" s="115" t="s">
        <v>227</v>
      </c>
      <c r="C28" s="136" t="s">
        <v>228</v>
      </c>
      <c r="D28" s="111">
        <f>ROUND($D$3*E28/$E$3,2)</f>
        <v>180.85</v>
      </c>
      <c r="E28" s="134">
        <f>SUM(F28:G28)</f>
        <v>804.97</v>
      </c>
      <c r="F28" s="144">
        <f>'数据-基础表'!BQ5+'数据-基础表'!BS5</f>
        <v>804.97</v>
      </c>
      <c r="G28" s="145">
        <f>'数据-基础表'!BR5+'数据-基础表'!BT5</f>
        <v>0</v>
      </c>
      <c r="H28" s="1983"/>
      <c r="I28" s="1983"/>
      <c r="J28" s="1983"/>
      <c r="K28" s="1983"/>
      <c r="L28" s="1983"/>
    </row>
    <row r="29" spans="1:19">
      <c r="A29" s="138"/>
      <c r="B29" s="115" t="s">
        <v>227</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180.85</v>
      </c>
      <c r="E30" s="134">
        <f>SUM(E28:E29)</f>
        <v>804.97</v>
      </c>
      <c r="F30" s="134">
        <f>SUM(F28:F29)</f>
        <v>804.97</v>
      </c>
      <c r="G30" s="112">
        <f>SUM(G28:G29)</f>
        <v>0</v>
      </c>
      <c r="H30" s="1983"/>
      <c r="I30" s="1983"/>
      <c r="J30" s="1983"/>
      <c r="K30" s="1983"/>
      <c r="L30" s="1983"/>
    </row>
    <row r="31" spans="1:19" ht="32.25" customHeight="1" thickBot="1">
      <c r="A31" s="1370"/>
      <c r="B31" s="1371" t="s">
        <v>229</v>
      </c>
      <c r="C31" s="2329" t="s">
        <v>2322</v>
      </c>
      <c r="D31" s="1372">
        <f>D27+D30</f>
        <v>15168.4</v>
      </c>
      <c r="E31" s="1372">
        <f>E27+E30</f>
        <v>67516.63</v>
      </c>
      <c r="F31" s="1373">
        <f>F27+F30</f>
        <v>61651.71</v>
      </c>
      <c r="G31" s="1374">
        <f>G27+G30</f>
        <v>5864.9200000000019</v>
      </c>
      <c r="H31" s="1983"/>
      <c r="I31" s="1983"/>
      <c r="J31" s="1983"/>
      <c r="K31" s="1983"/>
      <c r="L31" s="1983"/>
    </row>
    <row r="32" spans="1:19">
      <c r="A32" s="1983"/>
      <c r="B32" s="2362" t="s">
        <v>2321</v>
      </c>
      <c r="C32" s="2670"/>
      <c r="D32" s="1201"/>
      <c r="E32" s="1201">
        <f>SUMIF(C19:C26,"*住宅*",E19:E26)</f>
        <v>57055.89</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tabSelected="1" zoomScale="90" zoomScaleNormal="90" workbookViewId="0">
      <pane xSplit="3" ySplit="5" topLeftCell="D36" activePane="bottomRight" state="frozen"/>
      <selection pane="topRight" activeCell="D1" sqref="D1"/>
      <selection pane="bottomLeft" activeCell="A4" sqref="A4"/>
      <selection pane="bottomRight" activeCell="C1" sqref="C1:C104857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43244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44" t="s">
        <v>2572</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2323</v>
      </c>
      <c r="AI5" s="171" t="s">
        <v>2292</v>
      </c>
      <c r="AJ5" s="171" t="s">
        <v>258</v>
      </c>
      <c r="AK5" s="159" t="s">
        <v>259</v>
      </c>
      <c r="AL5" s="159" t="s">
        <v>260</v>
      </c>
      <c r="AM5" s="172" t="s">
        <v>261</v>
      </c>
      <c r="AN5" s="2414"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63523</v>
      </c>
      <c r="F6" s="174">
        <f>SUMIF(项目基本情况!D$15:I$15,C6,项目基本情况!D$19:I$19)</f>
        <v>55.55</v>
      </c>
      <c r="G6" s="175">
        <f t="shared" ref="G6:G13" si="0">IF(ISERROR(ROUND(POWER(1+H6,D6-F6)*(POWER(1+H6,F6)-1)/(POWER(1+H6,D6)-1),3)),0,ROUND(POWER(1+H6,D6-F6)*(POWER(1+H6,F6)-1)/(POWER(1+H6,D6)-1),3))</f>
        <v>0.95699999999999996</v>
      </c>
      <c r="H6" s="3199">
        <v>4.4999999999999998E-2</v>
      </c>
      <c r="I6" s="3199">
        <v>4.4999999999999998E-2</v>
      </c>
      <c r="J6" s="176">
        <v>7.4999999999999997E-2</v>
      </c>
      <c r="K6" s="179">
        <f>SUMIF('数据-汇总表'!C$19:C$33,'数据-取费表'!A6,'数据-汇总表'!E$19:E$33)</f>
        <v>57055.89</v>
      </c>
      <c r="L6" s="3049">
        <v>3000</v>
      </c>
      <c r="M6" s="177">
        <f t="shared" ref="M6:M14" si="1">ROUND(K6*L6/10000,0)</f>
        <v>17117</v>
      </c>
      <c r="N6" s="3050">
        <v>0</v>
      </c>
      <c r="O6" s="177">
        <f>IF($N$5="成新度","——",ROUND(M6*N6,0))</f>
        <v>0</v>
      </c>
      <c r="P6" s="178">
        <f>IF($N$5="成新度","——",M6-O6)</f>
        <v>17117</v>
      </c>
      <c r="Q6" s="3051">
        <v>0.25</v>
      </c>
      <c r="R6" s="179">
        <f>SUMIF('数据-汇总表'!C$19:C$33,A6,'数据-汇总表'!R$19:R$33)</f>
        <v>12972.94</v>
      </c>
      <c r="S6" s="132">
        <f>IF('数据-汇总表'!$I$17="按面积比例",SUMIF('数据-汇总表'!C$19:C$33,A6,'数据-汇总表'!K$19:K$33),SUMIF('数据-汇总表'!C$19:C$33,A6,'数据-汇总表'!N$19:N$33))</f>
        <v>688.46</v>
      </c>
      <c r="T6" s="2233">
        <f>IF($T$4="按面积比例",IF(ISERROR(ROUND($M$14*S6/S$16,0)),"0",ROUND($M$14*S6/S$16,0)),"需自行计算录入")</f>
        <v>206</v>
      </c>
      <c r="U6" s="180"/>
      <c r="V6" s="181"/>
      <c r="W6" s="181"/>
      <c r="X6" s="2320"/>
      <c r="Y6" s="182"/>
      <c r="Z6" s="183"/>
      <c r="AA6" s="176"/>
      <c r="AB6" s="176"/>
      <c r="AC6" s="2323"/>
      <c r="AD6" s="184"/>
      <c r="AE6" s="972">
        <f ca="1">IF(AN6="",0,SUMIF(INDIRECT("'"&amp;AN6&amp;"'"&amp;"!E:E"),$AE$5,INDIRECT("'"&amp;AN6&amp;"'"&amp;"!F:F")))</f>
        <v>33.54</v>
      </c>
      <c r="AF6" s="141"/>
      <c r="AG6" s="1213">
        <f>IF(AF6="",0,AE6-AF6)</f>
        <v>0</v>
      </c>
      <c r="AH6" s="141"/>
      <c r="AI6" s="187">
        <v>365</v>
      </c>
      <c r="AJ6" s="188"/>
      <c r="AK6" s="189"/>
      <c r="AL6" s="190"/>
      <c r="AM6" s="3062"/>
      <c r="AN6" s="2415" t="s">
        <v>3004</v>
      </c>
      <c r="AO6" s="1999"/>
      <c r="AP6" s="1204">
        <f>ROUND(1-1/(1+H6)^F6,3)</f>
        <v>0.91300000000000003</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2">IF(A7=0,"","经营性")</f>
        <v>经营性</v>
      </c>
      <c r="C7" s="173" t="s">
        <v>2987</v>
      </c>
      <c r="D7" s="2307">
        <f>SUMIF(项目基本情况!D$15:I$15,C7,项目基本情况!D$18:I$18)</f>
        <v>40</v>
      </c>
      <c r="E7" s="2308">
        <f>IF(B7="","",SUMIF(项目基本情况!D$15:I$15,C7,项目基本情况!D$17:I$17))</f>
        <v>52565</v>
      </c>
      <c r="F7" s="174">
        <f>SUMIF(项目基本情况!D$15:I$15,C7,项目基本情况!D$19:I$19)</f>
        <v>25.53</v>
      </c>
      <c r="G7" s="175">
        <f t="shared" si="0"/>
        <v>0.81499999999999995</v>
      </c>
      <c r="H7" s="3199">
        <v>4.4999999999999998E-2</v>
      </c>
      <c r="I7" s="3199">
        <v>0.05</v>
      </c>
      <c r="J7" s="176">
        <v>7.4999999999999997E-2</v>
      </c>
      <c r="K7" s="179">
        <f>SUMIF('数据-汇总表'!C$19:C$33,'数据-取费表'!A7,'数据-汇总表'!E$19:E$33)</f>
        <v>3790.85</v>
      </c>
      <c r="L7" s="3049">
        <v>3000</v>
      </c>
      <c r="M7" s="177">
        <f t="shared" si="1"/>
        <v>1137</v>
      </c>
      <c r="N7" s="3050">
        <v>0</v>
      </c>
      <c r="O7" s="177">
        <f t="shared" ref="O7:O14" si="3">IF($N$5="成新度","——",ROUND(M7*N7,0))</f>
        <v>0</v>
      </c>
      <c r="P7" s="178">
        <f t="shared" ref="P7:P14" si="4">IF($N$5="成新度","——",M7-O7)</f>
        <v>1137</v>
      </c>
      <c r="Q7" s="3051">
        <v>0.3</v>
      </c>
      <c r="R7" s="179">
        <f>SUMIF('数据-汇总表'!C$19:C$33,A7,'数据-汇总表'!R$19:R$33)</f>
        <v>861.93999999999994</v>
      </c>
      <c r="S7" s="132">
        <f>IF('数据-汇总表'!$I$17="按面积比例",SUMIF('数据-汇总表'!C$19:C$33,A7,'数据-汇总表'!K$19:K$33),SUMIF('数据-汇总表'!C$19:C$33,A7,'数据-汇总表'!N$19:N$33))</f>
        <v>45.74</v>
      </c>
      <c r="T7" s="2233">
        <f t="shared" ref="T7:T13" si="5">IF($T$4="按面积比例",IF(ISERROR(ROUND($M$14*S7/S$16,0)),"0",ROUND($M$14*S7/S$16,0)),"需自行计算录入")</f>
        <v>14</v>
      </c>
      <c r="U7" s="180">
        <v>5</v>
      </c>
      <c r="V7" s="181">
        <v>3.5000000000000003E-2</v>
      </c>
      <c r="W7" s="181">
        <v>0.15</v>
      </c>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v>365</v>
      </c>
      <c r="AJ7" s="188"/>
      <c r="AK7" s="189">
        <v>1.4999999999999999E-2</v>
      </c>
      <c r="AL7" s="190">
        <v>1.5E-3</v>
      </c>
      <c r="AM7" s="3062">
        <v>0.01</v>
      </c>
      <c r="AN7" s="2415"/>
      <c r="AO7" s="1999"/>
      <c r="AP7" s="1204">
        <f t="shared" ref="AP7:AP13" si="8">ROUND(1-1/(1+H7)^F7,3)</f>
        <v>0.67500000000000004</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车库</v>
      </c>
      <c r="B8" s="2336" t="str">
        <f t="shared" si="2"/>
        <v>经营性</v>
      </c>
      <c r="C8" s="173" t="s">
        <v>3063</v>
      </c>
      <c r="D8" s="2307">
        <f>SUMIF(项目基本情况!D$15:I$15,C8,项目基本情况!D$18:I$18)</f>
        <v>50</v>
      </c>
      <c r="E8" s="2308">
        <f>IF(B8="","",SUMIF(项目基本情况!D$15:I$15,C8,项目基本情况!D$17:I$17))</f>
        <v>56218</v>
      </c>
      <c r="F8" s="174">
        <f>SUMIF(项目基本情况!D$15:I$15,C8,项目基本情况!D$19:I$19)</f>
        <v>35.54</v>
      </c>
      <c r="G8" s="175">
        <f t="shared" si="0"/>
        <v>0.88900000000000001</v>
      </c>
      <c r="H8" s="3199">
        <v>4.4999999999999998E-2</v>
      </c>
      <c r="I8" s="3199">
        <v>4.4999999999999998E-2</v>
      </c>
      <c r="J8" s="176">
        <v>7.4999999999999997E-2</v>
      </c>
      <c r="K8" s="179">
        <f>SUMIF('数据-汇总表'!C$19:C$33,'数据-取费表'!A8,'数据-汇总表'!E$19:E$33)</f>
        <v>5864.9200000000019</v>
      </c>
      <c r="L8" s="3049">
        <v>3000</v>
      </c>
      <c r="M8" s="177">
        <f>ROUND(K8*L8/10000,0)</f>
        <v>1759</v>
      </c>
      <c r="N8" s="3050">
        <v>0</v>
      </c>
      <c r="O8" s="177">
        <f t="shared" si="3"/>
        <v>0</v>
      </c>
      <c r="P8" s="178">
        <f t="shared" si="4"/>
        <v>1759</v>
      </c>
      <c r="Q8" s="3051">
        <v>0.2</v>
      </c>
      <c r="R8" s="179">
        <f>SUMIF('数据-汇总表'!C$19:C$33,A8,'数据-汇总表'!R$19:R$33)</f>
        <v>1333.52</v>
      </c>
      <c r="S8" s="132">
        <f>IF('数据-汇总表'!$I$17="按面积比例",SUMIF('数据-汇总表'!C$19:C$33,A8,'数据-汇总表'!K$19:K$33),SUMIF('数据-汇总表'!C$19:C$33,A8,'数据-汇总表'!N$19:N$33))</f>
        <v>70.77</v>
      </c>
      <c r="T8" s="2233">
        <f t="shared" si="5"/>
        <v>21</v>
      </c>
      <c r="U8" s="180">
        <v>2</v>
      </c>
      <c r="V8" s="181">
        <v>0.02</v>
      </c>
      <c r="W8" s="181">
        <v>0.15</v>
      </c>
      <c r="X8" s="2320"/>
      <c r="Y8" s="3201">
        <v>1</v>
      </c>
      <c r="Z8" s="183"/>
      <c r="AA8" s="176"/>
      <c r="AB8" s="176"/>
      <c r="AC8" s="2323"/>
      <c r="AD8" s="184"/>
      <c r="AE8" s="972">
        <f t="shared" ca="1" si="6"/>
        <v>33.54</v>
      </c>
      <c r="AF8" s="141"/>
      <c r="AG8" s="1213">
        <f t="shared" si="7"/>
        <v>0</v>
      </c>
      <c r="AH8" s="141"/>
      <c r="AI8" s="187">
        <v>365</v>
      </c>
      <c r="AJ8" s="188"/>
      <c r="AK8" s="189">
        <v>1.4999999999999999E-2</v>
      </c>
      <c r="AL8" s="190">
        <v>1.5E-3</v>
      </c>
      <c r="AM8" s="3062">
        <v>0.01</v>
      </c>
      <c r="AN8" s="2415" t="s">
        <v>3004</v>
      </c>
      <c r="AO8" s="1999"/>
      <c r="AP8" s="1204">
        <f t="shared" si="8"/>
        <v>0.79100000000000004</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2"/>
        <v/>
      </c>
      <c r="C9" s="173"/>
      <c r="D9" s="2307">
        <f>SUMIF(项目基本情况!D$15:I$15,C9,项目基本情况!D$18:I$18)</f>
        <v>0</v>
      </c>
      <c r="E9" s="2308"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413"/>
      <c r="AN9" s="2415"/>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2"/>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413"/>
      <c r="AN10" s="2415"/>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2"/>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2"/>
        <v/>
      </c>
      <c r="C12" s="173"/>
      <c r="D12" s="2307">
        <f>SUMIF(项目基本情况!D$15:I$15,C12,项目基本情况!D$18:I$18)</f>
        <v>0</v>
      </c>
      <c r="E12" s="2308"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2"/>
        <v/>
      </c>
      <c r="C13" s="173"/>
      <c r="D13" s="2307">
        <f>SUMIF(项目基本情况!D$15:I$15,C13,项目基本情况!D$18:I$18)</f>
        <v>0</v>
      </c>
      <c r="E13" s="2308"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2314</v>
      </c>
      <c r="B14" s="2305" t="s">
        <v>1680</v>
      </c>
      <c r="C14" s="2306" t="s">
        <v>2314</v>
      </c>
      <c r="D14" s="2307"/>
      <c r="E14" s="2308"/>
      <c r="F14" s="174"/>
      <c r="G14" s="175"/>
      <c r="H14" s="2309"/>
      <c r="I14" s="2309"/>
      <c r="J14" s="2309"/>
      <c r="K14" s="179">
        <f>SUMIF('数据-汇总表'!C$19:C$33,'数据-取费表'!A14,'数据-汇总表'!E$19:E$33)</f>
        <v>804.97</v>
      </c>
      <c r="L14" s="3200">
        <v>3000</v>
      </c>
      <c r="M14" s="177">
        <f t="shared" si="1"/>
        <v>241</v>
      </c>
      <c r="N14" s="194"/>
      <c r="O14" s="177">
        <f t="shared" si="3"/>
        <v>0</v>
      </c>
      <c r="P14" s="178">
        <f t="shared" si="4"/>
        <v>241</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2316</v>
      </c>
      <c r="B15" s="2305" t="s">
        <v>1680</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0.94299999999999995</v>
      </c>
      <c r="H16" s="203">
        <f>ROUND(SUMPRODUCT(H6:H13,K6:K13)/SUMPRODUCT((H6:H13&gt;0)*(K6:K13)),3)</f>
        <v>4.4999999999999998E-2</v>
      </c>
      <c r="I16" s="204"/>
      <c r="J16" s="204"/>
      <c r="K16" s="205">
        <f>SUM(K6:K15)</f>
        <v>67516.63</v>
      </c>
      <c r="L16" s="206">
        <f>ROUND(M16*10000/SUM(K6:K14),0)</f>
        <v>3000</v>
      </c>
      <c r="M16" s="206">
        <f>SUM(M6:M14)</f>
        <v>20254</v>
      </c>
      <c r="N16" s="207">
        <f>ROUND(SUMPRODUCT(M6:M14,N6:N14)/M16,3)</f>
        <v>0</v>
      </c>
      <c r="O16" s="206">
        <f>SUM(O6:O14)</f>
        <v>0</v>
      </c>
      <c r="P16" s="206">
        <f>SUM(P6:P14)</f>
        <v>20254</v>
      </c>
      <c r="Q16" s="208">
        <f>ROUND(SUMPRODUCT(Q6:Q13,K6:K13)/SUMPRODUCT((Q6:Q13&gt;0)*(K6:K13)),2)</f>
        <v>0.25</v>
      </c>
      <c r="R16" s="2310">
        <f>SUM(R6:R13)</f>
        <v>15168.400000000001</v>
      </c>
      <c r="S16" s="209">
        <f>SUM(S6:S13)</f>
        <v>804.97</v>
      </c>
      <c r="T16" s="210">
        <f>IF(SUMIF(T6:T13,"&lt;9E307")=M14,SUMIF(T6:T13,"&lt;9E307"),"有误，请检查")</f>
        <v>241</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0.88900000000000001</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2337</v>
      </c>
      <c r="B27" s="227">
        <f>ROUND(L6*0.04,0)</f>
        <v>120</v>
      </c>
      <c r="C27" s="2366" t="s">
        <v>2341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2338</v>
      </c>
      <c r="B28" s="229">
        <f>B27</f>
        <v>120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2336</v>
      </c>
      <c r="B29" s="232"/>
      <c r="C29" s="1553"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64" t="s">
        <v>2889</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2890</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2891</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2892</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2893</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64" t="s">
        <v>2893</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2456</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2457</v>
      </c>
      <c r="B40" s="2504">
        <f ca="1">存贷款利率!E2</f>
        <v>4.7500000000000001E-2</v>
      </c>
      <c r="C40" s="2364"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2894</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2895</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2896</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97" t="s">
        <v>2897</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98" t="s">
        <v>2898</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98" t="s">
        <v>2899</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1097</v>
      </c>
      <c r="C53" s="3099" t="s">
        <v>2900</v>
      </c>
      <c r="D53" s="3100" t="s">
        <v>2901</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2" t="s">
        <v>2902</v>
      </c>
      <c r="B54" s="186">
        <v>8</v>
      </c>
      <c r="C54" s="1993">
        <v>30</v>
      </c>
      <c r="D54" s="3101"/>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2" t="s">
        <v>2903</v>
      </c>
      <c r="B55" s="186"/>
      <c r="C55" s="1993">
        <v>24</v>
      </c>
      <c r="D55" s="3101"/>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2" t="s">
        <v>2904</v>
      </c>
      <c r="B56" s="186"/>
      <c r="C56" s="1993">
        <v>18</v>
      </c>
      <c r="D56" s="3101"/>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2" t="s">
        <v>2905</v>
      </c>
      <c r="B57" s="186"/>
      <c r="C57" s="1993">
        <v>12</v>
      </c>
      <c r="D57" s="3101"/>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2" t="s">
        <v>2906</v>
      </c>
      <c r="B58" s="186"/>
      <c r="C58" s="1993">
        <v>3</v>
      </c>
      <c r="D58" s="3101"/>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2" t="s">
        <v>2907</v>
      </c>
      <c r="B59" s="186"/>
      <c r="C59" s="1993">
        <v>1.5</v>
      </c>
      <c r="D59" s="3101"/>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2" t="s">
        <v>2908</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2" t="s">
        <v>2909</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2" t="s">
        <v>2910</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3" t="s">
        <v>2911</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47" priority="12" stopIfTrue="1" operator="containsText" text="自行计算">
      <formula>NOT(ISERROR(SEARCH("自行计算",T6)))</formula>
    </cfRule>
    <cfRule type="containsText" dxfId="146" priority="13" stopIfTrue="1" operator="containsText" text="自行计算">
      <formula>NOT(ISERROR(SEARCH("自行计算",T6)))</formula>
    </cfRule>
  </conditionalFormatting>
  <conditionalFormatting sqref="T6:T13">
    <cfRule type="containsText" dxfId="145" priority="10" stopIfTrue="1" operator="containsText" text="自行计算">
      <formula>NOT(ISERROR(SEARCH("自行计算",T6)))</formula>
    </cfRule>
    <cfRule type="containsText" dxfId="144" priority="11" stopIfTrue="1" operator="containsText" text="自行计算">
      <formula>NOT(ISERROR(SEARCH("自行计算",T6)))</formula>
    </cfRule>
  </conditionalFormatting>
  <conditionalFormatting sqref="T12:T13">
    <cfRule type="containsText" dxfId="143" priority="4" stopIfTrue="1" operator="containsText" text="自行计算">
      <formula>NOT(ISERROR(SEARCH("自行计算",T12)))</formula>
    </cfRule>
    <cfRule type="containsText" dxfId="142" priority="5" stopIfTrue="1" operator="containsText" text="自行计算">
      <formula>NOT(ISERROR(SEARCH("自行计算",T12)))</formula>
    </cfRule>
  </conditionalFormatting>
  <conditionalFormatting sqref="T12:T13">
    <cfRule type="containsText" dxfId="141" priority="2" stopIfTrue="1" operator="containsText" text="自行计算">
      <formula>NOT(ISERROR(SEARCH("自行计算",T12)))</formula>
    </cfRule>
    <cfRule type="containsText" dxfId="140" priority="3" stopIfTrue="1" operator="containsText"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13" t="s">
        <v>1664</v>
      </c>
      <c r="B1" s="3314"/>
      <c r="C1" s="3314"/>
      <c r="D1" s="3314"/>
      <c r="E1" s="3314"/>
      <c r="F1" s="3314"/>
      <c r="G1" s="3314"/>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104" t="s">
        <v>2918</v>
      </c>
      <c r="D3" s="2008"/>
      <c r="E3" s="1229" t="s">
        <v>1667</v>
      </c>
      <c r="F3" s="1230" t="s">
        <v>1655</v>
      </c>
      <c r="G3" s="3108" t="s">
        <v>2917</v>
      </c>
      <c r="H3" s="2007"/>
      <c r="I3" s="2007"/>
      <c r="J3" s="2007"/>
      <c r="K3" s="2007"/>
      <c r="L3" s="2007"/>
      <c r="M3" s="2007"/>
      <c r="N3" s="2007"/>
      <c r="O3" s="2007"/>
      <c r="P3" s="2007"/>
      <c r="Q3" s="2007"/>
      <c r="R3" s="2007"/>
    </row>
    <row r="4" spans="1:18" ht="41.25">
      <c r="A4" s="1229"/>
      <c r="B4" s="1231" t="s">
        <v>1668</v>
      </c>
      <c r="C4" s="3105" t="s">
        <v>2919</v>
      </c>
      <c r="D4" s="2008"/>
      <c r="E4" s="1232"/>
      <c r="F4" s="1233" t="s">
        <v>1669</v>
      </c>
      <c r="G4" s="3106" t="s">
        <v>2914</v>
      </c>
      <c r="H4" s="2007"/>
      <c r="I4" s="2007"/>
      <c r="J4" s="2007"/>
      <c r="K4" s="2007"/>
      <c r="L4" s="2007"/>
      <c r="M4" s="2007"/>
      <c r="N4" s="2007"/>
      <c r="O4" s="2007"/>
      <c r="P4" s="2007"/>
      <c r="Q4" s="2007"/>
      <c r="R4" s="2007"/>
    </row>
    <row r="5" spans="1:18" ht="41.25">
      <c r="A5" s="1229"/>
      <c r="B5" s="1231" t="s">
        <v>1670</v>
      </c>
      <c r="C5" s="3105" t="s">
        <v>2920</v>
      </c>
      <c r="D5" s="2008"/>
      <c r="E5" s="1232"/>
      <c r="F5" s="1231" t="s">
        <v>2546</v>
      </c>
      <c r="G5" s="3106" t="s">
        <v>2915</v>
      </c>
      <c r="H5" s="2007"/>
      <c r="I5" s="2007"/>
      <c r="J5" s="2007"/>
      <c r="K5" s="2007"/>
      <c r="L5" s="2007"/>
      <c r="M5" s="2007"/>
      <c r="N5" s="2007"/>
      <c r="O5" s="2007"/>
      <c r="P5" s="2007"/>
      <c r="Q5" s="2007"/>
      <c r="R5" s="2007"/>
    </row>
    <row r="6" spans="1:18" ht="54">
      <c r="A6" s="1229"/>
      <c r="B6" s="1231" t="s">
        <v>1656</v>
      </c>
      <c r="C6" s="3106" t="s">
        <v>2914</v>
      </c>
      <c r="D6" s="2008"/>
      <c r="E6" s="1232"/>
      <c r="F6" s="1231" t="s">
        <v>2547</v>
      </c>
      <c r="G6" s="3106" t="s">
        <v>2912</v>
      </c>
      <c r="H6" s="2007"/>
      <c r="I6" s="2007"/>
      <c r="J6" s="2007"/>
      <c r="K6" s="2007"/>
      <c r="L6" s="2007"/>
      <c r="M6" s="2007"/>
      <c r="N6" s="2007"/>
      <c r="O6" s="2007"/>
      <c r="P6" s="2007"/>
      <c r="Q6" s="2007"/>
      <c r="R6" s="2007"/>
    </row>
    <row r="7" spans="1:18" ht="41.25" thickBot="1">
      <c r="A7" s="1229"/>
      <c r="B7" s="1231" t="s">
        <v>2546</v>
      </c>
      <c r="C7" s="3106" t="s">
        <v>2915</v>
      </c>
      <c r="D7" s="2009"/>
      <c r="E7" s="1234"/>
      <c r="F7" s="1235" t="s">
        <v>1671</v>
      </c>
      <c r="G7" s="3109" t="s">
        <v>2916</v>
      </c>
      <c r="H7" s="2007"/>
      <c r="I7" s="2007"/>
      <c r="J7" s="2007"/>
      <c r="K7" s="2007"/>
      <c r="L7" s="2007"/>
      <c r="M7" s="2007"/>
      <c r="N7" s="2007"/>
      <c r="O7" s="2007"/>
      <c r="P7" s="2007"/>
      <c r="Q7" s="2007"/>
      <c r="R7" s="2007"/>
    </row>
    <row r="8" spans="1:18" ht="27">
      <c r="A8" s="1229"/>
      <c r="B8" s="1231" t="s">
        <v>2547</v>
      </c>
      <c r="C8" s="3106" t="s">
        <v>2912</v>
      </c>
      <c r="D8" s="2009"/>
      <c r="E8" s="2009"/>
      <c r="F8" s="1554"/>
      <c r="G8" s="1554"/>
      <c r="H8" s="2007"/>
      <c r="I8" s="2007"/>
      <c r="J8" s="2007"/>
      <c r="K8" s="2007"/>
      <c r="L8" s="2007"/>
      <c r="M8" s="2007"/>
      <c r="N8" s="2007"/>
      <c r="O8" s="2007"/>
      <c r="P8" s="2007"/>
      <c r="Q8" s="2007"/>
      <c r="R8" s="2007"/>
    </row>
    <row r="9" spans="1:18" ht="40.5">
      <c r="A9" s="1229"/>
      <c r="B9" s="1231" t="s">
        <v>1657</v>
      </c>
      <c r="C9" s="3105" t="s">
        <v>2913</v>
      </c>
      <c r="D9" s="2008"/>
      <c r="E9" s="2009"/>
      <c r="F9" s="1554"/>
      <c r="G9" s="1554"/>
      <c r="H9" s="2007"/>
      <c r="I9" s="2007"/>
      <c r="J9" s="2007"/>
      <c r="K9" s="2007"/>
      <c r="L9" s="2007"/>
      <c r="M9" s="2007"/>
      <c r="N9" s="2007"/>
      <c r="O9" s="2007"/>
      <c r="P9" s="2007"/>
      <c r="Q9" s="2007"/>
      <c r="R9" s="2007"/>
    </row>
    <row r="10" spans="1:18" s="2015" customFormat="1" ht="15" thickBot="1">
      <c r="A10" s="1236"/>
      <c r="B10" s="1237" t="s">
        <v>1672</v>
      </c>
      <c r="C10" s="3107"/>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4"/>
      <c r="E13" s="2601"/>
      <c r="F13" s="2601"/>
      <c r="G13" s="2601"/>
    </row>
    <row r="14" spans="1:18" ht="14.25" thickBot="1">
      <c r="A14" s="1238"/>
      <c r="B14" s="1239"/>
      <c r="C14" s="1240" t="s">
        <v>1665</v>
      </c>
      <c r="D14" s="2008"/>
      <c r="E14" s="1241"/>
      <c r="F14" s="1241"/>
      <c r="G14" s="1223" t="s">
        <v>1666</v>
      </c>
    </row>
    <row r="15" spans="1:18" ht="54">
      <c r="A15" s="2611" t="s">
        <v>1658</v>
      </c>
      <c r="B15" s="1242" t="s">
        <v>1654</v>
      </c>
      <c r="C15" s="1243" t="str">
        <f>C3</f>
        <v>估价对象周边居住用地比例、居住小区规模和社区发展完善程度，综合评价居住社区成熟度一般</v>
      </c>
      <c r="D15" s="2008"/>
      <c r="E15" s="2608" t="s">
        <v>1659</v>
      </c>
      <c r="F15" s="1242" t="s">
        <v>1674</v>
      </c>
      <c r="G15" s="1244" t="str">
        <f>G3</f>
        <v>估价对象位于XX开发区，园区建设成熟度XX，产业集聚程度XX</v>
      </c>
    </row>
    <row r="16" spans="1:18" ht="40.5">
      <c r="A16" s="2612"/>
      <c r="B16" s="1245" t="s">
        <v>1668</v>
      </c>
      <c r="C16" s="1246" t="str">
        <f>C4</f>
        <v>估价对象位于XX商圈，周边商业氛围成熟，人流量大，商业繁华度好</v>
      </c>
      <c r="D16" s="2008"/>
      <c r="E16" s="2609"/>
      <c r="F16" s="1247" t="s">
        <v>1669</v>
      </c>
      <c r="G16" s="1005" t="str">
        <f>G4</f>
        <v>估价对象周边道路状况、公共交通通达情况、停车便捷程度，综合评价交通便捷度较好</v>
      </c>
    </row>
    <row r="17" spans="1:7" ht="40.5">
      <c r="A17" s="2612"/>
      <c r="B17" s="1245" t="s">
        <v>1670</v>
      </c>
      <c r="C17" s="1246" t="str">
        <f>C5</f>
        <v>估价对象位于XX商圈，周边办公楼项目较多，入驻率高，办公集聚程度较好</v>
      </c>
      <c r="D17" s="2009"/>
      <c r="E17" s="2609"/>
      <c r="F17" s="1247" t="s">
        <v>1675</v>
      </c>
      <c r="G17" s="2817"/>
    </row>
    <row r="18" spans="1:7" ht="54">
      <c r="A18" s="2612"/>
      <c r="B18" s="1247" t="s">
        <v>1656</v>
      </c>
      <c r="C18" s="1005" t="str">
        <f>C6</f>
        <v>估价对象周边道路状况、公共交通通达情况、停车便捷程度，综合评价交通便捷度较好</v>
      </c>
      <c r="D18" s="2009"/>
      <c r="E18" s="2609"/>
      <c r="F18" s="1247" t="s">
        <v>1671</v>
      </c>
      <c r="G18" s="1005" t="str">
        <f>G7</f>
        <v>该园区内是否有污染型企业，绿化情况，卫生条件，整体环境状况判断</v>
      </c>
    </row>
    <row r="19" spans="1:7" ht="27">
      <c r="A19" s="2612"/>
      <c r="B19" s="1247" t="s">
        <v>1660</v>
      </c>
      <c r="C19" s="2817"/>
      <c r="D19" s="2008"/>
      <c r="E19" s="2609"/>
      <c r="F19" s="1231" t="s">
        <v>2546</v>
      </c>
      <c r="G19" s="1005" t="str">
        <f>G5</f>
        <v>估价对象所在区域公共配套设施齐备情况</v>
      </c>
    </row>
    <row r="20" spans="1:7" ht="40.5">
      <c r="A20" s="2612"/>
      <c r="B20" s="1247" t="s">
        <v>1661</v>
      </c>
      <c r="C20" s="1246" t="str">
        <f>C9</f>
        <v>区域自然环境：；人文环境；综合评价环境状况一般</v>
      </c>
      <c r="D20" s="2009"/>
      <c r="E20" s="2609"/>
      <c r="F20" s="1231" t="s">
        <v>2547</v>
      </c>
      <c r="G20" s="1005" t="str">
        <f>G6</f>
        <v>估价对象所在区域基础设施水平</v>
      </c>
    </row>
    <row r="21" spans="1:7" ht="27">
      <c r="A21" s="2612"/>
      <c r="B21" s="1231" t="s">
        <v>2546</v>
      </c>
      <c r="C21" s="1005" t="str">
        <f>C7</f>
        <v>估价对象所在区域公共配套设施齐备情况</v>
      </c>
      <c r="D21" s="2008"/>
      <c r="E21" s="2609"/>
      <c r="F21" s="1247" t="s">
        <v>1662</v>
      </c>
      <c r="G21" s="3110"/>
    </row>
    <row r="22" spans="1:7" ht="27">
      <c r="A22" s="2612"/>
      <c r="B22" s="1231" t="s">
        <v>2547</v>
      </c>
      <c r="C22" s="1005" t="str">
        <f>C8</f>
        <v>估价对象所在区域基础设施水平</v>
      </c>
      <c r="D22" s="2008"/>
      <c r="E22" s="2609"/>
      <c r="F22" s="1247" t="s">
        <v>1672</v>
      </c>
      <c r="G22" s="2817"/>
    </row>
    <row r="23" spans="1:7" ht="15" thickBot="1">
      <c r="A23" s="2612"/>
      <c r="B23" s="1247" t="s">
        <v>1662</v>
      </c>
      <c r="C23" s="3110"/>
      <c r="E23" s="2610"/>
      <c r="F23" s="1248" t="s">
        <v>1676</v>
      </c>
      <c r="G23" s="3111"/>
    </row>
    <row r="24" spans="1:7" ht="14.25" thickBot="1">
      <c r="A24" s="2613"/>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5" sqref="B15:D15"/>
    </sheetView>
  </sheetViews>
  <sheetFormatPr defaultColWidth="14.625" defaultRowHeight="13.5"/>
  <cols>
    <col min="1" max="1" width="24.375" customWidth="1"/>
  </cols>
  <sheetData>
    <row r="1" spans="1:9" ht="16.5">
      <c r="A1" s="3068" t="s">
        <v>2844</v>
      </c>
      <c r="B1" s="3068">
        <f>SUM(B14:B23)</f>
        <v>135033.26</v>
      </c>
      <c r="C1" s="3069"/>
      <c r="D1" s="3069"/>
      <c r="E1" s="3069"/>
      <c r="F1" s="3069"/>
    </row>
    <row r="2" spans="1:9" ht="16.5">
      <c r="A2" s="3068" t="s">
        <v>2845</v>
      </c>
      <c r="B2" s="3068">
        <f>SUM(C14:C23)</f>
        <v>30336.799999999999</v>
      </c>
      <c r="C2" s="3069"/>
      <c r="D2" s="3069"/>
      <c r="E2" s="3069"/>
      <c r="F2" s="3069"/>
    </row>
    <row r="3" spans="1:9" ht="16.5">
      <c r="A3" s="3068" t="s">
        <v>2846</v>
      </c>
      <c r="B3" s="3070">
        <f>项目基本情况!D3</f>
        <v>43244</v>
      </c>
      <c r="C3" s="3069"/>
      <c r="D3" s="3069"/>
      <c r="E3" s="3069"/>
      <c r="F3" s="3069"/>
    </row>
    <row r="4" spans="1:9" ht="33">
      <c r="A4" s="3068" t="s">
        <v>2847</v>
      </c>
      <c r="B4" s="3068" t="s">
        <v>2848</v>
      </c>
      <c r="C4" s="3068" t="s">
        <v>2849</v>
      </c>
      <c r="D4" s="3068" t="s">
        <v>2850</v>
      </c>
      <c r="E4" s="3069"/>
      <c r="F4" s="3069"/>
    </row>
    <row r="5" spans="1:9" ht="16.5">
      <c r="A5" s="3068" t="s">
        <v>2851</v>
      </c>
      <c r="B5" s="3068">
        <f ca="1">SUM(D14:D23)</f>
        <v>130328</v>
      </c>
      <c r="C5" s="3068">
        <f ca="1">ROUND(B5*10000/$B$1,0)</f>
        <v>9652</v>
      </c>
      <c r="D5" s="3068">
        <f ca="1">ROUND(B5*10000/$B$2,0)</f>
        <v>42960</v>
      </c>
      <c r="E5" s="3069"/>
      <c r="F5" s="3069"/>
    </row>
    <row r="6" spans="1:9" ht="16.5">
      <c r="A6" s="3068" t="s">
        <v>2852</v>
      </c>
      <c r="B6" s="3068">
        <f>SUM(G14:G23)</f>
        <v>0</v>
      </c>
      <c r="C6" s="3068">
        <f>ROUND(B6*10000/$B$1,0)</f>
        <v>0</v>
      </c>
      <c r="D6" s="3068">
        <f>ROUND(B6*10000/$B$2,0)</f>
        <v>0</v>
      </c>
      <c r="E6" s="3069"/>
      <c r="F6" s="3069"/>
    </row>
    <row r="7" spans="1:9" ht="16.5">
      <c r="A7" s="3068" t="s">
        <v>2853</v>
      </c>
      <c r="B7" s="3068">
        <f>SUM(H14:H23)</f>
        <v>0</v>
      </c>
      <c r="C7" s="3068">
        <f>ROUND(B7*10000/$B$1,0)</f>
        <v>0</v>
      </c>
      <c r="D7" s="3068">
        <f>ROUND(B7*10000/$B$2,0)</f>
        <v>0</v>
      </c>
      <c r="E7" s="3069"/>
      <c r="F7" s="3069"/>
    </row>
    <row r="8" spans="1:9" ht="16.5">
      <c r="A8" s="3068" t="s">
        <v>2854</v>
      </c>
      <c r="B8" s="3068">
        <f>SUM(I14:I23)</f>
        <v>0</v>
      </c>
      <c r="C8" s="3068">
        <f>ROUND(B8*10000/$B$1,0)</f>
        <v>0</v>
      </c>
      <c r="D8" s="3068">
        <f>ROUND(B8*10000/$B$2,0)</f>
        <v>0</v>
      </c>
      <c r="E8" s="3069"/>
      <c r="F8" s="3069"/>
    </row>
    <row r="9" spans="1:9" ht="16.5">
      <c r="A9" s="3068" t="s">
        <v>2855</v>
      </c>
      <c r="B9" s="3071"/>
      <c r="C9" s="3069"/>
      <c r="D9" s="3069"/>
      <c r="E9" s="3069"/>
      <c r="F9" s="3069"/>
    </row>
    <row r="10" spans="1:9" ht="16.5">
      <c r="A10" s="3068" t="s">
        <v>2856</v>
      </c>
      <c r="B10" s="3071"/>
      <c r="C10" s="3069"/>
      <c r="D10" s="3069"/>
      <c r="E10" s="3069"/>
      <c r="F10" s="3069"/>
    </row>
    <row r="11" spans="1:9" ht="16.5">
      <c r="A11" s="3068" t="s">
        <v>2873</v>
      </c>
      <c r="B11" s="3071"/>
      <c r="C11" s="3069"/>
      <c r="D11" s="3069"/>
      <c r="E11" s="3069"/>
      <c r="F11" s="3069"/>
    </row>
    <row r="12" spans="1:9" ht="16.5">
      <c r="A12" s="3069"/>
      <c r="B12" s="3069"/>
      <c r="C12" s="3069"/>
      <c r="D12" s="3069"/>
      <c r="E12" s="3069"/>
      <c r="F12" s="3069"/>
    </row>
    <row r="13" spans="1:9" ht="33">
      <c r="A13" s="3074" t="s">
        <v>2872</v>
      </c>
      <c r="B13" s="3072" t="s">
        <v>2844</v>
      </c>
      <c r="C13" s="3072" t="s">
        <v>2845</v>
      </c>
      <c r="D13" s="3072" t="s">
        <v>2857</v>
      </c>
      <c r="E13" s="3068" t="s">
        <v>2871</v>
      </c>
      <c r="F13" s="3068" t="s">
        <v>2850</v>
      </c>
      <c r="G13" s="3072" t="s">
        <v>2858</v>
      </c>
      <c r="H13" s="3072" t="s">
        <v>2859</v>
      </c>
      <c r="I13" s="3072" t="s">
        <v>2860</v>
      </c>
    </row>
    <row r="14" spans="1:9" ht="16.5">
      <c r="A14" s="3075" t="s">
        <v>2870</v>
      </c>
      <c r="B14" s="3072">
        <f>结果表!L38</f>
        <v>67516.63</v>
      </c>
      <c r="C14" s="3072">
        <f>结果表!K38</f>
        <v>15168.4</v>
      </c>
      <c r="D14" s="3072">
        <f ca="1">结果表!C42</f>
        <v>65164</v>
      </c>
      <c r="E14" s="3072">
        <f ca="1">ROUND(D14*10000/B14,0)</f>
        <v>9652</v>
      </c>
      <c r="F14" s="3072">
        <f ca="1">ROUND(D14*10000/C14,0)</f>
        <v>42960</v>
      </c>
      <c r="G14" s="3072" t="str">
        <f>结果表!C44</f>
        <v>——</v>
      </c>
      <c r="H14" s="3072" t="str">
        <f>结果表!C45</f>
        <v>——</v>
      </c>
      <c r="I14" s="3072" t="str">
        <f>结果表!C46</f>
        <v>——</v>
      </c>
    </row>
    <row r="15" spans="1:9" ht="16.5">
      <c r="A15" s="3075" t="s">
        <v>2861</v>
      </c>
      <c r="B15" s="3076">
        <f>B14</f>
        <v>67516.63</v>
      </c>
      <c r="C15" s="3076">
        <f t="shared" ref="C15:D15" si="0">C14</f>
        <v>15168.4</v>
      </c>
      <c r="D15" s="3076">
        <f t="shared" ca="1" si="0"/>
        <v>65164</v>
      </c>
      <c r="E15" s="3072">
        <f t="shared" ref="E15:E23" ca="1" si="1">ROUND(D15*10000/B15,0)</f>
        <v>9652</v>
      </c>
      <c r="F15" s="3072">
        <f t="shared" ref="F15:F23" ca="1" si="2">ROUND(D15*10000/C15,0)</f>
        <v>42960</v>
      </c>
      <c r="G15" s="3073"/>
      <c r="H15" s="3073"/>
      <c r="I15" s="3076"/>
    </row>
    <row r="16" spans="1:9" ht="16.5">
      <c r="A16" s="3075" t="s">
        <v>2862</v>
      </c>
      <c r="B16" s="3076"/>
      <c r="C16" s="3076"/>
      <c r="D16" s="3076"/>
      <c r="E16" s="3072" t="e">
        <f t="shared" si="1"/>
        <v>#DIV/0!</v>
      </c>
      <c r="F16" s="3072" t="e">
        <f t="shared" si="2"/>
        <v>#DIV/0!</v>
      </c>
      <c r="G16" s="3073"/>
      <c r="H16" s="3073"/>
      <c r="I16" s="3076"/>
    </row>
    <row r="17" spans="1:9" ht="16.5">
      <c r="A17" s="3075" t="s">
        <v>2863</v>
      </c>
      <c r="B17" s="3076"/>
      <c r="C17" s="3076"/>
      <c r="D17" s="3076"/>
      <c r="E17" s="3072" t="e">
        <f t="shared" si="1"/>
        <v>#DIV/0!</v>
      </c>
      <c r="F17" s="3072" t="e">
        <f t="shared" si="2"/>
        <v>#DIV/0!</v>
      </c>
      <c r="G17" s="3073"/>
      <c r="H17" s="3073"/>
      <c r="I17" s="3076"/>
    </row>
    <row r="18" spans="1:9" ht="16.5">
      <c r="A18" s="3075" t="s">
        <v>2864</v>
      </c>
      <c r="B18" s="3076"/>
      <c r="C18" s="3076"/>
      <c r="D18" s="3076"/>
      <c r="E18" s="3072" t="e">
        <f t="shared" si="1"/>
        <v>#DIV/0!</v>
      </c>
      <c r="F18" s="3072" t="e">
        <f t="shared" si="2"/>
        <v>#DIV/0!</v>
      </c>
      <c r="G18" s="3076"/>
      <c r="H18" s="3076"/>
      <c r="I18" s="3076"/>
    </row>
    <row r="19" spans="1:9" ht="16.5">
      <c r="A19" s="3075" t="s">
        <v>2865</v>
      </c>
      <c r="B19" s="3076"/>
      <c r="C19" s="3076"/>
      <c r="D19" s="3076"/>
      <c r="E19" s="3072" t="e">
        <f t="shared" si="1"/>
        <v>#DIV/0!</v>
      </c>
      <c r="F19" s="3072" t="e">
        <f t="shared" si="2"/>
        <v>#DIV/0!</v>
      </c>
      <c r="G19" s="3076"/>
      <c r="H19" s="3076"/>
      <c r="I19" s="3076"/>
    </row>
    <row r="20" spans="1:9" ht="16.5">
      <c r="A20" s="3075" t="s">
        <v>2866</v>
      </c>
      <c r="B20" s="3076"/>
      <c r="C20" s="3076"/>
      <c r="D20" s="3076"/>
      <c r="E20" s="3072" t="e">
        <f t="shared" si="1"/>
        <v>#DIV/0!</v>
      </c>
      <c r="F20" s="3072" t="e">
        <f t="shared" si="2"/>
        <v>#DIV/0!</v>
      </c>
      <c r="G20" s="3076"/>
      <c r="H20" s="3076"/>
      <c r="I20" s="3076"/>
    </row>
    <row r="21" spans="1:9" ht="16.5">
      <c r="A21" s="3075" t="s">
        <v>2867</v>
      </c>
      <c r="B21" s="3076"/>
      <c r="C21" s="3076"/>
      <c r="D21" s="3076"/>
      <c r="E21" s="3072" t="e">
        <f t="shared" si="1"/>
        <v>#DIV/0!</v>
      </c>
      <c r="F21" s="3072" t="e">
        <f t="shared" si="2"/>
        <v>#DIV/0!</v>
      </c>
      <c r="G21" s="3076"/>
      <c r="H21" s="3076"/>
      <c r="I21" s="3076"/>
    </row>
    <row r="22" spans="1:9" ht="16.5">
      <c r="A22" s="3075" t="s">
        <v>2868</v>
      </c>
      <c r="B22" s="3076"/>
      <c r="C22" s="3076"/>
      <c r="D22" s="3076"/>
      <c r="E22" s="3072" t="e">
        <f t="shared" si="1"/>
        <v>#DIV/0!</v>
      </c>
      <c r="F22" s="3072" t="e">
        <f t="shared" si="2"/>
        <v>#DIV/0!</v>
      </c>
      <c r="G22" s="3076"/>
      <c r="H22" s="3076"/>
      <c r="I22" s="3076"/>
    </row>
    <row r="23" spans="1:9" ht="16.5">
      <c r="A23" s="3075" t="s">
        <v>2869</v>
      </c>
      <c r="B23" s="3076"/>
      <c r="C23" s="3076"/>
      <c r="D23" s="3076"/>
      <c r="E23" s="3068" t="e">
        <f t="shared" si="1"/>
        <v>#DIV/0!</v>
      </c>
      <c r="F23" s="3068" t="e">
        <f t="shared" si="2"/>
        <v>#DIV/0!</v>
      </c>
      <c r="G23" s="3076"/>
      <c r="H23" s="3076"/>
      <c r="I23" s="307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91" zoomScaleSheetLayoutView="100" zoomScalePageLayoutView="80" workbookViewId="0">
      <selection activeCell="C103" sqref="C103"/>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t="s">
        <v>3047</v>
      </c>
      <c r="E1" s="1805" t="s">
        <v>2057</v>
      </c>
      <c r="F1" s="1807" t="s">
        <v>3048</v>
      </c>
      <c r="G1" s="311"/>
      <c r="H1" s="311"/>
      <c r="I1" s="311"/>
      <c r="J1" s="2028"/>
      <c r="K1" s="2028"/>
      <c r="L1" s="2028"/>
      <c r="M1" s="2028"/>
      <c r="N1" s="2028"/>
      <c r="O1" s="2028"/>
      <c r="P1" s="2028"/>
      <c r="Q1" s="2028"/>
      <c r="R1" s="2028"/>
      <c r="S1" s="2028"/>
      <c r="T1" s="2028"/>
      <c r="U1" s="2028"/>
      <c r="V1" s="2028"/>
    </row>
    <row r="2" spans="1:22" ht="21.75" customHeight="1" thickBot="1">
      <c r="A2" s="3351" t="str">
        <f>项目基本情况!K2</f>
        <v>广东省汕头市龙湖区海湾公园片区（335-00-02-096）出让国有建设用地使用权</v>
      </c>
      <c r="B2" s="3352"/>
      <c r="C2" s="3353"/>
      <c r="D2" s="3353"/>
      <c r="E2" s="3353"/>
      <c r="F2" s="3353"/>
      <c r="G2" s="3352"/>
      <c r="H2" s="3352"/>
      <c r="I2" s="3354"/>
      <c r="J2" s="2029"/>
      <c r="K2" s="2028"/>
      <c r="L2" s="2028"/>
      <c r="M2" s="2028"/>
      <c r="N2" s="2028"/>
      <c r="O2" s="2028"/>
      <c r="P2" s="2028"/>
      <c r="Q2" s="2028"/>
      <c r="R2" s="2028"/>
      <c r="S2" s="2028"/>
      <c r="T2" s="2028"/>
      <c r="U2" s="2028"/>
      <c r="V2" s="2028"/>
    </row>
    <row r="3" spans="1:22" ht="14.25">
      <c r="A3" s="3344" t="s">
        <v>298</v>
      </c>
      <c r="B3" s="3345"/>
      <c r="C3" s="3345"/>
      <c r="D3" s="3345"/>
      <c r="E3" s="3345"/>
      <c r="F3" s="3345"/>
      <c r="G3" s="3345"/>
      <c r="H3" s="3345"/>
      <c r="I3" s="3345"/>
      <c r="J3" s="2029"/>
      <c r="K3" s="2028"/>
      <c r="L3" s="2028"/>
      <c r="M3" s="2028"/>
      <c r="N3" s="2028"/>
      <c r="O3" s="2028"/>
      <c r="P3" s="2028"/>
      <c r="Q3" s="2028"/>
      <c r="R3" s="2028"/>
      <c r="S3" s="2028"/>
      <c r="T3" s="2028"/>
      <c r="U3" s="2028"/>
      <c r="V3" s="2028"/>
    </row>
    <row r="4" spans="1:22" ht="14.25">
      <c r="A4" s="258" t="s">
        <v>299</v>
      </c>
      <c r="B4" s="259" t="s">
        <v>300</v>
      </c>
      <c r="C4" s="260" t="s">
        <v>3049</v>
      </c>
      <c r="D4" s="260" t="s">
        <v>3050</v>
      </c>
      <c r="E4" s="3316" t="s">
        <v>301</v>
      </c>
      <c r="F4" s="3317"/>
      <c r="G4" s="3317"/>
      <c r="H4" s="3317"/>
      <c r="I4" s="3346"/>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15" t="s">
        <v>302</v>
      </c>
      <c r="B5" s="3341">
        <v>25</v>
      </c>
      <c r="C5" s="3339"/>
      <c r="D5" s="3343"/>
      <c r="E5" s="261" t="s">
        <v>303</v>
      </c>
      <c r="F5" s="262"/>
      <c r="G5" s="262"/>
      <c r="H5" s="262"/>
      <c r="I5" s="263"/>
      <c r="J5" s="2029"/>
      <c r="K5" s="2028"/>
      <c r="L5" s="2028"/>
      <c r="M5" s="2028"/>
      <c r="N5" s="2028"/>
      <c r="O5" s="2028"/>
      <c r="P5" s="2028"/>
      <c r="Q5" s="2028"/>
      <c r="R5" s="2028"/>
      <c r="S5" s="2028"/>
      <c r="T5" s="2028"/>
      <c r="U5" s="2028"/>
      <c r="V5" s="2028"/>
    </row>
    <row r="6" spans="1:22" ht="14.25">
      <c r="A6" s="3315"/>
      <c r="B6" s="3341"/>
      <c r="C6" s="3342"/>
      <c r="D6" s="3343"/>
      <c r="E6" s="261" t="s">
        <v>304</v>
      </c>
      <c r="F6" s="262"/>
      <c r="G6" s="262"/>
      <c r="H6" s="262"/>
      <c r="I6" s="263"/>
      <c r="J6" s="2029"/>
      <c r="K6" s="2028"/>
      <c r="L6" s="2028"/>
      <c r="M6" s="2028"/>
      <c r="N6" s="2028"/>
      <c r="O6" s="2028"/>
      <c r="P6" s="2028"/>
      <c r="Q6" s="2028"/>
      <c r="R6" s="2028"/>
      <c r="S6" s="2028"/>
      <c r="T6" s="2028"/>
      <c r="U6" s="2028"/>
      <c r="V6" s="2028"/>
    </row>
    <row r="7" spans="1:22" ht="14.25">
      <c r="A7" s="3315"/>
      <c r="B7" s="3341"/>
      <c r="C7" s="3340"/>
      <c r="D7" s="3343"/>
      <c r="E7" s="261" t="s">
        <v>305</v>
      </c>
      <c r="F7" s="262"/>
      <c r="G7" s="262"/>
      <c r="H7" s="262"/>
      <c r="I7" s="263"/>
      <c r="J7" s="2029"/>
      <c r="K7" s="2028"/>
      <c r="L7" s="2028"/>
      <c r="M7" s="2028"/>
      <c r="N7" s="2028"/>
      <c r="O7" s="2028"/>
      <c r="P7" s="2028"/>
      <c r="Q7" s="2028"/>
      <c r="R7" s="2028"/>
      <c r="S7" s="2028"/>
      <c r="T7" s="2028"/>
      <c r="U7" s="2028"/>
      <c r="V7" s="2028"/>
    </row>
    <row r="8" spans="1:22" ht="14.25">
      <c r="A8" s="3315" t="s">
        <v>306</v>
      </c>
      <c r="B8" s="3341">
        <v>15</v>
      </c>
      <c r="C8" s="3339"/>
      <c r="D8" s="3343"/>
      <c r="E8" s="261" t="s">
        <v>307</v>
      </c>
      <c r="F8" s="262"/>
      <c r="G8" s="262"/>
      <c r="H8" s="262"/>
      <c r="I8" s="263"/>
      <c r="J8" s="2029"/>
      <c r="K8" s="2028"/>
      <c r="L8" s="2028"/>
      <c r="M8" s="2028"/>
      <c r="N8" s="2028"/>
      <c r="O8" s="2028"/>
      <c r="P8" s="2028"/>
      <c r="Q8" s="2028"/>
      <c r="R8" s="2028"/>
      <c r="S8" s="2028"/>
      <c r="T8" s="2028"/>
      <c r="U8" s="2028"/>
      <c r="V8" s="2028"/>
    </row>
    <row r="9" spans="1:22" ht="14.25">
      <c r="A9" s="3315"/>
      <c r="B9" s="3341"/>
      <c r="C9" s="3340"/>
      <c r="D9" s="3343"/>
      <c r="E9" s="261" t="s">
        <v>308</v>
      </c>
      <c r="F9" s="262"/>
      <c r="G9" s="262"/>
      <c r="H9" s="262"/>
      <c r="I9" s="263"/>
      <c r="J9" s="2029"/>
      <c r="K9" s="2028"/>
      <c r="L9" s="2028"/>
      <c r="M9" s="2028"/>
      <c r="N9" s="2028"/>
      <c r="O9" s="2028"/>
      <c r="P9" s="2028"/>
      <c r="Q9" s="2028"/>
      <c r="R9" s="2028"/>
      <c r="S9" s="2028"/>
      <c r="T9" s="2028"/>
      <c r="U9" s="2028"/>
      <c r="V9" s="2028"/>
    </row>
    <row r="10" spans="1:22" ht="14.25">
      <c r="A10" s="3315" t="s">
        <v>309</v>
      </c>
      <c r="B10" s="3341">
        <v>15</v>
      </c>
      <c r="C10" s="3339"/>
      <c r="D10" s="3343"/>
      <c r="E10" s="261" t="s">
        <v>310</v>
      </c>
      <c r="F10" s="262"/>
      <c r="G10" s="262"/>
      <c r="H10" s="262"/>
      <c r="I10" s="263"/>
      <c r="J10" s="2029"/>
      <c r="K10" s="2028"/>
      <c r="L10" s="2028"/>
      <c r="M10" s="2028"/>
      <c r="N10" s="2028"/>
      <c r="O10" s="2028"/>
      <c r="P10" s="2028"/>
      <c r="Q10" s="2028"/>
      <c r="R10" s="2028"/>
      <c r="S10" s="2028"/>
      <c r="T10" s="2028"/>
      <c r="U10" s="2028"/>
      <c r="V10" s="2028"/>
    </row>
    <row r="11" spans="1:22" ht="14.25">
      <c r="A11" s="3315"/>
      <c r="B11" s="3341"/>
      <c r="C11" s="3340"/>
      <c r="D11" s="3343"/>
      <c r="E11" s="261" t="s">
        <v>311</v>
      </c>
      <c r="F11" s="262"/>
      <c r="G11" s="262"/>
      <c r="H11" s="262"/>
      <c r="I11" s="263"/>
      <c r="J11" s="2029"/>
      <c r="K11" s="2028"/>
      <c r="L11" s="2028"/>
      <c r="M11" s="2028"/>
      <c r="N11" s="2028"/>
      <c r="O11" s="2028"/>
      <c r="P11" s="2028"/>
      <c r="Q11" s="2028"/>
      <c r="R11" s="2028"/>
      <c r="S11" s="2028"/>
      <c r="T11" s="2028"/>
      <c r="U11" s="2028"/>
      <c r="V11" s="2028"/>
    </row>
    <row r="12" spans="1:22" ht="14.25">
      <c r="A12" s="3315" t="s">
        <v>312</v>
      </c>
      <c r="B12" s="3341">
        <v>15</v>
      </c>
      <c r="C12" s="3339"/>
      <c r="D12" s="3343"/>
      <c r="E12" s="261" t="s">
        <v>313</v>
      </c>
      <c r="F12" s="262"/>
      <c r="G12" s="262"/>
      <c r="H12" s="262"/>
      <c r="I12" s="263"/>
      <c r="J12" s="2029"/>
      <c r="K12" s="2028"/>
      <c r="L12" s="2028"/>
      <c r="M12" s="2028"/>
      <c r="N12" s="2028"/>
      <c r="O12" s="2028"/>
      <c r="P12" s="2028"/>
      <c r="Q12" s="2028"/>
      <c r="R12" s="2028"/>
      <c r="S12" s="2028"/>
      <c r="T12" s="2028"/>
      <c r="U12" s="2028"/>
      <c r="V12" s="2028"/>
    </row>
    <row r="13" spans="1:22" ht="14.25">
      <c r="A13" s="3315"/>
      <c r="B13" s="3341"/>
      <c r="C13" s="3340"/>
      <c r="D13" s="3343"/>
      <c r="E13" s="261" t="s">
        <v>314</v>
      </c>
      <c r="F13" s="262"/>
      <c r="G13" s="262"/>
      <c r="H13" s="262"/>
      <c r="I13" s="263"/>
      <c r="J13" s="2029"/>
      <c r="K13" s="2028"/>
      <c r="L13" s="2028"/>
      <c r="M13" s="2028"/>
      <c r="N13" s="2028"/>
      <c r="O13" s="2028"/>
      <c r="P13" s="2028"/>
      <c r="Q13" s="2028"/>
      <c r="R13" s="2028"/>
      <c r="S13" s="2028"/>
      <c r="T13" s="2028"/>
      <c r="U13" s="2028"/>
      <c r="V13" s="2028"/>
    </row>
    <row r="14" spans="1:22" ht="14.25">
      <c r="A14" s="3315" t="s">
        <v>315</v>
      </c>
      <c r="B14" s="3341">
        <v>30</v>
      </c>
      <c r="C14" s="3339">
        <v>5</v>
      </c>
      <c r="D14" s="3343">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15"/>
      <c r="B15" s="3341"/>
      <c r="C15" s="3342"/>
      <c r="D15" s="3343"/>
      <c r="E15" s="261" t="s">
        <v>317</v>
      </c>
      <c r="F15" s="262"/>
      <c r="G15" s="262"/>
      <c r="H15" s="262"/>
      <c r="I15" s="263"/>
      <c r="J15" s="2029"/>
      <c r="K15" s="2028"/>
      <c r="L15" s="2028"/>
      <c r="M15" s="2028"/>
      <c r="N15" s="2028"/>
      <c r="O15" s="2028"/>
      <c r="P15" s="2028"/>
      <c r="Q15" s="2028"/>
      <c r="R15" s="2028"/>
      <c r="S15" s="2028"/>
      <c r="T15" s="2028"/>
      <c r="U15" s="2028"/>
      <c r="V15" s="2028"/>
    </row>
    <row r="16" spans="1:22" ht="14.25">
      <c r="A16" s="3315"/>
      <c r="B16" s="3341"/>
      <c r="C16" s="3340"/>
      <c r="D16" s="3343"/>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64522</v>
      </c>
      <c r="D19" s="271">
        <f ca="1">SUMIF(INDIRECT("'"&amp;D4&amp;"'"&amp;"!A:A"),结果表!B19,INDIRECT("'"&amp;D4&amp;"'"&amp;"!B:B"))</f>
        <v>65806</v>
      </c>
      <c r="E19" s="268" t="s">
        <v>323</v>
      </c>
      <c r="F19" s="269" t="s">
        <v>322</v>
      </c>
      <c r="G19" s="272">
        <f ca="1">ROUND(C19*$C$18+D19*$D$18,0)</f>
        <v>65164</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9556</v>
      </c>
      <c r="D20" s="277">
        <f ca="1">SUMIF(INDIRECT("'"&amp;D4&amp;"'"&amp;"!A:A"),结果表!B20,INDIRECT("'"&amp;D4&amp;"'"&amp;"!B:B"))</f>
        <v>9747</v>
      </c>
      <c r="E20" s="274"/>
      <c r="F20" s="275" t="s">
        <v>325</v>
      </c>
      <c r="G20" s="278">
        <f ca="1">ROUND(C20*$C$18+D20*$D$18,0)</f>
        <v>9652</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42537</v>
      </c>
      <c r="D21" s="151">
        <f ca="1">SUMIF(INDIRECT("'"&amp;D4&amp;"'"&amp;"!A:A"),结果表!B21,INDIRECT("'"&amp;D4&amp;"'"&amp;"!B:B"))</f>
        <v>43384</v>
      </c>
      <c r="E21" s="274"/>
      <c r="F21" s="280" t="s">
        <v>327</v>
      </c>
      <c r="G21" s="282">
        <f ca="1">ROUND(C21*$C$18+D21*$D$18,0)</f>
        <v>42961</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1.9900189082793451E-2</v>
      </c>
      <c r="E22" s="284"/>
      <c r="F22" s="285"/>
      <c r="G22" s="286">
        <f ca="1">ROUND(G19/('数据-汇总表'!D3/666.67),0)</f>
        <v>2864</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21"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22"/>
      <c r="B25" s="1321" t="s">
        <v>331</v>
      </c>
      <c r="C25" s="290">
        <f>IF(B30=0,0,C30)</f>
        <v>0</v>
      </c>
      <c r="D25" s="291"/>
      <c r="E25" s="311"/>
      <c r="F25" s="311"/>
      <c r="G25" s="311"/>
      <c r="H25" s="311"/>
      <c r="I25" s="311"/>
      <c r="J25" s="2028"/>
      <c r="K25" s="1255" t="str">
        <f ca="1">项目基本情况!B16&amp;"国有建设用地使用权价格："&amp;O38&amp;"万元"</f>
        <v>出让国有建设用地使用权价格：65164万元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大写金额：人民币陆亿伍仟壹佰陆拾肆万元整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单位面积地价：42960元/平方米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楼面地价：9652元/平方米</v>
      </c>
      <c r="L28" s="1252"/>
      <c r="M28" s="1252"/>
      <c r="N28" s="1252"/>
      <c r="O28" s="1251"/>
      <c r="P28" s="2028"/>
      <c r="V28" s="2028"/>
    </row>
    <row r="29" spans="1:26" ht="18">
      <c r="A29" s="293"/>
      <c r="B29" s="294"/>
      <c r="C29" s="294"/>
      <c r="D29" s="295"/>
      <c r="E29" s="311"/>
      <c r="F29" s="311"/>
      <c r="G29" s="311"/>
      <c r="H29" s="311"/>
      <c r="I29" s="311"/>
      <c r="J29" s="2028"/>
      <c r="K29" s="1258" t="str">
        <f>IF(OR(项目基本情况!E8="抵押价格",项目基本情况!E8="已注销及未注销"),"抵押价格："&amp;O39&amp;"万元","——")</f>
        <v>——</v>
      </c>
      <c r="L29" s="1252"/>
      <c r="M29" s="1252"/>
      <c r="N29" s="1252"/>
      <c r="O29" s="1251"/>
      <c r="P29" s="2028"/>
      <c r="V29" s="2028"/>
    </row>
    <row r="30" spans="1:26" ht="18.75" thickBot="1">
      <c r="A30" s="3159" t="s">
        <v>336</v>
      </c>
      <c r="B30" s="309"/>
      <c r="C30" s="309"/>
      <c r="D30" s="310"/>
      <c r="E30" s="3160" t="s">
        <v>2967</v>
      </c>
      <c r="F30" s="311"/>
      <c r="G30" s="311"/>
      <c r="H30" s="311"/>
      <c r="I30" s="311"/>
      <c r="J30" s="2028"/>
      <c r="K30" s="1258" t="str">
        <f>IF(K29="——","——","大写金额：人民币"&amp;NUMBERSTRING(INT(O39*10000),2)&amp;"元整")</f>
        <v>——</v>
      </c>
      <c r="L30" s="1252"/>
      <c r="M30" s="1252"/>
      <c r="N30" s="1252"/>
      <c r="O30" s="1251"/>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抵押担保权已注销时的抵押价格：——万元</v>
      </c>
      <c r="L31" s="2488"/>
      <c r="M31" s="2488"/>
      <c r="N31" s="2488"/>
      <c r="O31" s="2489"/>
      <c r="P31" s="2028"/>
      <c r="V31" s="2028"/>
    </row>
    <row r="32" spans="1:26" ht="18.75" thickBot="1">
      <c r="A32" s="268" t="s">
        <v>337</v>
      </c>
      <c r="B32" s="1382" t="s">
        <v>1689</v>
      </c>
      <c r="C32" s="1383">
        <f ca="1">G19-C24</f>
        <v>65164</v>
      </c>
      <c r="D32" s="1384" t="s">
        <v>1690</v>
      </c>
      <c r="E32" s="311"/>
      <c r="F32" s="311"/>
      <c r="G32" s="311"/>
      <c r="H32" s="311"/>
      <c r="I32" s="311"/>
      <c r="J32" s="2028"/>
      <c r="K32" s="2487" t="e">
        <f>IF(K31="——","——","大写金额：人民币"&amp;NUMBERSTRING(INT(O40*10000),2)&amp;"元整")</f>
        <v>#VALUE!</v>
      </c>
      <c r="L32" s="2490"/>
      <c r="M32" s="2490"/>
      <c r="N32" s="2490"/>
      <c r="O32" s="2491"/>
      <c r="P32" s="2028"/>
      <c r="V32" s="2028"/>
    </row>
    <row r="33" spans="1:26" ht="18.75" thickBot="1">
      <c r="A33" s="298" t="s">
        <v>340</v>
      </c>
      <c r="B33" s="1385" t="s">
        <v>1691</v>
      </c>
      <c r="C33" s="264">
        <f ca="1">ROUND(C32*10000/'数据-汇总表'!E3,0)</f>
        <v>9652</v>
      </c>
      <c r="D33" s="1386" t="s">
        <v>1692</v>
      </c>
      <c r="E33" s="3321" t="s">
        <v>338</v>
      </c>
      <c r="F33" s="296" t="s">
        <v>339</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7" t="s">
        <v>1693</v>
      </c>
      <c r="C34" s="264">
        <f ca="1">ROUND(C32*10000/'数据-汇总表'!D3,0)</f>
        <v>42960</v>
      </c>
      <c r="D34" s="1388" t="s">
        <v>1692</v>
      </c>
      <c r="E34" s="3362"/>
      <c r="F34" s="127" t="s">
        <v>341</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2864</v>
      </c>
      <c r="D35" s="1391" t="s">
        <v>1694</v>
      </c>
      <c r="E35" s="3363"/>
      <c r="F35" s="301" t="s">
        <v>342</v>
      </c>
      <c r="G35" s="982"/>
      <c r="H35" s="981" t="s">
        <v>343</v>
      </c>
      <c r="I35" s="311"/>
      <c r="J35" s="2028"/>
      <c r="K35" s="3336" t="s">
        <v>350</v>
      </c>
      <c r="L35" s="3336" t="s">
        <v>351</v>
      </c>
      <c r="M35" s="1264" t="s">
        <v>352</v>
      </c>
      <c r="N35" s="3336" t="s">
        <v>353</v>
      </c>
      <c r="O35" s="3336" t="s">
        <v>354</v>
      </c>
      <c r="P35" s="2028"/>
      <c r="V35" s="2028"/>
    </row>
    <row r="36" spans="1:26" ht="16.5" customHeight="1">
      <c r="A36" s="303" t="s">
        <v>344</v>
      </c>
      <c r="B36" s="304" t="s">
        <v>333</v>
      </c>
      <c r="C36" s="305" t="s">
        <v>345</v>
      </c>
      <c r="D36" s="305" t="s">
        <v>346</v>
      </c>
      <c r="E36" s="306" t="s">
        <v>347</v>
      </c>
      <c r="F36" s="311"/>
      <c r="G36" s="311"/>
      <c r="H36" s="311"/>
      <c r="I36" s="311"/>
      <c r="J36" s="2030"/>
      <c r="K36" s="3337"/>
      <c r="L36" s="3337"/>
      <c r="M36" s="1266" t="s">
        <v>355</v>
      </c>
      <c r="N36" s="3337"/>
      <c r="O36" s="3337"/>
      <c r="P36" s="2028"/>
      <c r="V36" s="2028"/>
    </row>
    <row r="37" spans="1:26" ht="16.5" customHeight="1" thickBot="1">
      <c r="A37" s="1260" t="s">
        <v>348</v>
      </c>
      <c r="B37" s="307"/>
      <c r="C37" s="294"/>
      <c r="D37" s="294"/>
      <c r="E37" s="295"/>
      <c r="F37" s="311"/>
      <c r="G37" s="311"/>
      <c r="H37" s="311"/>
      <c r="I37" s="311"/>
      <c r="J37" s="2030"/>
      <c r="K37" s="3338"/>
      <c r="L37" s="3338"/>
      <c r="M37" s="1267"/>
      <c r="N37" s="3338"/>
      <c r="O37" s="3338"/>
      <c r="P37" s="2028"/>
      <c r="V37" s="2028"/>
    </row>
    <row r="38" spans="1:26" ht="16.5" customHeight="1" thickBot="1">
      <c r="A38" s="1260" t="s">
        <v>349</v>
      </c>
      <c r="B38" s="307"/>
      <c r="C38" s="294"/>
      <c r="D38" s="294"/>
      <c r="E38" s="295"/>
      <c r="F38" s="311"/>
      <c r="G38" s="311"/>
      <c r="H38" s="311"/>
      <c r="I38" s="311"/>
      <c r="J38" s="2030"/>
      <c r="K38" s="1268">
        <f>'数据-汇总表'!D3</f>
        <v>15168.4</v>
      </c>
      <c r="L38" s="1269">
        <f>'数据-汇总表'!E3</f>
        <v>67516.63</v>
      </c>
      <c r="M38" s="1269">
        <f ca="1">C34</f>
        <v>42960</v>
      </c>
      <c r="N38" s="1269">
        <f ca="1">C33</f>
        <v>9652</v>
      </c>
      <c r="O38" s="1270">
        <f ca="1">C32</f>
        <v>65164</v>
      </c>
      <c r="P38" s="2028"/>
      <c r="V38" s="2028"/>
    </row>
    <row r="39" spans="1:26" ht="16.5" customHeight="1" thickBot="1">
      <c r="A39" s="1265"/>
      <c r="B39" s="308"/>
      <c r="C39" s="309"/>
      <c r="D39" s="309"/>
      <c r="E39" s="310"/>
      <c r="F39" s="311"/>
      <c r="G39" s="311"/>
      <c r="H39" s="311"/>
      <c r="I39" s="311"/>
      <c r="J39" s="2030"/>
      <c r="K39" s="3381" t="str">
        <f>MID(A44,3,LEN(A44)-2)</f>
        <v/>
      </c>
      <c r="L39" s="3382"/>
      <c r="M39" s="3382"/>
      <c r="N39" s="3383"/>
      <c r="O39" s="1393" t="str">
        <f>C44</f>
        <v>——</v>
      </c>
      <c r="P39" s="2028"/>
      <c r="V39" s="2028"/>
    </row>
    <row r="40" spans="1:26" ht="19.5" thickBot="1">
      <c r="A40" s="104" t="s">
        <v>873</v>
      </c>
      <c r="B40" s="311"/>
      <c r="C40" s="311"/>
      <c r="D40" s="311"/>
      <c r="E40" s="311"/>
      <c r="F40" s="311"/>
      <c r="G40" s="311"/>
      <c r="H40" s="311"/>
      <c r="I40" s="311"/>
      <c r="J40" s="2030"/>
      <c r="K40" s="3381" t="str">
        <f>MID(A45,3,LEN(A45)-2)</f>
        <v/>
      </c>
      <c r="L40" s="3382"/>
      <c r="M40" s="3382"/>
      <c r="N40" s="3383"/>
      <c r="O40" s="1393" t="str">
        <f>C45</f>
        <v>——</v>
      </c>
      <c r="P40" s="2028"/>
      <c r="V40" s="2028"/>
    </row>
    <row r="41" spans="1:26" ht="16.5" thickBot="1">
      <c r="A41" s="312" t="s">
        <v>356</v>
      </c>
      <c r="B41" s="313"/>
      <c r="C41" s="314" t="s">
        <v>357</v>
      </c>
      <c r="D41" s="315" t="s">
        <v>358</v>
      </c>
      <c r="E41" s="315" t="s">
        <v>359</v>
      </c>
      <c r="F41" s="316" t="s">
        <v>360</v>
      </c>
      <c r="G41" s="311"/>
      <c r="H41" s="311"/>
      <c r="I41" s="311"/>
      <c r="J41" s="2030"/>
      <c r="K41" s="3381" t="str">
        <f>MID(A46,3,LEN(A46)-2)</f>
        <v/>
      </c>
      <c r="L41" s="3382"/>
      <c r="M41" s="3382"/>
      <c r="N41" s="3383"/>
      <c r="O41" s="1393" t="str">
        <f>C46</f>
        <v>——</v>
      </c>
      <c r="P41" s="2028"/>
      <c r="V41" s="2028"/>
    </row>
    <row r="42" spans="1:26" ht="29.25">
      <c r="A42" s="3323" t="s">
        <v>2067</v>
      </c>
      <c r="B42" s="3324"/>
      <c r="C42" s="264">
        <f ca="1">C32</f>
        <v>65164</v>
      </c>
      <c r="D42" s="317">
        <f ca="1">C33</f>
        <v>9652</v>
      </c>
      <c r="E42" s="317">
        <f ca="1">C34</f>
        <v>42960</v>
      </c>
      <c r="F42" s="318">
        <f ca="1">C35</f>
        <v>2864</v>
      </c>
      <c r="G42" s="311"/>
      <c r="H42" s="311"/>
      <c r="I42" s="319"/>
      <c r="J42" s="2030"/>
      <c r="K42" s="1271" t="s">
        <v>361</v>
      </c>
      <c r="L42" s="2047" t="s">
        <v>362</v>
      </c>
      <c r="M42" s="1272" t="s">
        <v>363</v>
      </c>
      <c r="N42" s="2048" t="s">
        <v>364</v>
      </c>
      <c r="O42" s="2049" t="s">
        <v>365</v>
      </c>
      <c r="P42" s="2028"/>
      <c r="V42" s="2028"/>
    </row>
    <row r="43" spans="1:26" ht="30">
      <c r="A43" s="3334" t="s">
        <v>2730</v>
      </c>
      <c r="B43" s="3335"/>
      <c r="C43" s="264">
        <f>IF(H33="正常操作",G33+G34+G35,G34+G35)</f>
        <v>0</v>
      </c>
      <c r="D43" s="317" t="s">
        <v>43</v>
      </c>
      <c r="E43" s="317" t="s">
        <v>44</v>
      </c>
      <c r="F43" s="318" t="s">
        <v>44</v>
      </c>
      <c r="G43" s="2890" t="s">
        <v>952</v>
      </c>
      <c r="H43" s="311"/>
      <c r="I43" s="319"/>
      <c r="J43" s="2030"/>
      <c r="K43" s="1273" t="str">
        <f>C4</f>
        <v>比较法-住宅、综合</v>
      </c>
      <c r="L43" s="1274">
        <f ca="1">IF(L42="估价结果/万元",C19,C20)</f>
        <v>64522</v>
      </c>
      <c r="M43" s="1275">
        <f>C18</f>
        <v>0.5</v>
      </c>
      <c r="N43" s="1276">
        <f ca="1">IF(N42="测算结果/万元",G19,G20)</f>
        <v>65164</v>
      </c>
      <c r="O43" s="1277">
        <f ca="1">IF(O42="最终结果/万元",C32,C33)</f>
        <v>65164</v>
      </c>
      <c r="P43" s="2028"/>
      <c r="V43" s="2028"/>
    </row>
    <row r="44" spans="1:26" ht="30.75" thickBot="1">
      <c r="A44" s="3323" t="str">
        <f>IF(OR(项目基本情况!E8="抵押价格",项目基本情况!E8="已注销及未注销"),"3.抵押价格","——")</f>
        <v>——</v>
      </c>
      <c r="B44" s="3324"/>
      <c r="C44" s="264" t="str">
        <f>IF(A44="——","——",C42-C43)</f>
        <v>——</v>
      </c>
      <c r="D44" s="317" t="e">
        <f>ROUND(C44*10000/'数据-汇总表'!E3,0)</f>
        <v>#VALUE!</v>
      </c>
      <c r="E44" s="317" t="e">
        <f>ROUND(C44*10000/'数据-汇总表'!D3,0)</f>
        <v>#VALUE!</v>
      </c>
      <c r="F44" s="318" t="e">
        <f>ROUND(C44/('数据-汇总表'!D3/666.67),0)</f>
        <v>#VALUE!</v>
      </c>
      <c r="G44" s="311"/>
      <c r="H44" s="311"/>
      <c r="I44" s="319"/>
      <c r="J44" s="2030"/>
      <c r="K44" s="1278" t="str">
        <f>D4</f>
        <v>剩余法-待开发</v>
      </c>
      <c r="L44" s="1279">
        <f ca="1">IF(L42="估价结果/万元",D19,D20)</f>
        <v>65806</v>
      </c>
      <c r="M44" s="1280">
        <f>D18</f>
        <v>0.5</v>
      </c>
      <c r="N44" s="1281"/>
      <c r="O44" s="1282"/>
      <c r="P44" s="2028"/>
      <c r="V44" s="2028"/>
    </row>
    <row r="45" spans="1:26" ht="15">
      <c r="A45" s="3329" t="str">
        <f>IF(项目基本情况!E8="已注销及未注销","4.抵押担保权已注销时的抵押价格",IF(项目基本情况!E8="已注销","3.抵押担保权已注销时的抵押价格","——"))</f>
        <v>——</v>
      </c>
      <c r="B45" s="333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25" t="str">
        <f>IF(项目基本情况!E9="抵押净值",IF(A45="——","4.抵押净值","5.抵押净值"),"——")</f>
        <v>——</v>
      </c>
      <c r="B46" s="3326"/>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70" t="s">
        <v>374</v>
      </c>
      <c r="B63" s="3371"/>
      <c r="C63" s="3372"/>
      <c r="D63" s="341">
        <f ca="1">ROUND(C42*F63,0)</f>
        <v>65164</v>
      </c>
      <c r="E63" s="302" t="s">
        <v>375</v>
      </c>
      <c r="F63" s="342">
        <v>1</v>
      </c>
      <c r="G63" s="343" t="s">
        <v>376</v>
      </c>
      <c r="H63" s="311"/>
      <c r="I63" s="311"/>
      <c r="J63" s="2028"/>
      <c r="K63" s="2028"/>
      <c r="L63" s="2028"/>
      <c r="M63" s="2028"/>
      <c r="N63" s="2028"/>
      <c r="O63" s="2028"/>
      <c r="P63" s="311"/>
      <c r="Q63" s="2028"/>
      <c r="R63" s="2028"/>
      <c r="S63" s="2028"/>
      <c r="T63" s="2028"/>
      <c r="U63" s="2028"/>
      <c r="V63" s="2028"/>
    </row>
    <row r="64" spans="1:22" ht="14.25" customHeight="1">
      <c r="A64" s="3331" t="s">
        <v>378</v>
      </c>
      <c r="B64" s="3332"/>
      <c r="C64" s="3332"/>
      <c r="D64" s="3332"/>
      <c r="E64" s="3332"/>
      <c r="F64" s="3332"/>
      <c r="G64" s="3333"/>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27" t="s">
        <v>386</v>
      </c>
      <c r="B66" s="3328"/>
      <c r="C66" s="3328"/>
      <c r="D66" s="261">
        <f ca="1">IF(H66="情况1",0,IF(H66="情况2",D70,IF(H66="情况3",D71,IF(H66="情况4",D72))))</f>
        <v>3475</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385" t="s">
        <v>385</v>
      </c>
      <c r="M66" s="3386"/>
      <c r="N66" s="2482"/>
      <c r="O66" s="2483"/>
      <c r="P66" s="2484"/>
      <c r="Q66" s="2028"/>
      <c r="R66" s="2028"/>
      <c r="S66" s="2028"/>
      <c r="T66" s="2028"/>
      <c r="U66" s="2028"/>
      <c r="V66" s="2028"/>
    </row>
    <row r="67" spans="1:22" ht="25.5" customHeight="1">
      <c r="A67" s="352" t="s">
        <v>390</v>
      </c>
      <c r="B67" s="3318" t="s">
        <v>391</v>
      </c>
      <c r="C67" s="3318"/>
      <c r="D67" s="353">
        <v>0</v>
      </c>
      <c r="E67" s="41" t="s">
        <v>392</v>
      </c>
      <c r="F67" s="62" t="s">
        <v>21</v>
      </c>
      <c r="G67" s="3373"/>
      <c r="H67" s="311"/>
      <c r="I67" s="1292"/>
      <c r="J67" s="2035"/>
      <c r="K67" s="1976">
        <v>2</v>
      </c>
      <c r="L67" s="3384" t="s">
        <v>389</v>
      </c>
      <c r="M67" s="3384"/>
      <c r="N67" s="1325">
        <f>'数据-取费表'!B2</f>
        <v>43244</v>
      </c>
      <c r="O67" s="1325"/>
      <c r="P67" s="1325"/>
      <c r="Q67" s="2028"/>
      <c r="R67" s="2028"/>
      <c r="S67" s="2028"/>
      <c r="T67" s="2028"/>
      <c r="U67" s="2028"/>
      <c r="V67" s="2028"/>
    </row>
    <row r="68" spans="1:22" ht="25.5" customHeight="1">
      <c r="A68" s="354"/>
      <c r="B68" s="3318" t="s">
        <v>394</v>
      </c>
      <c r="C68" s="3318"/>
      <c r="D68" s="355"/>
      <c r="E68" s="77"/>
      <c r="F68" s="356"/>
      <c r="G68" s="3374"/>
      <c r="H68" s="311"/>
      <c r="I68" s="1292"/>
      <c r="J68" s="2035"/>
      <c r="K68" s="1976">
        <v>3</v>
      </c>
      <c r="L68" s="3384" t="s">
        <v>393</v>
      </c>
      <c r="M68" s="3384"/>
      <c r="N68" s="1293">
        <f ca="1">C42</f>
        <v>65164</v>
      </c>
      <c r="O68" s="1293"/>
      <c r="P68" s="1293"/>
      <c r="Q68" s="2028"/>
      <c r="R68" s="2028"/>
      <c r="S68" s="2028"/>
      <c r="T68" s="2028"/>
      <c r="U68" s="2028"/>
      <c r="V68" s="2028"/>
    </row>
    <row r="69" spans="1:22" ht="12" customHeight="1">
      <c r="A69" s="357"/>
      <c r="B69" s="3318" t="s">
        <v>395</v>
      </c>
      <c r="C69" s="3318"/>
      <c r="D69" s="358"/>
      <c r="E69" s="73"/>
      <c r="F69" s="356"/>
      <c r="G69" s="3375"/>
      <c r="H69" s="311"/>
      <c r="I69" s="1292"/>
      <c r="J69" s="2035"/>
      <c r="K69" s="1294">
        <v>4</v>
      </c>
      <c r="L69" s="3389" t="s">
        <v>2883</v>
      </c>
      <c r="M69" s="3390"/>
      <c r="N69" s="1295" t="str">
        <f>C44</f>
        <v>——</v>
      </c>
      <c r="O69" s="1295"/>
      <c r="P69" s="1295"/>
      <c r="Q69" s="2028"/>
      <c r="R69" s="2028"/>
      <c r="S69" s="2028"/>
      <c r="T69" s="2028"/>
      <c r="U69" s="2028"/>
      <c r="V69" s="2028"/>
    </row>
    <row r="70" spans="1:22" ht="24" customHeight="1">
      <c r="A70" s="359" t="s">
        <v>396</v>
      </c>
      <c r="B70" s="3318" t="s">
        <v>397</v>
      </c>
      <c r="C70" s="3318"/>
      <c r="D70" s="358">
        <f ca="1">ROUND(D63*'数据-取费表'!B41/(1+'数据-取费表'!C42),0)</f>
        <v>3475</v>
      </c>
      <c r="E70" s="17" t="s">
        <v>398</v>
      </c>
      <c r="F70" s="360">
        <f>'数据-取费表'!B41</f>
        <v>5.6000000000000001E-2</v>
      </c>
      <c r="G70" s="361"/>
      <c r="H70" s="311"/>
      <c r="I70" s="1292"/>
      <c r="J70" s="2035"/>
      <c r="K70" s="3085"/>
      <c r="L70" s="3086"/>
      <c r="M70" s="3086"/>
      <c r="N70" s="3087" t="s">
        <v>2887</v>
      </c>
      <c r="O70" s="3086"/>
      <c r="P70" s="3088"/>
      <c r="Q70" s="2028"/>
      <c r="R70" s="2028"/>
      <c r="S70" s="2028"/>
      <c r="T70" s="2028"/>
      <c r="U70" s="2028"/>
      <c r="V70" s="2028"/>
    </row>
    <row r="71" spans="1:22" ht="12" customHeight="1">
      <c r="A71" s="359" t="s">
        <v>404</v>
      </c>
      <c r="B71" s="3319" t="s">
        <v>405</v>
      </c>
      <c r="C71" s="3320"/>
      <c r="D71" s="358">
        <f ca="1">ROUND(D63*'数据-取费表'!B41/(1+'数据-取费表'!C42),0)</f>
        <v>3475</v>
      </c>
      <c r="E71" s="17" t="s">
        <v>398</v>
      </c>
      <c r="F71" s="360">
        <f>'数据-取费表'!B41</f>
        <v>5.6000000000000001E-2</v>
      </c>
      <c r="G71" s="361"/>
      <c r="H71" s="311"/>
      <c r="I71" s="1292"/>
      <c r="J71" s="2035"/>
      <c r="K71" s="3084" t="s">
        <v>399</v>
      </c>
      <c r="L71" s="3391" t="s">
        <v>400</v>
      </c>
      <c r="M71" s="3391"/>
      <c r="N71" s="3084" t="s">
        <v>401</v>
      </c>
      <c r="O71" s="3084" t="s">
        <v>402</v>
      </c>
      <c r="P71" s="3084" t="s">
        <v>403</v>
      </c>
      <c r="Q71" s="2028"/>
      <c r="R71" s="2028"/>
      <c r="S71" s="2028"/>
      <c r="T71" s="2028"/>
      <c r="U71" s="2028"/>
      <c r="V71" s="2028"/>
    </row>
    <row r="72" spans="1:22" ht="12" customHeight="1">
      <c r="A72" s="359" t="s">
        <v>407</v>
      </c>
      <c r="B72" s="3319" t="s">
        <v>408</v>
      </c>
      <c r="C72" s="3320"/>
      <c r="D72" s="358">
        <f ca="1">C86</f>
        <v>3363</v>
      </c>
      <c r="E72" s="73" t="s">
        <v>409</v>
      </c>
      <c r="F72" s="360">
        <f>'数据-取费表'!B41</f>
        <v>5.6000000000000001E-2</v>
      </c>
      <c r="G72" s="361"/>
      <c r="H72" s="1298"/>
      <c r="I72" s="1292"/>
      <c r="J72" s="2035"/>
      <c r="K72" s="1976">
        <v>1</v>
      </c>
      <c r="L72" s="3366" t="s">
        <v>406</v>
      </c>
      <c r="M72" s="3366"/>
      <c r="N72" s="1296">
        <f ca="1">D66</f>
        <v>3475</v>
      </c>
      <c r="O72" s="1859" t="str">
        <f>E66</f>
        <v>销售额×税（费）率</v>
      </c>
      <c r="P72" s="1297">
        <f>F66</f>
        <v>5.6000000000000001E-2</v>
      </c>
      <c r="Q72" s="2028"/>
      <c r="R72" s="2028"/>
      <c r="S72" s="2028"/>
      <c r="T72" s="2028"/>
      <c r="U72" s="2028"/>
      <c r="V72" s="2028"/>
    </row>
    <row r="73" spans="1:22" ht="24" customHeight="1">
      <c r="A73" s="3360" t="s">
        <v>411</v>
      </c>
      <c r="B73" s="3328"/>
      <c r="C73" s="3328"/>
      <c r="D73" s="362">
        <f>IF(H73="个人住宅",0,ROUND(D63*I73,0))</f>
        <v>0</v>
      </c>
      <c r="E73" s="17" t="s">
        <v>412</v>
      </c>
      <c r="F73" s="360" t="str">
        <f>IF(H73="正常",I73,"免征")</f>
        <v>免征</v>
      </c>
      <c r="G73" s="361"/>
      <c r="H73" s="191" t="s">
        <v>2455</v>
      </c>
      <c r="I73" s="360">
        <f>'数据-取费表'!B49</f>
        <v>5.0000000000000001E-4</v>
      </c>
      <c r="J73" s="2035"/>
      <c r="K73" s="1976">
        <v>2</v>
      </c>
      <c r="L73" s="3366" t="s">
        <v>410</v>
      </c>
      <c r="M73" s="3366"/>
      <c r="N73" s="1296">
        <f t="shared" ref="N73:P74" si="0">D73</f>
        <v>0</v>
      </c>
      <c r="O73" s="1859" t="str">
        <f t="shared" si="0"/>
        <v>销售额×税（费）率</v>
      </c>
      <c r="P73" s="1297" t="str">
        <f t="shared" si="0"/>
        <v>免征</v>
      </c>
      <c r="Q73" s="2028"/>
      <c r="R73" s="2028"/>
      <c r="S73" s="2028"/>
      <c r="T73" s="2028"/>
      <c r="U73" s="2028"/>
      <c r="V73" s="2028"/>
    </row>
    <row r="74" spans="1:22" ht="24.75">
      <c r="A74" s="3360" t="s">
        <v>415</v>
      </c>
      <c r="B74" s="3328"/>
      <c r="C74" s="3328"/>
      <c r="D74" s="362">
        <f ca="1">IF(H74="个人住宅",D75,D76)</f>
        <v>6098</v>
      </c>
      <c r="E74" s="17" t="s">
        <v>416</v>
      </c>
      <c r="F74" s="360" t="str">
        <f>IF(H74="正常",F76,"免征")</f>
        <v>——</v>
      </c>
      <c r="G74" s="983" t="s">
        <v>417</v>
      </c>
      <c r="H74" s="363" t="s">
        <v>413</v>
      </c>
      <c r="I74" s="42"/>
      <c r="J74" s="2035"/>
      <c r="K74" s="1976">
        <v>3</v>
      </c>
      <c r="L74" s="3366" t="s">
        <v>414</v>
      </c>
      <c r="M74" s="3366"/>
      <c r="N74" s="1296">
        <f t="shared" ca="1" si="0"/>
        <v>6098</v>
      </c>
      <c r="O74" s="1859" t="str">
        <f t="shared" si="0"/>
        <v>增值额×税（费）率</v>
      </c>
      <c r="P74" s="1299" t="str">
        <f t="shared" si="0"/>
        <v>——</v>
      </c>
      <c r="Q74" s="2028"/>
      <c r="R74" s="2028"/>
      <c r="S74" s="2028"/>
      <c r="T74" s="2028"/>
      <c r="U74" s="2028"/>
      <c r="V74" s="2028"/>
    </row>
    <row r="75" spans="1:22" ht="12.75">
      <c r="A75" s="359" t="s">
        <v>418</v>
      </c>
      <c r="B75" s="3316" t="s">
        <v>419</v>
      </c>
      <c r="C75" s="3346"/>
      <c r="D75" s="364">
        <v>0</v>
      </c>
      <c r="E75" s="41" t="s">
        <v>420</v>
      </c>
      <c r="F75" s="365"/>
      <c r="G75" s="361"/>
      <c r="H75" s="42"/>
      <c r="I75" s="42"/>
      <c r="J75" s="2035"/>
      <c r="K75" s="3077" t="str">
        <f>IF(H77="非个人房产","",4)</f>
        <v/>
      </c>
      <c r="L75" s="3366" t="str">
        <f>IF(H77="非个人房产","——","个人所得税")</f>
        <v>——</v>
      </c>
      <c r="M75" s="3366"/>
      <c r="N75" s="1300" t="str">
        <f>D77</f>
        <v>——</v>
      </c>
      <c r="O75" s="1872" t="str">
        <f>E77</f>
        <v>——</v>
      </c>
      <c r="P75" s="1301" t="str">
        <f>F77</f>
        <v>——</v>
      </c>
      <c r="Q75" s="2028"/>
      <c r="R75" s="2028"/>
      <c r="S75" s="2028"/>
      <c r="T75" s="2028"/>
      <c r="U75" s="2028"/>
      <c r="V75" s="2028"/>
    </row>
    <row r="76" spans="1:22" ht="24.75">
      <c r="A76" s="359" t="s">
        <v>396</v>
      </c>
      <c r="B76" s="3316" t="s">
        <v>422</v>
      </c>
      <c r="C76" s="3317"/>
      <c r="D76" s="362">
        <f ca="1">IF(H76="转让取得",C99,C115)</f>
        <v>6098</v>
      </c>
      <c r="E76" s="17" t="s">
        <v>423</v>
      </c>
      <c r="F76" s="53" t="s">
        <v>21</v>
      </c>
      <c r="G76" s="361"/>
      <c r="H76" s="363" t="s">
        <v>424</v>
      </c>
      <c r="I76" s="42"/>
      <c r="J76" s="2035"/>
      <c r="K76" s="3077" t="str">
        <f>IF(项目基本情况!K6="上海银行",IF(K75="",4,K75+1),"")</f>
        <v/>
      </c>
      <c r="L76" s="3377" t="str">
        <f>IF(项目基本情况!K6="上海银行","其他处置费用","")</f>
        <v/>
      </c>
      <c r="M76" s="3378"/>
      <c r="N76" s="1296" t="str">
        <f>IF(项目基本情况!K6="上海银行",N89,"")</f>
        <v/>
      </c>
      <c r="O76" s="3379" t="str">
        <f>IF(项目基本情况!K6="上海银行","包含处置中涉及的律师、诉讼、拍卖、评估等费用","")</f>
        <v/>
      </c>
      <c r="P76" s="3380"/>
      <c r="Q76" s="2028"/>
      <c r="R76" s="2028"/>
      <c r="S76" s="2028"/>
      <c r="T76" s="2028"/>
      <c r="U76" s="2028"/>
      <c r="V76" s="2028"/>
    </row>
    <row r="77" spans="1:22" ht="24.75" thickBot="1">
      <c r="A77" s="3368" t="s">
        <v>426</v>
      </c>
      <c r="B77" s="3369"/>
      <c r="C77" s="3369"/>
      <c r="D77" s="366" t="str">
        <f>IF(H77="非个人房产","——",IF(H77="个人住宅",0,ROUND(D63*I77,0)))</f>
        <v>——</v>
      </c>
      <c r="E77" s="367" t="str">
        <f>IF(H77="非个人房产","——","销售额×税（费）率")</f>
        <v>——</v>
      </c>
      <c r="F77" s="368" t="str">
        <f>IF(H77="非个人房产","——",IF(H77="个人住宅","免征",I77))</f>
        <v>——</v>
      </c>
      <c r="G77" s="984" t="s">
        <v>417</v>
      </c>
      <c r="H77" s="363" t="s">
        <v>3150</v>
      </c>
      <c r="I77" s="369">
        <v>0.01</v>
      </c>
      <c r="J77" s="2035"/>
      <c r="K77" s="3367">
        <f>IF(AND(K75="",K76=""),4,IF(项目基本情况!K6="上海银行",K76+1,K75+1))</f>
        <v>4</v>
      </c>
      <c r="L77" s="3366" t="s">
        <v>2884</v>
      </c>
      <c r="M77" s="3083" t="s">
        <v>421</v>
      </c>
      <c r="N77" s="1302"/>
      <c r="O77" s="1303">
        <f ca="1">SUMIF(N72:N76,"&lt;9e307")</f>
        <v>9573</v>
      </c>
      <c r="P77" s="1304"/>
      <c r="Q77" s="3081" t="e">
        <f ca="1">O77/N69</f>
        <v>#VALUE!</v>
      </c>
      <c r="R77" s="2028"/>
      <c r="S77" s="2028"/>
      <c r="T77" s="2028"/>
      <c r="U77" s="2028"/>
      <c r="V77" s="2028"/>
    </row>
    <row r="78" spans="1:22" ht="12" customHeight="1">
      <c r="A78" s="1305"/>
      <c r="B78" s="311"/>
      <c r="C78" s="311"/>
      <c r="D78" s="311"/>
      <c r="E78" s="42"/>
      <c r="F78" s="42"/>
      <c r="G78" s="42"/>
      <c r="H78" s="1003"/>
      <c r="I78" s="311"/>
      <c r="J78" s="2035"/>
      <c r="K78" s="3367"/>
      <c r="L78" s="3366"/>
      <c r="M78" s="3083" t="s">
        <v>425</v>
      </c>
      <c r="N78" s="1302"/>
      <c r="O78" s="1303" t="str">
        <f ca="1">NUMBERSTRING(INT(O77*10000),2)&amp;"元整"</f>
        <v>玖仟伍佰柒拾叁万元整</v>
      </c>
      <c r="P78" s="1304"/>
      <c r="Q78" s="2028"/>
      <c r="R78" s="2028"/>
      <c r="S78" s="2028"/>
      <c r="T78" s="2028"/>
      <c r="U78" s="2028"/>
      <c r="V78" s="2028"/>
    </row>
    <row r="79" spans="1:22" ht="13.5" thickBot="1">
      <c r="A79" s="3361" t="s">
        <v>427</v>
      </c>
      <c r="B79" s="3361"/>
      <c r="C79" s="3361"/>
      <c r="D79" s="3361"/>
      <c r="E79" s="3361"/>
      <c r="F79" s="42"/>
      <c r="G79" s="42"/>
      <c r="H79" s="1003"/>
      <c r="I79" s="311"/>
      <c r="J79" s="2035"/>
      <c r="K79" s="3387">
        <f>K77+1</f>
        <v>5</v>
      </c>
      <c r="L79" s="3366" t="s">
        <v>2885</v>
      </c>
      <c r="M79" s="3083" t="s">
        <v>421</v>
      </c>
      <c r="N79" s="1302"/>
      <c r="O79" s="1303" t="e">
        <f ca="1">N69-O77</f>
        <v>#VALUE!</v>
      </c>
      <c r="P79" s="1304"/>
      <c r="Q79" s="2028"/>
      <c r="R79" s="2028"/>
      <c r="S79" s="2028"/>
      <c r="T79" s="2028"/>
      <c r="U79" s="2028"/>
      <c r="V79" s="2028"/>
    </row>
    <row r="80" spans="1:22" ht="12.75">
      <c r="A80" s="3356" t="s">
        <v>428</v>
      </c>
      <c r="B80" s="3357"/>
      <c r="C80" s="994"/>
      <c r="D80" s="994" t="s">
        <v>429</v>
      </c>
      <c r="E80" s="370" t="s">
        <v>430</v>
      </c>
      <c r="F80" s="42"/>
      <c r="G80" s="42"/>
      <c r="H80" s="1003"/>
      <c r="I80" s="311"/>
      <c r="J80" s="2028"/>
      <c r="K80" s="3388"/>
      <c r="L80" s="3366"/>
      <c r="M80" s="3083" t="s">
        <v>425</v>
      </c>
      <c r="N80" s="1302"/>
      <c r="O80" s="1303" t="e">
        <f ca="1">NUMBERSTRING(INT(O79*10000),2)&amp;"元整"</f>
        <v>#VALUE!</v>
      </c>
      <c r="P80" s="1304"/>
      <c r="Q80" s="2028"/>
      <c r="R80" s="2028"/>
      <c r="S80" s="2028"/>
      <c r="T80" s="2028"/>
      <c r="U80" s="2028"/>
      <c r="V80" s="2028"/>
    </row>
    <row r="81" spans="1:26" ht="13.5" thickBot="1">
      <c r="A81" s="381" t="s">
        <v>1824</v>
      </c>
      <c r="B81" s="371" t="s">
        <v>431</v>
      </c>
      <c r="C81" s="372">
        <f ca="1">ROUND((C82+C83)/(1+'数据-取费表'!C42),0)</f>
        <v>62061</v>
      </c>
      <c r="D81" s="373"/>
      <c r="E81" s="374"/>
      <c r="F81" s="42"/>
      <c r="G81" s="42"/>
      <c r="H81" s="1003"/>
      <c r="I81" s="311"/>
      <c r="J81" s="2028"/>
      <c r="K81" s="3077">
        <f>K79+1</f>
        <v>6</v>
      </c>
      <c r="L81" s="3364" t="s">
        <v>2886</v>
      </c>
      <c r="M81" s="3365"/>
      <c r="N81" s="1306"/>
      <c r="O81" s="1307" t="e">
        <f ca="1">ROUND(O79*10000/'数据-汇总表'!E3,0)</f>
        <v>#VALUE!</v>
      </c>
      <c r="P81" s="1308"/>
      <c r="Q81" s="2028"/>
      <c r="R81" s="2028"/>
      <c r="S81" s="2028"/>
      <c r="T81" s="2028"/>
      <c r="U81" s="2028"/>
      <c r="V81" s="2028"/>
    </row>
    <row r="82" spans="1:26" ht="13.5" thickTop="1">
      <c r="A82" s="375" t="s">
        <v>1825</v>
      </c>
      <c r="B82" s="376" t="s">
        <v>432</v>
      </c>
      <c r="C82" s="377">
        <f ca="1">D63</f>
        <v>65164</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376" t="s">
        <v>2874</v>
      </c>
      <c r="L83" s="3089" t="s">
        <v>2875</v>
      </c>
      <c r="M83" s="3079" t="e">
        <f>IF(N69&gt;10000,N69*0.5%,IF(AND(N69&gt;1000,N69&lt;=10000),N69*1%,IF(AND(N69&gt;100,N69&lt;=1000),N69*3%,IF(AND(N69&gt;10,N69&lt;=100),N69*5%,N69*8%))))</f>
        <v>#VALUE!</v>
      </c>
      <c r="N83" s="53" t="e">
        <f>ROUND(M83,1)</f>
        <v>#VALUE!</v>
      </c>
      <c r="O83" s="3082"/>
      <c r="P83" s="2028"/>
      <c r="Q83" s="2028"/>
      <c r="R83" s="2028"/>
      <c r="S83" s="2028"/>
      <c r="T83" s="2028"/>
      <c r="U83" s="2028"/>
      <c r="V83" s="2028"/>
    </row>
    <row r="84" spans="1:26" ht="12.75">
      <c r="A84" s="381" t="s">
        <v>1827</v>
      </c>
      <c r="B84" s="382" t="s">
        <v>434</v>
      </c>
      <c r="C84" s="383">
        <v>2000</v>
      </c>
      <c r="D84" s="384" t="s">
        <v>19</v>
      </c>
      <c r="E84" s="3124" t="s">
        <v>2939</v>
      </c>
      <c r="F84" s="42"/>
      <c r="G84" s="42"/>
      <c r="H84" s="1003"/>
      <c r="I84" s="311"/>
      <c r="J84" s="2028"/>
      <c r="K84" s="3376"/>
      <c r="L84" s="3089" t="s">
        <v>2876</v>
      </c>
      <c r="M84" s="3079"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28" t="s">
        <v>2877</v>
      </c>
      <c r="P84" s="2028"/>
      <c r="Q84" s="2028"/>
      <c r="R84" s="2028"/>
      <c r="S84" s="2028"/>
      <c r="T84" s="2028"/>
      <c r="U84" s="2028"/>
      <c r="V84" s="2028"/>
    </row>
    <row r="85" spans="1:26" ht="12.75">
      <c r="A85" s="381" t="s">
        <v>1828</v>
      </c>
      <c r="B85" s="382" t="s">
        <v>435</v>
      </c>
      <c r="C85" s="385">
        <f ca="1">C81-C84</f>
        <v>60061</v>
      </c>
      <c r="D85" s="378" t="s">
        <v>19</v>
      </c>
      <c r="E85" s="379"/>
      <c r="F85" s="42"/>
      <c r="G85" s="42"/>
      <c r="H85" s="1003"/>
      <c r="I85" s="311"/>
      <c r="J85" s="2028"/>
      <c r="K85" s="3376"/>
      <c r="L85" s="3089" t="s">
        <v>2878</v>
      </c>
      <c r="M85" s="3079" t="e">
        <f>IF(N69&gt;1000,N69*0.1%,IF(AND(N69&gt;500,N69&lt;=1000),N69*0.5%,IF(AND(N69&gt;50,N69&lt;=500),N69*1%,IF(AND(N69&gt;1,N69&lt;=50),N69*1.5%))))</f>
        <v>#VALUE!</v>
      </c>
      <c r="N85" s="53" t="e">
        <f>ROUND(M85,1)</f>
        <v>#VALUE!</v>
      </c>
      <c r="O85" s="2028" t="s">
        <v>2877</v>
      </c>
      <c r="P85" s="2028"/>
      <c r="Q85" s="2028"/>
      <c r="R85" s="2028"/>
      <c r="S85" s="2028"/>
      <c r="T85" s="2028"/>
      <c r="U85" s="2028"/>
      <c r="V85" s="2028"/>
    </row>
    <row r="86" spans="1:26" ht="13.5" thickBot="1">
      <c r="A86" s="386" t="s">
        <v>1829</v>
      </c>
      <c r="B86" s="387" t="s">
        <v>436</v>
      </c>
      <c r="C86" s="388">
        <f ca="1">IF(C85&lt;=0,0,ROUND(C85*D86,0))</f>
        <v>3363</v>
      </c>
      <c r="D86" s="389">
        <f>'数据-取费表'!B41</f>
        <v>5.6000000000000001E-2</v>
      </c>
      <c r="E86" s="390"/>
      <c r="F86" s="42"/>
      <c r="G86" s="42"/>
      <c r="H86" s="1003"/>
      <c r="I86" s="311"/>
      <c r="J86" s="2028"/>
      <c r="K86" s="3376"/>
      <c r="L86" s="3089" t="s">
        <v>2879</v>
      </c>
      <c r="M86" s="3079" t="e">
        <f>N69*0.5%</f>
        <v>#VALUE!</v>
      </c>
      <c r="N86" s="53" t="e">
        <f>IF(M86&gt;0.5,0.5,ROUND(M86,0))</f>
        <v>#VALUE!</v>
      </c>
      <c r="O86" s="2028" t="s">
        <v>2880</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76"/>
      <c r="L87" s="3089" t="s">
        <v>2881</v>
      </c>
      <c r="M87" s="307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2"/>
      <c r="P87" s="311"/>
      <c r="Q87" s="2028"/>
      <c r="R87" s="2028"/>
      <c r="S87" s="2028"/>
      <c r="T87" s="2028"/>
      <c r="U87" s="2028"/>
      <c r="V87" s="2028"/>
      <c r="W87" s="292"/>
      <c r="X87" s="292"/>
      <c r="Y87" s="292"/>
      <c r="Z87" s="292"/>
    </row>
    <row r="88" spans="1:26" s="1314" customFormat="1" ht="15" thickBot="1">
      <c r="A88" s="3358" t="s">
        <v>437</v>
      </c>
      <c r="B88" s="3359"/>
      <c r="C88" s="3359"/>
      <c r="D88" s="3359"/>
      <c r="E88" s="3359"/>
      <c r="F88" s="3359"/>
      <c r="G88" s="3359"/>
      <c r="H88" s="3359"/>
      <c r="I88" s="1315"/>
      <c r="J88" s="2036"/>
      <c r="K88" s="3376"/>
      <c r="L88" s="3089" t="s">
        <v>2882</v>
      </c>
      <c r="M88" s="3079" t="e">
        <f>IF(N69&gt;10000,N69*0.5%,IF(AND(N69&gt;5000,N69&lt;=10000),N69*1%,IF(AND(N69&gt;1000,N69&lt;=5000),N69*2%,IF(AND(N69&gt;200,N69&lt;=1000),N69*3%,N69*5%))))</f>
        <v>#VALUE!</v>
      </c>
      <c r="N88" s="53" t="e">
        <f>ROUND(M88,1)</f>
        <v>#VALUE!</v>
      </c>
      <c r="O88" s="3082"/>
      <c r="P88" s="11"/>
      <c r="Q88" s="2033"/>
      <c r="R88" s="2033"/>
      <c r="S88" s="2033"/>
      <c r="T88" s="2033"/>
      <c r="U88" s="2033"/>
      <c r="V88" s="2033"/>
      <c r="W88" s="2037"/>
      <c r="X88" s="2037"/>
      <c r="Y88" s="2037"/>
      <c r="Z88" s="2037"/>
    </row>
    <row r="89" spans="1:26" s="1314" customFormat="1" ht="14.25">
      <c r="A89" s="3356" t="s">
        <v>428</v>
      </c>
      <c r="B89" s="3357"/>
      <c r="C89" s="994"/>
      <c r="D89" s="994" t="s">
        <v>429</v>
      </c>
      <c r="E89" s="391" t="s">
        <v>438</v>
      </c>
      <c r="F89" s="392"/>
      <c r="G89" s="392"/>
      <c r="H89" s="393"/>
      <c r="I89" s="1316"/>
      <c r="J89" s="2038"/>
      <c r="K89" s="3376"/>
      <c r="L89" s="3089" t="s">
        <v>27</v>
      </c>
      <c r="M89" s="3080"/>
      <c r="N89" s="53" t="e">
        <f>ROUND(SUM(N83:N88),0)</f>
        <v>#VALUE!</v>
      </c>
      <c r="O89" s="3090" t="e">
        <f>N89/N69</f>
        <v>#VALUE!</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62061</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2933</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319" t="s">
        <v>447</v>
      </c>
      <c r="F94" s="3318"/>
      <c r="G94" s="3318"/>
      <c r="H94" s="3355"/>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372</v>
      </c>
      <c r="D96" s="406">
        <f>'数据-取费表'!B43</f>
        <v>6.000000000000001E-3</v>
      </c>
      <c r="E96" s="3347" t="s">
        <v>2428</v>
      </c>
      <c r="F96" s="3348"/>
      <c r="G96" s="3348"/>
      <c r="H96" s="3349"/>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1836</v>
      </c>
      <c r="B97" s="382" t="s">
        <v>451</v>
      </c>
      <c r="C97" s="385">
        <f ca="1">C90-C91</f>
        <v>59128</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1837</v>
      </c>
      <c r="B98" s="382" t="s">
        <v>452</v>
      </c>
      <c r="C98" s="407">
        <f ca="1">IF(C97&lt;=0,0,C97/C91)</f>
        <v>20.159563586771224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1838</v>
      </c>
      <c r="B99" s="387" t="s">
        <v>453</v>
      </c>
      <c r="C99" s="408">
        <f ca="1">ROUND(IF(C97&lt;=0,0,IF(C98&gt;=200%,C97*60%-C91*35%,IF(C98&gt;=100%,C97*50%-C91*15%,IF(C98&gt;=50%,C97*40%-C91*5%,IF(C98&lt;50%,C97*30%,0))))),0)</f>
        <v>34450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58" t="s">
        <v>454</v>
      </c>
      <c r="B101" s="3359"/>
      <c r="C101" s="3359"/>
      <c r="D101" s="3359"/>
      <c r="E101" s="3359"/>
      <c r="F101" s="3359"/>
      <c r="G101" s="3359"/>
      <c r="H101" s="3359"/>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56" t="s">
        <v>428</v>
      </c>
      <c r="B102" s="3357"/>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62061</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41736</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14232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f>ROUND('数据-基础表'!A3/666.67*607,0)</f>
        <v>13811</v>
      </c>
      <c r="D106" s="406"/>
      <c r="E106" s="417" t="s">
        <v>457</v>
      </c>
      <c r="F106" s="986"/>
      <c r="G106" s="418" t="s">
        <v>458</v>
      </c>
      <c r="H106" s="419"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421</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v>0</v>
      </c>
      <c r="D108" s="406"/>
      <c r="E108" s="417" t="str">
        <f>IF(H106="-","土地取得成本中已包含该笔费用"," ")</f>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1839</v>
      </c>
      <c r="B109" s="376" t="s">
        <v>461</v>
      </c>
      <c r="C109" s="405">
        <f ca="1">IF(H109="——",IF(F1="现房",'剩余法-现房'!C18,'剩余法-待开发'!C18),I109)</f>
        <v>23372</v>
      </c>
      <c r="D109" s="406"/>
      <c r="E109" s="3350" t="s">
        <v>462</v>
      </c>
      <c r="F109" s="3348"/>
      <c r="G109" s="3348"/>
      <c r="H109" s="1941" t="s">
        <v>2279</v>
      </c>
      <c r="I109" s="1942">
        <f ca="1">'剩余法-待开发'!C18</f>
        <v>23372</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1840</v>
      </c>
      <c r="B110" s="376" t="s">
        <v>463</v>
      </c>
      <c r="C110" s="405">
        <f ca="1">ROUND((C105+C108+C109)*D110,0)</f>
        <v>3760</v>
      </c>
      <c r="D110" s="406">
        <v>0.1</v>
      </c>
      <c r="E110" s="3350" t="s">
        <v>464</v>
      </c>
      <c r="F110" s="3348"/>
      <c r="G110" s="3348"/>
      <c r="H110" s="3349"/>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1841</v>
      </c>
      <c r="B111" s="376" t="s">
        <v>450</v>
      </c>
      <c r="C111" s="405">
        <f ca="1">ROUND(D63*D111/(1+'数据-取费表'!C42),0)</f>
        <v>372</v>
      </c>
      <c r="D111" s="406">
        <f>'数据-取费表'!B43</f>
        <v>6.000000000000001E-3</v>
      </c>
      <c r="E111" s="3347" t="s">
        <v>2428</v>
      </c>
      <c r="F111" s="3348"/>
      <c r="G111" s="3348"/>
      <c r="H111" s="3349"/>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1842</v>
      </c>
      <c r="B112" s="376" t="s">
        <v>465</v>
      </c>
      <c r="C112" s="405">
        <f>ROUND(C108*D112,0)</f>
        <v>0</v>
      </c>
      <c r="D112" s="406">
        <v>0.2</v>
      </c>
      <c r="E112" s="3350" t="s">
        <v>2453</v>
      </c>
      <c r="F112" s="3348"/>
      <c r="G112" s="3348"/>
      <c r="H112" s="3349"/>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1836</v>
      </c>
      <c r="B113" s="382" t="s">
        <v>451</v>
      </c>
      <c r="C113" s="385">
        <f ca="1">ROUND(C103-C104,0)</f>
        <v>20325</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1837</v>
      </c>
      <c r="B114" s="382" t="s">
        <v>452</v>
      </c>
      <c r="C114" s="407">
        <f ca="1">IF(C113&lt;=0,0,C113/C104)</f>
        <v>0.48698964922369176</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1838</v>
      </c>
      <c r="B115" s="387" t="s">
        <v>453</v>
      </c>
      <c r="C115" s="408">
        <f ca="1">ROUND(IF(C113&lt;=0,0,IF(C114&gt;=200%,C113*60%-C104*35%,IF(C114&gt;=100%,C113*50%-C104*15%,IF(C114&gt;=50%,C113*40%-C104*5%,IF(C114&lt;50%,C113*30%,0))))),0)</f>
        <v>6098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zoomScale="85" zoomScaleNormal="95" zoomScaleSheetLayoutView="85" workbookViewId="0">
      <selection activeCell="C12" sqref="C1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64522</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9556</v>
      </c>
      <c r="C3" s="2061"/>
      <c r="D3" s="2594"/>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42537</v>
      </c>
      <c r="C4" s="2061"/>
      <c r="D4" s="2594"/>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2836</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401" t="s">
        <v>522</v>
      </c>
      <c r="D6" s="3402"/>
      <c r="E6" s="3401" t="s">
        <v>523</v>
      </c>
      <c r="F6" s="3402"/>
      <c r="G6" s="3401" t="s">
        <v>524</v>
      </c>
      <c r="H6" s="3402"/>
      <c r="I6" s="3401" t="s">
        <v>525</v>
      </c>
      <c r="J6" s="3402"/>
      <c r="K6" s="514" t="s">
        <v>526</v>
      </c>
      <c r="L6" s="2133"/>
      <c r="M6" s="2132"/>
      <c r="N6" s="2132"/>
      <c r="O6" s="2134"/>
      <c r="P6" s="3403" t="s">
        <v>527</v>
      </c>
      <c r="Q6" s="3404"/>
      <c r="R6" s="3409" t="s">
        <v>523</v>
      </c>
      <c r="S6" s="3410"/>
      <c r="T6" s="3409" t="s">
        <v>524</v>
      </c>
      <c r="U6" s="3410"/>
      <c r="V6" s="3396" t="s">
        <v>525</v>
      </c>
      <c r="W6" s="3396"/>
      <c r="X6" s="1568"/>
      <c r="Y6" s="3409" t="s">
        <v>527</v>
      </c>
      <c r="Z6" s="3410"/>
      <c r="AA6" s="3398" t="s">
        <v>523</v>
      </c>
      <c r="AB6" s="3399" t="s">
        <v>524</v>
      </c>
      <c r="AC6" s="3398" t="s">
        <v>525</v>
      </c>
    </row>
    <row r="7" spans="1:30" ht="20.25">
      <c r="A7" s="515"/>
      <c r="B7" s="516"/>
      <c r="C7" s="3419" t="s">
        <v>2926</v>
      </c>
      <c r="D7" s="3418"/>
      <c r="E7" s="3417" t="s">
        <v>3162</v>
      </c>
      <c r="F7" s="3418"/>
      <c r="G7" s="3417" t="s">
        <v>3041</v>
      </c>
      <c r="H7" s="3418"/>
      <c r="I7" s="3417" t="s">
        <v>3166</v>
      </c>
      <c r="J7" s="3418"/>
      <c r="K7" s="514"/>
      <c r="L7" s="2133"/>
      <c r="M7" s="2132"/>
      <c r="N7" s="2132"/>
      <c r="O7" s="2134"/>
      <c r="P7" s="3405"/>
      <c r="Q7" s="3406"/>
      <c r="R7" s="3411"/>
      <c r="S7" s="3412"/>
      <c r="T7" s="3411"/>
      <c r="U7" s="3412"/>
      <c r="V7" s="3396"/>
      <c r="W7" s="3396"/>
      <c r="X7" s="1568"/>
      <c r="Y7" s="3411"/>
      <c r="Z7" s="3412"/>
      <c r="AA7" s="3399"/>
      <c r="AB7" s="3399"/>
      <c r="AC7" s="3399"/>
    </row>
    <row r="8" spans="1:30" ht="21" thickBot="1">
      <c r="A8" s="515"/>
      <c r="B8" s="516"/>
      <c r="C8" s="3420" t="s">
        <v>2930</v>
      </c>
      <c r="D8" s="3421"/>
      <c r="E8" s="3422" t="s">
        <v>3164</v>
      </c>
      <c r="F8" s="3421"/>
      <c r="G8" s="3415" t="s">
        <v>3042</v>
      </c>
      <c r="H8" s="3416"/>
      <c r="I8" s="3415" t="s">
        <v>3042</v>
      </c>
      <c r="J8" s="3416"/>
      <c r="K8" s="514" t="s">
        <v>528</v>
      </c>
      <c r="L8" s="2133"/>
      <c r="M8" s="2132"/>
      <c r="N8" s="2132"/>
      <c r="O8" s="2134"/>
      <c r="P8" s="3407"/>
      <c r="Q8" s="3408"/>
      <c r="R8" s="3411"/>
      <c r="S8" s="3412"/>
      <c r="T8" s="3413"/>
      <c r="U8" s="3414"/>
      <c r="V8" s="3396"/>
      <c r="W8" s="3396"/>
      <c r="X8" s="1568"/>
      <c r="Y8" s="3413"/>
      <c r="Z8" s="3414"/>
      <c r="AA8" s="3400"/>
      <c r="AB8" s="3400"/>
      <c r="AC8" s="3400"/>
    </row>
    <row r="9" spans="1:30" s="1220" customFormat="1" ht="21" thickBot="1">
      <c r="A9" s="2936"/>
      <c r="B9" s="2943" t="s">
        <v>529</v>
      </c>
      <c r="C9" s="2935">
        <f>'数据-取费表'!B2</f>
        <v>43244</v>
      </c>
      <c r="D9" s="520">
        <v>100</v>
      </c>
      <c r="E9" s="523">
        <v>42732</v>
      </c>
      <c r="F9" s="522">
        <f>SUMIF(72:72,YEAR(E9)&amp;"-"&amp;INT((MONTH(E9)+2)/3),73:73)</f>
        <v>82</v>
      </c>
      <c r="G9" s="523">
        <v>42732</v>
      </c>
      <c r="H9" s="520">
        <f>SUMIF(72:72,YEAR(G9)&amp;"-"&amp;INT((MONTH(G9)+2)/3),73:73)</f>
        <v>82</v>
      </c>
      <c r="I9" s="523">
        <v>43098</v>
      </c>
      <c r="J9" s="520">
        <f>SUMIF(72:72,YEAR(I9)&amp;"-"&amp;INT((MONTH(I9)+2)/3),73:73)</f>
        <v>94</v>
      </c>
      <c r="K9" s="524"/>
      <c r="L9" s="2135"/>
      <c r="M9" s="2132"/>
      <c r="N9" s="2132"/>
      <c r="O9" s="2136"/>
      <c r="P9" s="3428" t="s">
        <v>530</v>
      </c>
      <c r="Q9" s="3430"/>
      <c r="R9" s="1569" t="s">
        <v>8</v>
      </c>
      <c r="S9" s="1570">
        <f t="shared" ref="S9:S17" si="0">F9</f>
        <v>82</v>
      </c>
      <c r="T9" s="1569" t="s">
        <v>8</v>
      </c>
      <c r="U9" s="1570">
        <f t="shared" ref="U9:U17" si="1">H9</f>
        <v>82</v>
      </c>
      <c r="V9" s="1569" t="s">
        <v>8</v>
      </c>
      <c r="W9" s="1570">
        <f t="shared" ref="W9:W17" si="2">J9</f>
        <v>94</v>
      </c>
      <c r="X9" s="1571"/>
      <c r="Y9" s="3428" t="s">
        <v>530</v>
      </c>
      <c r="Z9" s="3429"/>
      <c r="AA9" s="1572">
        <f>D9/F9</f>
        <v>1.2195121951219512</v>
      </c>
      <c r="AB9" s="1572">
        <f>D9/H9</f>
        <v>1.2195121951219512</v>
      </c>
      <c r="AC9" s="1572">
        <f>D9/J9</f>
        <v>1.0638297872340425</v>
      </c>
    </row>
    <row r="10" spans="1:30" s="1220" customFormat="1" ht="21" thickBot="1">
      <c r="A10" s="2937"/>
      <c r="B10" s="2944" t="s">
        <v>531</v>
      </c>
      <c r="C10" s="856" t="s">
        <v>532</v>
      </c>
      <c r="D10" s="520">
        <v>100</v>
      </c>
      <c r="E10" s="525" t="s">
        <v>3007</v>
      </c>
      <c r="F10" s="522">
        <f>SUMIF(75:75,E10,76:76)-SUMIF(75:75,C10,76:76)+100</f>
        <v>100</v>
      </c>
      <c r="G10" s="525" t="s">
        <v>3007</v>
      </c>
      <c r="H10" s="520">
        <f>SUMIF(75:75,G10,76:76)-SUMIF(75:75,C10,76:76)+100</f>
        <v>100</v>
      </c>
      <c r="I10" s="525" t="s">
        <v>3007</v>
      </c>
      <c r="J10" s="520">
        <f>SUMIF(75:75,I10,76:76)-SUMIF(75:75,C10,76:76)+100</f>
        <v>100</v>
      </c>
      <c r="K10" s="524"/>
      <c r="L10" s="2135"/>
      <c r="M10" s="2132"/>
      <c r="N10" s="2132"/>
      <c r="O10" s="2136"/>
      <c r="P10" s="3428" t="s">
        <v>533</v>
      </c>
      <c r="Q10" s="3429"/>
      <c r="R10" s="1569" t="s">
        <v>8</v>
      </c>
      <c r="S10" s="1570">
        <f t="shared" si="0"/>
        <v>100</v>
      </c>
      <c r="T10" s="1569" t="s">
        <v>8</v>
      </c>
      <c r="U10" s="1570">
        <f t="shared" si="1"/>
        <v>100</v>
      </c>
      <c r="V10" s="1569" t="s">
        <v>8</v>
      </c>
      <c r="W10" s="1570">
        <f t="shared" si="2"/>
        <v>100</v>
      </c>
      <c r="X10" s="1571"/>
      <c r="Y10" s="3428" t="s">
        <v>533</v>
      </c>
      <c r="Z10" s="3429"/>
      <c r="AA10" s="1572">
        <f t="shared" ref="AA10:AA47" si="3">D10/F10</f>
        <v>1</v>
      </c>
      <c r="AB10" s="1572">
        <f t="shared" ref="AB10:AB47" si="4">D10/H10</f>
        <v>1</v>
      </c>
      <c r="AC10" s="1572">
        <f t="shared" ref="AC10:AC47" si="5">D10/J10</f>
        <v>1</v>
      </c>
    </row>
    <row r="11" spans="1:30" s="1220" customFormat="1" ht="20.25">
      <c r="A11" s="2938"/>
      <c r="B11" s="2945" t="s">
        <v>2756</v>
      </c>
      <c r="C11" s="2932" t="s">
        <v>3008</v>
      </c>
      <c r="D11" s="254">
        <v>100</v>
      </c>
      <c r="E11" s="526" t="s">
        <v>3008</v>
      </c>
      <c r="F11" s="254">
        <f>SUMIF(77:77,E11,78:78)-SUMIF(77:77,C11,78:78)+100</f>
        <v>100</v>
      </c>
      <c r="G11" s="526" t="s">
        <v>3008</v>
      </c>
      <c r="H11" s="254">
        <f>SUMIF(77:77,G11,78:78)-SUMIF(77:77,C11,78:78)+100</f>
        <v>100</v>
      </c>
      <c r="I11" s="526" t="s">
        <v>3008</v>
      </c>
      <c r="J11" s="254">
        <f>SUMIF(77:77,I11,78:78)-SUMIF(77:77,C11,78:78)+100</f>
        <v>100</v>
      </c>
      <c r="K11" s="524"/>
      <c r="L11" s="2135"/>
      <c r="M11" s="2132"/>
      <c r="N11" s="2132"/>
      <c r="O11" s="2137"/>
      <c r="P11" s="3395" t="s">
        <v>535</v>
      </c>
      <c r="Q11" s="1151" t="str">
        <f t="shared" ref="Q11:Q17" si="6">B11</f>
        <v>用途</v>
      </c>
      <c r="R11" s="1569" t="s">
        <v>8</v>
      </c>
      <c r="S11" s="1570">
        <f t="shared" si="0"/>
        <v>100</v>
      </c>
      <c r="T11" s="1569" t="s">
        <v>8</v>
      </c>
      <c r="U11" s="1570">
        <f t="shared" si="1"/>
        <v>100</v>
      </c>
      <c r="V11" s="1569" t="s">
        <v>8</v>
      </c>
      <c r="W11" s="1570">
        <f t="shared" si="2"/>
        <v>100</v>
      </c>
      <c r="X11" s="1571"/>
      <c r="Y11" s="3341" t="s">
        <v>536</v>
      </c>
      <c r="Z11" s="1150" t="str">
        <f t="shared" ref="Z11:Z17" si="7">Q11</f>
        <v>用途</v>
      </c>
      <c r="AA11" s="1572">
        <f t="shared" si="3"/>
        <v>1</v>
      </c>
      <c r="AB11" s="1572">
        <f t="shared" si="4"/>
        <v>1</v>
      </c>
      <c r="AC11" s="1572">
        <f t="shared" si="5"/>
        <v>1</v>
      </c>
    </row>
    <row r="12" spans="1:30" s="1338" customFormat="1" ht="28.5">
      <c r="A12" s="2939"/>
      <c r="B12" s="2944" t="s">
        <v>2757</v>
      </c>
      <c r="C12" s="910" t="str">
        <f>项目基本情况!D20</f>
        <v>住宅55.5年、商业25.5年</v>
      </c>
      <c r="D12" s="255">
        <v>100</v>
      </c>
      <c r="E12" s="529" t="s">
        <v>3035</v>
      </c>
      <c r="F12" s="255">
        <f>ROUND(100/'数据-取费表'!G16,0)</f>
        <v>106</v>
      </c>
      <c r="G12" s="529" t="s">
        <v>3035</v>
      </c>
      <c r="H12" s="255">
        <f>ROUND(100/'数据-取费表'!G16,0)</f>
        <v>106</v>
      </c>
      <c r="I12" s="529" t="s">
        <v>3035</v>
      </c>
      <c r="J12" s="255">
        <f>ROUND(100/'数据-取费表'!G16,0)</f>
        <v>106</v>
      </c>
      <c r="K12" s="531"/>
      <c r="L12" s="2138"/>
      <c r="M12" s="2132"/>
      <c r="N12" s="2132"/>
      <c r="O12" s="2139"/>
      <c r="P12" s="3395"/>
      <c r="Q12" s="1151" t="str">
        <f t="shared" si="6"/>
        <v>土地使用年限（年）</v>
      </c>
      <c r="R12" s="1569" t="s">
        <v>8</v>
      </c>
      <c r="S12" s="1570">
        <f t="shared" si="0"/>
        <v>106</v>
      </c>
      <c r="T12" s="1569" t="s">
        <v>8</v>
      </c>
      <c r="U12" s="1570">
        <f t="shared" si="1"/>
        <v>106</v>
      </c>
      <c r="V12" s="1569" t="s">
        <v>8</v>
      </c>
      <c r="W12" s="1570">
        <f t="shared" si="2"/>
        <v>106</v>
      </c>
      <c r="X12" s="1571"/>
      <c r="Y12" s="3341"/>
      <c r="Z12" s="1150" t="str">
        <f t="shared" si="7"/>
        <v>土地使用年限（年）</v>
      </c>
      <c r="AA12" s="1572">
        <f t="shared" si="3"/>
        <v>0.94339622641509435</v>
      </c>
      <c r="AB12" s="1572">
        <f t="shared" si="4"/>
        <v>0.94339622641509435</v>
      </c>
      <c r="AC12" s="1572">
        <f t="shared" si="5"/>
        <v>0.94339622641509435</v>
      </c>
    </row>
    <row r="13" spans="1:30" ht="21" thickBot="1">
      <c r="A13" s="2940"/>
      <c r="B13" s="2944" t="s">
        <v>2758</v>
      </c>
      <c r="C13" s="534">
        <f>'数据-汇总表'!I4</f>
        <v>4.0599999999999996</v>
      </c>
      <c r="D13" s="255">
        <v>100</v>
      </c>
      <c r="E13" s="533">
        <v>2.5</v>
      </c>
      <c r="F13" s="255">
        <f>LOOKUP(E13,82:82,83:83)-LOOKUP(C13,82:82,83:83)+100</f>
        <v>105</v>
      </c>
      <c r="G13" s="534">
        <v>3.5</v>
      </c>
      <c r="H13" s="255">
        <f>LOOKUP(G13,82:82,83:83)-LOOKUP(C13,82:82,83:83)+100</f>
        <v>105</v>
      </c>
      <c r="I13" s="533">
        <v>3</v>
      </c>
      <c r="J13" s="255">
        <f>LOOKUP(I13,82:82,83:83)-LOOKUP(C13,82:82,83:83)+100</f>
        <v>105</v>
      </c>
      <c r="K13" s="535">
        <v>5</v>
      </c>
      <c r="L13" s="2140"/>
      <c r="M13" s="2132"/>
      <c r="N13" s="2132"/>
      <c r="O13" s="2141"/>
      <c r="P13" s="3395"/>
      <c r="Q13" s="1151" t="str">
        <f t="shared" si="6"/>
        <v>容积率</v>
      </c>
      <c r="R13" s="1569" t="s">
        <v>8</v>
      </c>
      <c r="S13" s="1570">
        <f t="shared" si="0"/>
        <v>105</v>
      </c>
      <c r="T13" s="1569" t="s">
        <v>8</v>
      </c>
      <c r="U13" s="1570">
        <f t="shared" si="1"/>
        <v>105</v>
      </c>
      <c r="V13" s="1569" t="s">
        <v>8</v>
      </c>
      <c r="W13" s="1570">
        <f t="shared" si="2"/>
        <v>105</v>
      </c>
      <c r="X13" s="1571"/>
      <c r="Y13" s="3341"/>
      <c r="Z13" s="1150" t="str">
        <f t="shared" si="7"/>
        <v>容积率</v>
      </c>
      <c r="AA13" s="1572">
        <f t="shared" si="3"/>
        <v>0.95238095238095233</v>
      </c>
      <c r="AB13" s="1572">
        <f t="shared" si="4"/>
        <v>0.95238095238095233</v>
      </c>
      <c r="AC13" s="1572">
        <f t="shared" si="5"/>
        <v>0.95238095238095233</v>
      </c>
    </row>
    <row r="14" spans="1:30" s="1220" customFormat="1" ht="20.25" hidden="1">
      <c r="A14" s="2937"/>
      <c r="B14" s="2946" t="s">
        <v>2759</v>
      </c>
      <c r="C14" s="2933"/>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95"/>
      <c r="Q14" s="1151" t="str">
        <f t="shared" si="6"/>
        <v>配建</v>
      </c>
      <c r="R14" s="1569" t="s">
        <v>8</v>
      </c>
      <c r="S14" s="1570">
        <f t="shared" si="0"/>
        <v>100</v>
      </c>
      <c r="T14" s="1569" t="s">
        <v>8</v>
      </c>
      <c r="U14" s="1570">
        <f t="shared" si="1"/>
        <v>100</v>
      </c>
      <c r="V14" s="1569" t="s">
        <v>8</v>
      </c>
      <c r="W14" s="1570">
        <f t="shared" si="2"/>
        <v>100</v>
      </c>
      <c r="X14" s="1571"/>
      <c r="Y14" s="3341"/>
      <c r="Z14" s="1150" t="str">
        <f t="shared" si="7"/>
        <v>配建</v>
      </c>
      <c r="AA14" s="1572">
        <f>D14/F14</f>
        <v>1</v>
      </c>
      <c r="AB14" s="1572">
        <f>D14/H14</f>
        <v>1</v>
      </c>
      <c r="AC14" s="1572">
        <f>D14/J14</f>
        <v>1</v>
      </c>
    </row>
    <row r="15" spans="1:30" ht="20.25" hidden="1">
      <c r="A15" s="2941"/>
      <c r="B15" s="2947">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95"/>
      <c r="Q15" s="1151">
        <f t="shared" si="6"/>
        <v>111</v>
      </c>
      <c r="R15" s="1569" t="s">
        <v>8</v>
      </c>
      <c r="S15" s="1570">
        <f t="shared" si="0"/>
        <v>100</v>
      </c>
      <c r="T15" s="1569" t="s">
        <v>8</v>
      </c>
      <c r="U15" s="1570">
        <f t="shared" si="1"/>
        <v>100</v>
      </c>
      <c r="V15" s="1569" t="s">
        <v>8</v>
      </c>
      <c r="W15" s="1570">
        <f t="shared" si="2"/>
        <v>100</v>
      </c>
      <c r="X15" s="1571"/>
      <c r="Y15" s="3341"/>
      <c r="Z15" s="1150">
        <f t="shared" si="7"/>
        <v>111</v>
      </c>
      <c r="AA15" s="1572">
        <f>D15/F15</f>
        <v>1</v>
      </c>
      <c r="AB15" s="1572">
        <f>D15/H15</f>
        <v>1</v>
      </c>
      <c r="AC15" s="1572">
        <f>D15/J15</f>
        <v>1</v>
      </c>
    </row>
    <row r="16" spans="1:30" ht="21" hidden="1" thickBot="1">
      <c r="A16" s="2942"/>
      <c r="B16" s="2948">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95"/>
      <c r="Q16" s="1151">
        <f t="shared" si="6"/>
        <v>111</v>
      </c>
      <c r="R16" s="1569" t="s">
        <v>8</v>
      </c>
      <c r="S16" s="1570">
        <f t="shared" si="0"/>
        <v>100</v>
      </c>
      <c r="T16" s="1569" t="s">
        <v>8</v>
      </c>
      <c r="U16" s="1570">
        <f t="shared" si="1"/>
        <v>100</v>
      </c>
      <c r="V16" s="1569" t="s">
        <v>8</v>
      </c>
      <c r="W16" s="1570">
        <f t="shared" si="2"/>
        <v>100</v>
      </c>
      <c r="X16" s="1571"/>
      <c r="Y16" s="3341"/>
      <c r="Z16" s="1150">
        <f t="shared" si="7"/>
        <v>111</v>
      </c>
      <c r="AA16" s="1572">
        <f>D16/F16</f>
        <v>1</v>
      </c>
      <c r="AB16" s="1572">
        <f>D16/H16</f>
        <v>1</v>
      </c>
      <c r="AC16" s="1572">
        <f>D16/J16</f>
        <v>1</v>
      </c>
    </row>
    <row r="17" spans="1:29" ht="99.75">
      <c r="A17" s="2934"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97</v>
      </c>
      <c r="G17" s="550"/>
      <c r="H17" s="549">
        <f>SUMIF(90:90,G18,91:91)-SUMIF(90:90,C18,91:91)+100</f>
        <v>97</v>
      </c>
      <c r="I17" s="552"/>
      <c r="J17" s="549">
        <f>SUMIF(90:90,I18,91:91)-SUMIF(90:90,C18,91:91)+100</f>
        <v>100</v>
      </c>
      <c r="K17" s="535">
        <v>3</v>
      </c>
      <c r="L17" s="2142"/>
      <c r="M17" s="2132"/>
      <c r="N17" s="2132"/>
      <c r="O17" s="2141"/>
      <c r="P17" s="3431" t="s">
        <v>540</v>
      </c>
      <c r="Q17" s="1573" t="str">
        <f t="shared" si="6"/>
        <v>居住社区成熟度</v>
      </c>
      <c r="R17" s="1574" t="s">
        <v>8</v>
      </c>
      <c r="S17" s="1575">
        <f t="shared" si="0"/>
        <v>97</v>
      </c>
      <c r="T17" s="1574" t="s">
        <v>8</v>
      </c>
      <c r="U17" s="1575">
        <f t="shared" si="1"/>
        <v>97</v>
      </c>
      <c r="V17" s="1574" t="s">
        <v>8</v>
      </c>
      <c r="W17" s="1575">
        <f t="shared" si="2"/>
        <v>100</v>
      </c>
      <c r="X17" s="1568"/>
      <c r="Y17" s="3431" t="s">
        <v>540</v>
      </c>
      <c r="Z17" s="1576" t="str">
        <f t="shared" si="7"/>
        <v>居住社区成熟度</v>
      </c>
      <c r="AA17" s="1577">
        <f t="shared" si="3"/>
        <v>1.0309278350515463</v>
      </c>
      <c r="AB17" s="1577">
        <f t="shared" si="4"/>
        <v>1.0309278350515463</v>
      </c>
      <c r="AC17" s="1577">
        <f t="shared" si="5"/>
        <v>1</v>
      </c>
    </row>
    <row r="18" spans="1:29" ht="20.25">
      <c r="A18" s="532"/>
      <c r="B18" s="553"/>
      <c r="C18" s="554" t="s">
        <v>3010</v>
      </c>
      <c r="D18" s="557"/>
      <c r="E18" s="558" t="s">
        <v>3011</v>
      </c>
      <c r="F18" s="555"/>
      <c r="G18" s="556" t="s">
        <v>3011</v>
      </c>
      <c r="H18" s="559"/>
      <c r="I18" s="558" t="s">
        <v>3010</v>
      </c>
      <c r="J18" s="555"/>
      <c r="K18" s="531"/>
      <c r="L18" s="2142"/>
      <c r="M18" s="2132"/>
      <c r="N18" s="2132"/>
      <c r="O18" s="2141"/>
      <c r="P18" s="3432"/>
      <c r="Q18" s="1573"/>
      <c r="R18" s="1574"/>
      <c r="S18" s="1575"/>
      <c r="T18" s="1574"/>
      <c r="U18" s="1575"/>
      <c r="V18" s="1574"/>
      <c r="W18" s="1575"/>
      <c r="X18" s="1568"/>
      <c r="Y18" s="3432"/>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97</v>
      </c>
      <c r="G19" s="562"/>
      <c r="H19" s="565">
        <f>SUMIF(92:92,G20,93:93)-SUMIF(92:92,C20,93:93)+100</f>
        <v>97</v>
      </c>
      <c r="I19" s="564"/>
      <c r="J19" s="565">
        <f>SUMIF(92:92,I20,93:93)-SUMIF(92:92,C20,93:93)+100</f>
        <v>100</v>
      </c>
      <c r="K19" s="535">
        <v>3</v>
      </c>
      <c r="L19" s="2142"/>
      <c r="M19" s="2132"/>
      <c r="N19" s="2132"/>
      <c r="O19" s="2141"/>
      <c r="P19" s="3432"/>
      <c r="Q19" s="1573" t="str">
        <f>B19</f>
        <v>商业繁华度</v>
      </c>
      <c r="R19" s="1574" t="s">
        <v>8</v>
      </c>
      <c r="S19" s="1575">
        <f>F19</f>
        <v>97</v>
      </c>
      <c r="T19" s="1574" t="s">
        <v>8</v>
      </c>
      <c r="U19" s="1575">
        <f>H19</f>
        <v>97</v>
      </c>
      <c r="V19" s="1574" t="s">
        <v>8</v>
      </c>
      <c r="W19" s="1575">
        <f>J19</f>
        <v>100</v>
      </c>
      <c r="X19" s="1568"/>
      <c r="Y19" s="3432"/>
      <c r="Z19" s="1576" t="str">
        <f>Q19</f>
        <v>商业繁华度</v>
      </c>
      <c r="AA19" s="1577">
        <f t="shared" si="3"/>
        <v>1.0309278350515463</v>
      </c>
      <c r="AB19" s="1577">
        <f t="shared" si="4"/>
        <v>1.0309278350515463</v>
      </c>
      <c r="AC19" s="1577">
        <f t="shared" si="5"/>
        <v>1</v>
      </c>
    </row>
    <row r="20" spans="1:29" ht="20.25">
      <c r="A20" s="532"/>
      <c r="B20" s="566"/>
      <c r="C20" s="567" t="s">
        <v>3011</v>
      </c>
      <c r="D20" s="563"/>
      <c r="E20" s="569" t="s">
        <v>3028</v>
      </c>
      <c r="F20" s="559"/>
      <c r="G20" s="568" t="s">
        <v>3028</v>
      </c>
      <c r="H20" s="555"/>
      <c r="I20" s="569" t="s">
        <v>3011</v>
      </c>
      <c r="J20" s="555"/>
      <c r="K20" s="531"/>
      <c r="L20" s="2142"/>
      <c r="M20" s="2132"/>
      <c r="N20" s="2132"/>
      <c r="O20" s="2141"/>
      <c r="P20" s="3432"/>
      <c r="Q20" s="1573"/>
      <c r="R20" s="1574"/>
      <c r="S20" s="1575"/>
      <c r="T20" s="1574"/>
      <c r="U20" s="1575"/>
      <c r="V20" s="1574"/>
      <c r="W20" s="1575"/>
      <c r="X20" s="1568"/>
      <c r="Y20" s="3432"/>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32"/>
      <c r="Q21" s="1573" t="str">
        <f>B21</f>
        <v>办公集聚程度</v>
      </c>
      <c r="R21" s="1574" t="s">
        <v>8</v>
      </c>
      <c r="S21" s="1575">
        <f>F21</f>
        <v>100</v>
      </c>
      <c r="T21" s="1574" t="s">
        <v>8</v>
      </c>
      <c r="U21" s="1575">
        <f>H21</f>
        <v>100</v>
      </c>
      <c r="V21" s="1574" t="s">
        <v>8</v>
      </c>
      <c r="W21" s="1575">
        <f>J21</f>
        <v>100</v>
      </c>
      <c r="X21" s="1568"/>
      <c r="Y21" s="3432"/>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2"/>
      <c r="M22" s="2132"/>
      <c r="N22" s="2132"/>
      <c r="O22" s="2141"/>
      <c r="P22" s="3432"/>
      <c r="Q22" s="1573"/>
      <c r="R22" s="1574"/>
      <c r="S22" s="1575"/>
      <c r="T22" s="1574"/>
      <c r="U22" s="1575"/>
      <c r="V22" s="1574"/>
      <c r="W22" s="1575"/>
      <c r="X22" s="1568"/>
      <c r="Y22" s="3432"/>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2"/>
      <c r="M23" s="2132"/>
      <c r="N23" s="2132"/>
      <c r="O23" s="2141"/>
      <c r="P23" s="3432"/>
      <c r="Q23" s="1573" t="str">
        <f>B23</f>
        <v>交通便捷度</v>
      </c>
      <c r="R23" s="1574" t="s">
        <v>8</v>
      </c>
      <c r="S23" s="1575">
        <f>F23</f>
        <v>100</v>
      </c>
      <c r="T23" s="1574" t="s">
        <v>8</v>
      </c>
      <c r="U23" s="1575">
        <f>H23</f>
        <v>100</v>
      </c>
      <c r="V23" s="1574" t="s">
        <v>8</v>
      </c>
      <c r="W23" s="1575">
        <f>J23</f>
        <v>100</v>
      </c>
      <c r="X23" s="1568"/>
      <c r="Y23" s="3432"/>
      <c r="Z23" s="1576" t="str">
        <f>Q23</f>
        <v>交通便捷度</v>
      </c>
      <c r="AA23" s="1577">
        <f t="shared" si="3"/>
        <v>1</v>
      </c>
      <c r="AB23" s="1577">
        <f t="shared" si="4"/>
        <v>1</v>
      </c>
      <c r="AC23" s="1577">
        <f t="shared" si="5"/>
        <v>1</v>
      </c>
    </row>
    <row r="24" spans="1:29" ht="20.25">
      <c r="A24" s="532"/>
      <c r="B24" s="578"/>
      <c r="C24" s="554" t="s">
        <v>3011</v>
      </c>
      <c r="D24" s="557"/>
      <c r="E24" s="558" t="s">
        <v>3011</v>
      </c>
      <c r="F24" s="555"/>
      <c r="G24" s="556" t="s">
        <v>3011</v>
      </c>
      <c r="H24" s="555"/>
      <c r="I24" s="558" t="s">
        <v>3011</v>
      </c>
      <c r="J24" s="555"/>
      <c r="K24" s="531"/>
      <c r="L24" s="2142"/>
      <c r="M24" s="2132"/>
      <c r="N24" s="2132"/>
      <c r="O24" s="2141"/>
      <c r="P24" s="3432"/>
      <c r="Q24" s="1573"/>
      <c r="R24" s="1574"/>
      <c r="S24" s="1575"/>
      <c r="T24" s="1574"/>
      <c r="U24" s="1575"/>
      <c r="V24" s="1574"/>
      <c r="W24" s="1575"/>
      <c r="X24" s="1568"/>
      <c r="Y24" s="3432"/>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2"/>
      <c r="M25" s="2132"/>
      <c r="N25" s="2132"/>
      <c r="O25" s="2141"/>
      <c r="P25" s="3432"/>
      <c r="Q25" s="1573" t="str">
        <f t="shared" ref="Q25:Q39" si="8">B25</f>
        <v>区域土地利用方向</v>
      </c>
      <c r="R25" s="1574" t="s">
        <v>8</v>
      </c>
      <c r="S25" s="1575">
        <f>F25</f>
        <v>100</v>
      </c>
      <c r="T25" s="1574" t="s">
        <v>8</v>
      </c>
      <c r="U25" s="1575">
        <f>H25</f>
        <v>100</v>
      </c>
      <c r="V25" s="1574" t="s">
        <v>8</v>
      </c>
      <c r="W25" s="1575">
        <f>J25</f>
        <v>100</v>
      </c>
      <c r="X25" s="1568"/>
      <c r="Y25" s="3432"/>
      <c r="Z25" s="1576" t="str">
        <f>Q25</f>
        <v>区域土地利用方向</v>
      </c>
      <c r="AA25" s="1577">
        <f t="shared" si="3"/>
        <v>1</v>
      </c>
      <c r="AB25" s="1577">
        <f t="shared" si="4"/>
        <v>1</v>
      </c>
      <c r="AC25" s="1577">
        <f t="shared" si="5"/>
        <v>1</v>
      </c>
    </row>
    <row r="26" spans="1:29" ht="20.25">
      <c r="A26" s="515"/>
      <c r="B26" s="1007"/>
      <c r="C26" s="554" t="s">
        <v>3010</v>
      </c>
      <c r="D26" s="557"/>
      <c r="E26" s="558" t="s">
        <v>3010</v>
      </c>
      <c r="F26" s="555"/>
      <c r="G26" s="556" t="s">
        <v>3010</v>
      </c>
      <c r="H26" s="555"/>
      <c r="I26" s="558" t="s">
        <v>3010</v>
      </c>
      <c r="J26" s="555"/>
      <c r="K26" s="531"/>
      <c r="L26" s="2142"/>
      <c r="M26" s="2132"/>
      <c r="N26" s="2132"/>
      <c r="O26" s="2141"/>
      <c r="P26" s="3432"/>
      <c r="Q26" s="1573"/>
      <c r="R26" s="1574"/>
      <c r="S26" s="1575"/>
      <c r="T26" s="1574"/>
      <c r="U26" s="1575"/>
      <c r="V26" s="1574"/>
      <c r="W26" s="1575"/>
      <c r="X26" s="1568"/>
      <c r="Y26" s="3432"/>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2"/>
      <c r="M27" s="2132"/>
      <c r="N27" s="2132"/>
      <c r="O27" s="2141"/>
      <c r="P27" s="3432"/>
      <c r="Q27" s="1573" t="str">
        <f t="shared" si="8"/>
        <v>自然及人文环境状况</v>
      </c>
      <c r="R27" s="1574" t="s">
        <v>8</v>
      </c>
      <c r="S27" s="1575">
        <f>F27</f>
        <v>100</v>
      </c>
      <c r="T27" s="1574" t="s">
        <v>8</v>
      </c>
      <c r="U27" s="1575">
        <f>H27</f>
        <v>100</v>
      </c>
      <c r="V27" s="1574" t="s">
        <v>8</v>
      </c>
      <c r="W27" s="1575">
        <f>J27</f>
        <v>100</v>
      </c>
      <c r="X27" s="1568"/>
      <c r="Y27" s="3432"/>
      <c r="Z27" s="1576" t="str">
        <f>Q27</f>
        <v>自然及人文环境状况</v>
      </c>
      <c r="AA27" s="1577">
        <f t="shared" si="3"/>
        <v>1</v>
      </c>
      <c r="AB27" s="1577">
        <f t="shared" si="4"/>
        <v>1</v>
      </c>
      <c r="AC27" s="1577">
        <f t="shared" si="5"/>
        <v>1</v>
      </c>
    </row>
    <row r="28" spans="1:29" ht="20.25">
      <c r="A28" s="515"/>
      <c r="B28" s="566"/>
      <c r="C28" s="554" t="s">
        <v>3012</v>
      </c>
      <c r="D28" s="557"/>
      <c r="E28" s="576" t="s">
        <v>3012</v>
      </c>
      <c r="F28" s="555"/>
      <c r="G28" s="554" t="s">
        <v>3012</v>
      </c>
      <c r="H28" s="555"/>
      <c r="I28" s="576" t="s">
        <v>3012</v>
      </c>
      <c r="J28" s="555"/>
      <c r="K28" s="531"/>
      <c r="L28" s="2142"/>
      <c r="M28" s="2132"/>
      <c r="N28" s="2132"/>
      <c r="O28" s="2141"/>
      <c r="P28" s="3432"/>
      <c r="Q28" s="1573"/>
      <c r="R28" s="1574"/>
      <c r="S28" s="1575"/>
      <c r="T28" s="1574"/>
      <c r="U28" s="1575"/>
      <c r="V28" s="1574"/>
      <c r="W28" s="1575"/>
      <c r="X28" s="1568"/>
      <c r="Y28" s="3432"/>
      <c r="Z28" s="1576"/>
      <c r="AA28" s="1577">
        <v>1</v>
      </c>
      <c r="AB28" s="1577">
        <v>1</v>
      </c>
      <c r="AC28" s="1577">
        <v>1</v>
      </c>
    </row>
    <row r="29" spans="1:29" s="1220" customFormat="1" ht="42.75">
      <c r="A29" s="577"/>
      <c r="B29" s="2615" t="s">
        <v>2548</v>
      </c>
      <c r="C29" s="573" t="str">
        <f>估价对象房地状况!C21</f>
        <v>估价对象所在区域公共配套设施齐备情况</v>
      </c>
      <c r="D29" s="563">
        <v>100</v>
      </c>
      <c r="E29" s="564"/>
      <c r="F29" s="559">
        <f>SUMIF(102:102,E30,103:103)-SUMIF(102:102,C30,103:103)+100</f>
        <v>98</v>
      </c>
      <c r="G29" s="562"/>
      <c r="H29" s="559">
        <f>SUMIF(102:102,G30,103:103)-SUMIF(102:102,C30,103:103)+100</f>
        <v>98</v>
      </c>
      <c r="I29" s="564"/>
      <c r="J29" s="559">
        <f>SUMIF(102:102,I30,103:103)-SUMIF(102:102,C30,103:103)+100</f>
        <v>100</v>
      </c>
      <c r="K29" s="535">
        <v>2</v>
      </c>
      <c r="L29" s="2135"/>
      <c r="M29" s="2132"/>
      <c r="N29" s="2132"/>
      <c r="O29" s="2137"/>
      <c r="P29" s="3432"/>
      <c r="Q29" s="1151" t="str">
        <f t="shared" si="8"/>
        <v>公共配套设施</v>
      </c>
      <c r="R29" s="1569" t="s">
        <v>8</v>
      </c>
      <c r="S29" s="1570">
        <f>F29</f>
        <v>98</v>
      </c>
      <c r="T29" s="1569" t="s">
        <v>8</v>
      </c>
      <c r="U29" s="1570">
        <f>H29</f>
        <v>98</v>
      </c>
      <c r="V29" s="1569" t="s">
        <v>8</v>
      </c>
      <c r="W29" s="1570">
        <f>J29</f>
        <v>100</v>
      </c>
      <c r="X29" s="1571"/>
      <c r="Y29" s="3432"/>
      <c r="Z29" s="1150" t="str">
        <f>Q29</f>
        <v>公共配套设施</v>
      </c>
      <c r="AA29" s="1577">
        <f>D29/F29</f>
        <v>1.0204081632653061</v>
      </c>
      <c r="AB29" s="1577">
        <f>D29/H29</f>
        <v>1.0204081632653061</v>
      </c>
      <c r="AC29" s="1577">
        <f>D29/J29</f>
        <v>1</v>
      </c>
    </row>
    <row r="30" spans="1:29" s="1220" customFormat="1" ht="20.25">
      <c r="A30" s="577"/>
      <c r="B30" s="566"/>
      <c r="C30" s="579" t="s">
        <v>3011</v>
      </c>
      <c r="D30" s="557"/>
      <c r="E30" s="576" t="s">
        <v>3028</v>
      </c>
      <c r="F30" s="555"/>
      <c r="G30" s="554" t="s">
        <v>3028</v>
      </c>
      <c r="H30" s="555"/>
      <c r="I30" s="576" t="s">
        <v>3011</v>
      </c>
      <c r="J30" s="555"/>
      <c r="K30" s="531"/>
      <c r="L30" s="2135"/>
      <c r="M30" s="2132"/>
      <c r="N30" s="2132"/>
      <c r="O30" s="2137"/>
      <c r="P30" s="3432"/>
      <c r="Q30" s="1151"/>
      <c r="R30" s="1569"/>
      <c r="S30" s="1570"/>
      <c r="T30" s="1569"/>
      <c r="U30" s="1570"/>
      <c r="V30" s="1569"/>
      <c r="W30" s="1570"/>
      <c r="X30" s="1571"/>
      <c r="Y30" s="3432"/>
      <c r="Z30" s="1150"/>
      <c r="AA30" s="1577">
        <v>1</v>
      </c>
      <c r="AB30" s="1577">
        <v>1</v>
      </c>
      <c r="AC30" s="1577">
        <v>1</v>
      </c>
    </row>
    <row r="31" spans="1:29" s="1220" customFormat="1" ht="28.5">
      <c r="A31" s="577"/>
      <c r="B31" s="2615"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5"/>
      <c r="M31" s="2132"/>
      <c r="N31" s="2132"/>
      <c r="O31" s="2137"/>
      <c r="P31" s="3432"/>
      <c r="Q31" s="2602" t="str">
        <f>B31</f>
        <v>基础设施水平</v>
      </c>
      <c r="R31" s="1569" t="s">
        <v>8</v>
      </c>
      <c r="S31" s="1570">
        <f>F31</f>
        <v>100</v>
      </c>
      <c r="T31" s="1569" t="s">
        <v>8</v>
      </c>
      <c r="U31" s="1570">
        <f>H31</f>
        <v>100</v>
      </c>
      <c r="V31" s="1569" t="s">
        <v>8</v>
      </c>
      <c r="W31" s="1570">
        <f>J31</f>
        <v>100</v>
      </c>
      <c r="X31" s="1571"/>
      <c r="Y31" s="3432"/>
      <c r="Z31" s="2599" t="str">
        <f>Q31</f>
        <v>基础设施水平</v>
      </c>
      <c r="AA31" s="1577">
        <f>D31/F31</f>
        <v>1</v>
      </c>
      <c r="AB31" s="1577">
        <f>D31/H31</f>
        <v>1</v>
      </c>
      <c r="AC31" s="1577">
        <f>D31/J31</f>
        <v>1</v>
      </c>
    </row>
    <row r="32" spans="1:29" s="1220" customFormat="1" ht="20.25">
      <c r="A32" s="577"/>
      <c r="B32" s="566"/>
      <c r="C32" s="579" t="s">
        <v>3013</v>
      </c>
      <c r="D32" s="557"/>
      <c r="E32" s="2616" t="s">
        <v>3013</v>
      </c>
      <c r="F32" s="555"/>
      <c r="G32" s="579" t="s">
        <v>3013</v>
      </c>
      <c r="H32" s="555"/>
      <c r="I32" s="579" t="s">
        <v>3013</v>
      </c>
      <c r="J32" s="555"/>
      <c r="K32" s="531"/>
      <c r="L32" s="2135"/>
      <c r="M32" s="2132"/>
      <c r="N32" s="2132"/>
      <c r="O32" s="2137"/>
      <c r="P32" s="3432"/>
      <c r="Q32" s="2602"/>
      <c r="R32" s="1569"/>
      <c r="S32" s="1570"/>
      <c r="T32" s="1569"/>
      <c r="U32" s="1570"/>
      <c r="V32" s="1569"/>
      <c r="W32" s="1570"/>
      <c r="X32" s="1571"/>
      <c r="Y32" s="3432"/>
      <c r="Z32" s="2599"/>
      <c r="AA32" s="1577">
        <v>1</v>
      </c>
      <c r="AB32" s="1577">
        <v>1</v>
      </c>
      <c r="AC32" s="1577">
        <v>1</v>
      </c>
    </row>
    <row r="33" spans="1:29" ht="21" thickBot="1">
      <c r="A33" s="532"/>
      <c r="B33" s="566" t="s">
        <v>547</v>
      </c>
      <c r="C33" s="580" t="s">
        <v>3014</v>
      </c>
      <c r="D33" s="575">
        <v>100</v>
      </c>
      <c r="E33" s="583" t="s">
        <v>3051</v>
      </c>
      <c r="F33" s="540">
        <f>SUMIF(106:106,E33,107:107)-SUMIF(106:106,C33,107:107)+100</f>
        <v>98</v>
      </c>
      <c r="G33" s="580" t="s">
        <v>3051</v>
      </c>
      <c r="H33" s="540">
        <f>SUMIF(106:106,G33,107:107)-SUMIF(106:106,C33,107:107)+100</f>
        <v>98</v>
      </c>
      <c r="I33" s="580" t="s">
        <v>3051</v>
      </c>
      <c r="J33" s="540">
        <f>SUMIF(106:106,I33,107:107)-SUMIF(106:106,C33,107:107)+100</f>
        <v>98</v>
      </c>
      <c r="K33" s="535">
        <v>2</v>
      </c>
      <c r="L33" s="2142"/>
      <c r="M33" s="2132"/>
      <c r="N33" s="2132"/>
      <c r="O33" s="2141"/>
      <c r="P33" s="3432"/>
      <c r="Q33" s="1573" t="str">
        <f t="shared" si="8"/>
        <v>临街状况</v>
      </c>
      <c r="R33" s="1574" t="s">
        <v>8</v>
      </c>
      <c r="S33" s="1575">
        <f t="shared" ref="S33:S47" si="9">F33</f>
        <v>98</v>
      </c>
      <c r="T33" s="1574" t="s">
        <v>8</v>
      </c>
      <c r="U33" s="1575">
        <f t="shared" ref="U33:U47" si="10">H33</f>
        <v>98</v>
      </c>
      <c r="V33" s="1574" t="s">
        <v>8</v>
      </c>
      <c r="W33" s="1575">
        <f t="shared" ref="W33:W47" si="11">J33</f>
        <v>98</v>
      </c>
      <c r="X33" s="1568"/>
      <c r="Y33" s="3432"/>
      <c r="Z33" s="1576" t="str">
        <f t="shared" ref="Z33:Z47" si="12">Q33</f>
        <v>临街状况</v>
      </c>
      <c r="AA33" s="1577">
        <f t="shared" si="3"/>
        <v>1.0204081632653061</v>
      </c>
      <c r="AB33" s="1577">
        <f t="shared" si="4"/>
        <v>1.0204081632653061</v>
      </c>
      <c r="AC33" s="1577">
        <f t="shared" si="5"/>
        <v>1.0204081632653061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432"/>
      <c r="Q34" s="1573" t="str">
        <f t="shared" si="8"/>
        <v>毗邻道路的类型与等级</v>
      </c>
      <c r="R34" s="1574" t="s">
        <v>8</v>
      </c>
      <c r="S34" s="1575">
        <f t="shared" si="9"/>
        <v>100</v>
      </c>
      <c r="T34" s="1574" t="s">
        <v>8</v>
      </c>
      <c r="U34" s="1575">
        <f t="shared" si="10"/>
        <v>100</v>
      </c>
      <c r="V34" s="1574" t="s">
        <v>8</v>
      </c>
      <c r="W34" s="1575">
        <f t="shared" si="11"/>
        <v>100</v>
      </c>
      <c r="X34" s="1568"/>
      <c r="Y34" s="3432"/>
      <c r="Z34" s="1576" t="str">
        <f t="shared" si="12"/>
        <v>毗邻道路的类型与等级</v>
      </c>
      <c r="AA34" s="1577">
        <f t="shared" si="3"/>
        <v>1</v>
      </c>
      <c r="AB34" s="1577">
        <f t="shared" si="4"/>
        <v>1</v>
      </c>
      <c r="AC34" s="1577">
        <f t="shared" si="5"/>
        <v>1</v>
      </c>
    </row>
    <row r="35" spans="1:29" ht="21" hidden="1" thickBot="1">
      <c r="A35" s="532"/>
      <c r="B35" s="566"/>
      <c r="C35" s="554"/>
      <c r="D35" s="557"/>
      <c r="E35" s="576"/>
      <c r="F35" s="555"/>
      <c r="G35" s="554"/>
      <c r="H35" s="555"/>
      <c r="I35" s="576"/>
      <c r="J35" s="555"/>
      <c r="K35" s="581"/>
      <c r="L35" s="2142"/>
      <c r="M35" s="2132"/>
      <c r="N35" s="2132"/>
      <c r="O35" s="2141"/>
      <c r="P35" s="3432"/>
      <c r="Q35" s="1573"/>
      <c r="R35" s="1574"/>
      <c r="S35" s="1575"/>
      <c r="T35" s="1574"/>
      <c r="U35" s="1575"/>
      <c r="V35" s="1574"/>
      <c r="W35" s="1575"/>
      <c r="X35" s="1568"/>
      <c r="Y35" s="3432"/>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32"/>
      <c r="Q36" s="1573" t="str">
        <f t="shared" si="8"/>
        <v>土地级别</v>
      </c>
      <c r="R36" s="1574" t="s">
        <v>8</v>
      </c>
      <c r="S36" s="1575">
        <f t="shared" si="9"/>
        <v>100</v>
      </c>
      <c r="T36" s="1574" t="s">
        <v>8</v>
      </c>
      <c r="U36" s="1575">
        <f t="shared" si="10"/>
        <v>100</v>
      </c>
      <c r="V36" s="1574" t="s">
        <v>8</v>
      </c>
      <c r="W36" s="1575">
        <f t="shared" si="11"/>
        <v>100</v>
      </c>
      <c r="X36" s="1568"/>
      <c r="Y36" s="3432"/>
      <c r="Z36" s="1576" t="str">
        <f t="shared" si="12"/>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32"/>
      <c r="Q37" s="1573">
        <f t="shared" si="8"/>
        <v>111</v>
      </c>
      <c r="R37" s="1574" t="s">
        <v>8</v>
      </c>
      <c r="S37" s="1575">
        <f t="shared" si="9"/>
        <v>100</v>
      </c>
      <c r="T37" s="1574" t="s">
        <v>8</v>
      </c>
      <c r="U37" s="1575">
        <f t="shared" si="10"/>
        <v>100</v>
      </c>
      <c r="V37" s="1574" t="s">
        <v>8</v>
      </c>
      <c r="W37" s="1575">
        <f t="shared" si="11"/>
        <v>100</v>
      </c>
      <c r="X37" s="1568"/>
      <c r="Y37" s="3432"/>
      <c r="Z37" s="1576">
        <f t="shared" si="12"/>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33" t="s">
        <v>550</v>
      </c>
      <c r="Q38" s="1573">
        <f t="shared" si="8"/>
        <v>111</v>
      </c>
      <c r="R38" s="1574" t="s">
        <v>8</v>
      </c>
      <c r="S38" s="1575">
        <f t="shared" si="9"/>
        <v>100</v>
      </c>
      <c r="T38" s="1574" t="s">
        <v>8</v>
      </c>
      <c r="U38" s="1575">
        <f t="shared" si="10"/>
        <v>100</v>
      </c>
      <c r="V38" s="1574" t="s">
        <v>8</v>
      </c>
      <c r="W38" s="1575">
        <f t="shared" si="11"/>
        <v>100</v>
      </c>
      <c r="X38" s="1568"/>
      <c r="Y38" s="3434" t="s">
        <v>550</v>
      </c>
      <c r="Z38" s="1576">
        <f t="shared" si="12"/>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34"/>
      <c r="Q39" s="1573">
        <f t="shared" si="8"/>
        <v>111</v>
      </c>
      <c r="R39" s="1578" t="s">
        <v>8</v>
      </c>
      <c r="S39" s="1579">
        <f t="shared" si="9"/>
        <v>100</v>
      </c>
      <c r="T39" s="1578" t="s">
        <v>8</v>
      </c>
      <c r="U39" s="1579">
        <f t="shared" si="10"/>
        <v>100</v>
      </c>
      <c r="V39" s="1578" t="s">
        <v>8</v>
      </c>
      <c r="W39" s="1579">
        <f t="shared" si="11"/>
        <v>100</v>
      </c>
      <c r="X39" s="1580"/>
      <c r="Y39" s="3434"/>
      <c r="Z39" s="1581">
        <f t="shared" si="12"/>
        <v>111</v>
      </c>
      <c r="AA39" s="1577">
        <f t="shared" si="3"/>
        <v>1</v>
      </c>
      <c r="AB39" s="1577">
        <f t="shared" si="4"/>
        <v>1</v>
      </c>
      <c r="AC39" s="1577">
        <f t="shared" si="5"/>
        <v>1</v>
      </c>
    </row>
    <row r="40" spans="1:29" ht="20.25">
      <c r="A40" s="2931" t="s">
        <v>2755</v>
      </c>
      <c r="B40" s="595" t="s">
        <v>552</v>
      </c>
      <c r="C40" s="596">
        <f>'数据-基础表'!A3</f>
        <v>15168.4</v>
      </c>
      <c r="D40" s="597">
        <v>100</v>
      </c>
      <c r="E40" s="3205">
        <v>97852.2</v>
      </c>
      <c r="F40" s="597">
        <f>LOOKUP(E40,119:119,120:120)-LOOKUP(C40,119:119,120:120)+100</f>
        <v>103</v>
      </c>
      <c r="G40" s="596">
        <v>54138.7</v>
      </c>
      <c r="H40" s="597">
        <f>LOOKUP(G40,119:119,120:120)-LOOKUP(C40,119:119,120:120)+100</f>
        <v>101</v>
      </c>
      <c r="I40" s="598">
        <v>42255.3</v>
      </c>
      <c r="J40" s="597">
        <f>LOOKUP(I40,119:119,120:120)-LOOKUP(C40,119:119,120:120)+100</f>
        <v>101</v>
      </c>
      <c r="K40" s="581"/>
      <c r="L40" s="2142"/>
      <c r="M40" s="2132"/>
      <c r="N40" s="2132"/>
      <c r="O40" s="2141"/>
      <c r="P40" s="3434"/>
      <c r="Q40" s="1573" t="str">
        <f>B40</f>
        <v>宗地面积</v>
      </c>
      <c r="R40" s="1574" t="s">
        <v>8</v>
      </c>
      <c r="S40" s="1575">
        <f t="shared" si="9"/>
        <v>103</v>
      </c>
      <c r="T40" s="1574" t="s">
        <v>8</v>
      </c>
      <c r="U40" s="1575">
        <f t="shared" si="10"/>
        <v>101</v>
      </c>
      <c r="V40" s="1574" t="s">
        <v>8</v>
      </c>
      <c r="W40" s="1575">
        <f t="shared" si="11"/>
        <v>101</v>
      </c>
      <c r="X40" s="1568"/>
      <c r="Y40" s="3434"/>
      <c r="Z40" s="1576" t="str">
        <f t="shared" si="12"/>
        <v>宗地面积</v>
      </c>
      <c r="AA40" s="1577">
        <f t="shared" si="3"/>
        <v>0.970873786407767</v>
      </c>
      <c r="AB40" s="1577">
        <f t="shared" si="4"/>
        <v>0.99009900990099009</v>
      </c>
      <c r="AC40" s="1577">
        <f t="shared" si="5"/>
        <v>0.99009900990099009</v>
      </c>
    </row>
    <row r="41" spans="1:29" ht="20.25">
      <c r="A41" s="594"/>
      <c r="B41" s="527" t="s">
        <v>553</v>
      </c>
      <c r="C41" s="599" t="s">
        <v>3147</v>
      </c>
      <c r="D41" s="540">
        <v>100</v>
      </c>
      <c r="E41" s="599" t="s">
        <v>3016</v>
      </c>
      <c r="F41" s="540">
        <f>SUMIF(121:121,E41,122:122)-SUMIF(121:121,C41,122:122)+100</f>
        <v>104</v>
      </c>
      <c r="G41" s="599" t="s">
        <v>3016</v>
      </c>
      <c r="H41" s="540">
        <f>SUMIF(121:121,G41,122:122)-SUMIF(121:121,C41,122:122)+100</f>
        <v>104</v>
      </c>
      <c r="I41" s="599" t="s">
        <v>3016</v>
      </c>
      <c r="J41" s="540">
        <f>SUMIF(121:121,I41,122:122)-SUMIF(121:121,C41,122:122)+100</f>
        <v>104</v>
      </c>
      <c r="K41" s="584">
        <v>2</v>
      </c>
      <c r="L41" s="2142"/>
      <c r="M41" s="2132"/>
      <c r="N41" s="2132"/>
      <c r="O41" s="2141"/>
      <c r="P41" s="3434"/>
      <c r="Q41" s="1573" t="str">
        <f t="shared" ref="Q41:Q47" si="13">B41</f>
        <v>宗地形状</v>
      </c>
      <c r="R41" s="1574" t="s">
        <v>8</v>
      </c>
      <c r="S41" s="1575">
        <f t="shared" si="9"/>
        <v>104</v>
      </c>
      <c r="T41" s="1574" t="s">
        <v>8</v>
      </c>
      <c r="U41" s="1575">
        <f t="shared" si="10"/>
        <v>104</v>
      </c>
      <c r="V41" s="1574" t="s">
        <v>8</v>
      </c>
      <c r="W41" s="1575">
        <f t="shared" si="11"/>
        <v>104</v>
      </c>
      <c r="X41" s="1568"/>
      <c r="Y41" s="3434"/>
      <c r="Z41" s="1576" t="str">
        <f t="shared" si="12"/>
        <v>宗地形状</v>
      </c>
      <c r="AA41" s="1577">
        <f t="shared" si="3"/>
        <v>0.96153846153846156</v>
      </c>
      <c r="AB41" s="1577">
        <f t="shared" si="4"/>
        <v>0.96153846153846156</v>
      </c>
      <c r="AC41" s="1577">
        <f t="shared" si="5"/>
        <v>0.96153846153846156</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34"/>
      <c r="Q42" s="1573" t="str">
        <f t="shared" si="13"/>
        <v>临街宽度及深度</v>
      </c>
      <c r="R42" s="1574" t="s">
        <v>8</v>
      </c>
      <c r="S42" s="1575">
        <f t="shared" si="9"/>
        <v>100</v>
      </c>
      <c r="T42" s="1574" t="s">
        <v>8</v>
      </c>
      <c r="U42" s="1575">
        <f t="shared" si="10"/>
        <v>100</v>
      </c>
      <c r="V42" s="1574" t="s">
        <v>8</v>
      </c>
      <c r="W42" s="1575">
        <f t="shared" si="11"/>
        <v>100</v>
      </c>
      <c r="X42" s="1568"/>
      <c r="Y42" s="3434"/>
      <c r="Z42" s="1576" t="str">
        <f t="shared" si="12"/>
        <v>临街宽度及深度</v>
      </c>
      <c r="AA42" s="1577">
        <f t="shared" si="3"/>
        <v>1</v>
      </c>
      <c r="AB42" s="1577">
        <f t="shared" si="4"/>
        <v>1</v>
      </c>
      <c r="AC42" s="1577">
        <f t="shared" si="5"/>
        <v>1</v>
      </c>
    </row>
    <row r="43" spans="1:29" s="1220" customFormat="1" ht="20.25">
      <c r="A43" s="600"/>
      <c r="B43" s="1895" t="s">
        <v>2424</v>
      </c>
      <c r="C43" s="601" t="s">
        <v>3013</v>
      </c>
      <c r="D43" s="255">
        <v>100</v>
      </c>
      <c r="E43" s="601" t="s">
        <v>3013</v>
      </c>
      <c r="F43" s="540">
        <f>SUMIF(125:125,E43,126:126)-SUMIF(125:125,C43,126:126)+100</f>
        <v>100</v>
      </c>
      <c r="G43" s="601" t="s">
        <v>3013</v>
      </c>
      <c r="H43" s="540">
        <f>SUMIF(125:125,G43,126:126)-SUMIF(125:125,C43,126:126)+100</f>
        <v>100</v>
      </c>
      <c r="I43" s="601" t="s">
        <v>3013</v>
      </c>
      <c r="J43" s="540">
        <f>SUMIF(125:125,I43,126:126)-SUMIF(125:125,C43,126:126)+100</f>
        <v>100</v>
      </c>
      <c r="K43" s="584">
        <v>2</v>
      </c>
      <c r="L43" s="2135"/>
      <c r="M43" s="2132"/>
      <c r="N43" s="2132"/>
      <c r="O43" s="2137"/>
      <c r="P43" s="3434"/>
      <c r="Q43" s="1573" t="str">
        <f t="shared" si="13"/>
        <v>宗地开发程度</v>
      </c>
      <c r="R43" s="1569" t="s">
        <v>8</v>
      </c>
      <c r="S43" s="1570">
        <f t="shared" si="9"/>
        <v>100</v>
      </c>
      <c r="T43" s="1569" t="s">
        <v>8</v>
      </c>
      <c r="U43" s="1570">
        <f t="shared" si="10"/>
        <v>100</v>
      </c>
      <c r="V43" s="1569" t="s">
        <v>8</v>
      </c>
      <c r="W43" s="1570">
        <f t="shared" si="11"/>
        <v>100</v>
      </c>
      <c r="X43" s="1571"/>
      <c r="Y43" s="3434"/>
      <c r="Z43" s="1150" t="str">
        <f t="shared" si="12"/>
        <v>宗地开发程度</v>
      </c>
      <c r="AA43" s="1572">
        <f t="shared" si="3"/>
        <v>1</v>
      </c>
      <c r="AB43" s="1572">
        <f t="shared" si="4"/>
        <v>1</v>
      </c>
      <c r="AC43" s="1572">
        <f t="shared" si="5"/>
        <v>1</v>
      </c>
    </row>
    <row r="44" spans="1:29" ht="20.25">
      <c r="A44" s="594"/>
      <c r="B44" s="527" t="s">
        <v>555</v>
      </c>
      <c r="C44" s="599" t="s">
        <v>3010</v>
      </c>
      <c r="D44" s="540">
        <v>100</v>
      </c>
      <c r="E44" s="599" t="s">
        <v>3028</v>
      </c>
      <c r="F44" s="540">
        <f>SUMIF(127:127,E44,128:128)-SUMIF(127:127,C44,128:128)+100</f>
        <v>94</v>
      </c>
      <c r="G44" s="599" t="s">
        <v>3028</v>
      </c>
      <c r="H44" s="540">
        <f>SUMIF(127:127,G44,128:128)-SUMIF(127:127,C44,128:128)+100</f>
        <v>94</v>
      </c>
      <c r="I44" s="599" t="s">
        <v>3028</v>
      </c>
      <c r="J44" s="540">
        <f>SUMIF(127:127,I44,128:128)-SUMIF(127:127,C44,128:128)+100</f>
        <v>94</v>
      </c>
      <c r="K44" s="584">
        <v>3</v>
      </c>
      <c r="L44" s="2142"/>
      <c r="M44" s="2132"/>
      <c r="N44" s="2132"/>
      <c r="O44" s="2141"/>
      <c r="P44" s="3434" t="s">
        <v>550</v>
      </c>
      <c r="Q44" s="1573" t="str">
        <f t="shared" si="13"/>
        <v>工程地质条件</v>
      </c>
      <c r="R44" s="1574" t="s">
        <v>8</v>
      </c>
      <c r="S44" s="1575">
        <f t="shared" si="9"/>
        <v>94</v>
      </c>
      <c r="T44" s="1574" t="s">
        <v>8</v>
      </c>
      <c r="U44" s="1575">
        <f t="shared" si="10"/>
        <v>94</v>
      </c>
      <c r="V44" s="1574" t="s">
        <v>8</v>
      </c>
      <c r="W44" s="1575">
        <f t="shared" si="11"/>
        <v>94</v>
      </c>
      <c r="X44" s="1568"/>
      <c r="Y44" s="3434" t="s">
        <v>550</v>
      </c>
      <c r="Z44" s="1576" t="str">
        <f t="shared" si="12"/>
        <v>工程地质条件</v>
      </c>
      <c r="AA44" s="1577">
        <f t="shared" si="3"/>
        <v>1.0638297872340425</v>
      </c>
      <c r="AB44" s="1577">
        <f t="shared" si="4"/>
        <v>1.0638297872340425</v>
      </c>
      <c r="AC44" s="1577">
        <f t="shared" si="5"/>
        <v>1.0638297872340425</v>
      </c>
    </row>
    <row r="45" spans="1:29" ht="21" thickBot="1">
      <c r="A45" s="594"/>
      <c r="B45" s="3181" t="s">
        <v>3005</v>
      </c>
      <c r="C45" s="3185" t="s">
        <v>3031</v>
      </c>
      <c r="D45" s="540">
        <v>100</v>
      </c>
      <c r="E45" s="3185" t="s">
        <v>3032</v>
      </c>
      <c r="F45" s="540">
        <f>SUMIF(129:129,E45,130:130)-SUMIF(129:129,C45,130:130)+100</f>
        <v>95</v>
      </c>
      <c r="G45" s="3185" t="s">
        <v>3043</v>
      </c>
      <c r="H45" s="540">
        <f>SUMIF(129:129,G45,130:130)-SUMIF(129:129,C45,130:130)+100</f>
        <v>95</v>
      </c>
      <c r="I45" s="3185" t="s">
        <v>3043</v>
      </c>
      <c r="J45" s="540">
        <f>SUMIF(129:129,I45,130:130)-SUMIF(129:129,C45,130:130)+100</f>
        <v>95</v>
      </c>
      <c r="K45" s="581"/>
      <c r="L45" s="2142"/>
      <c r="M45" s="2132"/>
      <c r="N45" s="2132"/>
      <c r="O45" s="2141"/>
      <c r="P45" s="3434"/>
      <c r="Q45" s="1573" t="str">
        <f t="shared" si="13"/>
        <v>临海情况</v>
      </c>
      <c r="R45" s="1574" t="s">
        <v>8</v>
      </c>
      <c r="S45" s="1575">
        <f t="shared" si="9"/>
        <v>95</v>
      </c>
      <c r="T45" s="1574" t="s">
        <v>8</v>
      </c>
      <c r="U45" s="1575">
        <f t="shared" si="10"/>
        <v>95</v>
      </c>
      <c r="V45" s="1574" t="s">
        <v>8</v>
      </c>
      <c r="W45" s="1575">
        <f t="shared" si="11"/>
        <v>95</v>
      </c>
      <c r="X45" s="1568"/>
      <c r="Y45" s="3434"/>
      <c r="Z45" s="1576" t="str">
        <f t="shared" si="12"/>
        <v>临海情况</v>
      </c>
      <c r="AA45" s="1577">
        <f t="shared" si="3"/>
        <v>1.0526315789473684</v>
      </c>
      <c r="AB45" s="1577">
        <f t="shared" si="4"/>
        <v>1.0526315789473684</v>
      </c>
      <c r="AC45" s="1577">
        <f t="shared" si="5"/>
        <v>1.0526315789473684</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34"/>
      <c r="Q46" s="1573">
        <f t="shared" si="13"/>
        <v>111</v>
      </c>
      <c r="R46" s="1574" t="s">
        <v>8</v>
      </c>
      <c r="S46" s="1575">
        <f t="shared" si="9"/>
        <v>100</v>
      </c>
      <c r="T46" s="1574" t="s">
        <v>8</v>
      </c>
      <c r="U46" s="1575">
        <f t="shared" si="10"/>
        <v>100</v>
      </c>
      <c r="V46" s="1574" t="s">
        <v>8</v>
      </c>
      <c r="W46" s="1575">
        <f t="shared" si="11"/>
        <v>100</v>
      </c>
      <c r="X46" s="1568"/>
      <c r="Y46" s="3434"/>
      <c r="Z46" s="1576">
        <f t="shared" si="12"/>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34"/>
      <c r="Q47" s="1573">
        <f t="shared" si="13"/>
        <v>111</v>
      </c>
      <c r="R47" s="1578" t="s">
        <v>8</v>
      </c>
      <c r="S47" s="1579">
        <f t="shared" si="9"/>
        <v>100</v>
      </c>
      <c r="T47" s="1578" t="s">
        <v>8</v>
      </c>
      <c r="U47" s="1579">
        <f t="shared" si="10"/>
        <v>100</v>
      </c>
      <c r="V47" s="1578" t="s">
        <v>8</v>
      </c>
      <c r="W47" s="1579">
        <f t="shared" si="11"/>
        <v>100</v>
      </c>
      <c r="X47" s="1580"/>
      <c r="Y47" s="3434"/>
      <c r="Z47" s="1581">
        <f t="shared" si="12"/>
        <v>111</v>
      </c>
      <c r="AA47" s="1577">
        <f t="shared" si="3"/>
        <v>1</v>
      </c>
      <c r="AB47" s="1577">
        <f t="shared" si="4"/>
        <v>1</v>
      </c>
      <c r="AC47" s="1577">
        <f t="shared" si="5"/>
        <v>1</v>
      </c>
    </row>
    <row r="48" spans="1:29" ht="20.25">
      <c r="A48" s="607" t="s">
        <v>556</v>
      </c>
      <c r="B48" s="608" t="s">
        <v>3006</v>
      </c>
      <c r="C48" s="609" t="s">
        <v>1</v>
      </c>
      <c r="D48" s="610"/>
      <c r="E48" s="611">
        <v>7824</v>
      </c>
      <c r="F48" s="612"/>
      <c r="G48" s="613">
        <v>8048</v>
      </c>
      <c r="H48" s="614"/>
      <c r="I48" s="611">
        <v>11052</v>
      </c>
      <c r="J48" s="614"/>
      <c r="K48" s="1340"/>
      <c r="L48" s="2144"/>
      <c r="M48" s="2132"/>
      <c r="N48" s="2132"/>
      <c r="O48" s="2145"/>
      <c r="P48" s="3395" t="str">
        <f>A48</f>
        <v>成交单价</v>
      </c>
      <c r="Q48" s="3395"/>
      <c r="R48" s="3396">
        <f>E48</f>
        <v>7824</v>
      </c>
      <c r="S48" s="3396"/>
      <c r="T48" s="3396">
        <f>G48</f>
        <v>8048</v>
      </c>
      <c r="U48" s="3396"/>
      <c r="V48" s="3396">
        <f>I48</f>
        <v>11052</v>
      </c>
      <c r="W48" s="3396"/>
      <c r="X48" s="1560"/>
      <c r="Y48" s="1582"/>
      <c r="Z48" s="1560"/>
      <c r="AA48" s="1560"/>
      <c r="AB48" s="1560"/>
      <c r="AC48" s="1560"/>
    </row>
    <row r="49" spans="1:29" ht="21" thickBot="1">
      <c r="A49" s="615" t="s">
        <v>2693</v>
      </c>
      <c r="B49" s="616"/>
      <c r="C49" s="617">
        <f>R50</f>
        <v>10604</v>
      </c>
      <c r="D49" s="618"/>
      <c r="E49" s="617">
        <f>R49</f>
        <v>9917</v>
      </c>
      <c r="F49" s="619"/>
      <c r="G49" s="620">
        <f>T49</f>
        <v>10403</v>
      </c>
      <c r="H49" s="618"/>
      <c r="I49" s="617">
        <f>V49</f>
        <v>11492</v>
      </c>
      <c r="J49" s="618"/>
      <c r="K49" s="1341"/>
      <c r="L49" s="2144"/>
      <c r="M49" s="2132"/>
      <c r="N49" s="2132"/>
      <c r="O49" s="2145"/>
      <c r="P49" s="3395" t="str">
        <f>A49</f>
        <v>比较价格（元/平方米）</v>
      </c>
      <c r="Q49" s="3395"/>
      <c r="R49" s="3397">
        <f>ROUND(PRODUCT(R48,AA9:AA47),0)</f>
        <v>9917</v>
      </c>
      <c r="S49" s="3397"/>
      <c r="T49" s="3397">
        <f>ROUND(PRODUCT(T48,AB9:AB47),0)</f>
        <v>10403</v>
      </c>
      <c r="U49" s="3397"/>
      <c r="V49" s="3397">
        <f>ROUND(PRODUCT(V48,AC9:AC47),0)</f>
        <v>11492</v>
      </c>
      <c r="W49" s="3397"/>
      <c r="X49" s="1560"/>
      <c r="Y49" s="1560"/>
      <c r="Z49" s="1560"/>
      <c r="AA49" s="1560"/>
      <c r="AB49" s="1560"/>
      <c r="AC49" s="1560"/>
    </row>
    <row r="50" spans="1:29" ht="21" thickBot="1">
      <c r="A50" s="621" t="s">
        <v>2932</v>
      </c>
      <c r="B50" s="622"/>
      <c r="C50" s="623">
        <f>R50</f>
        <v>10604</v>
      </c>
      <c r="D50" s="623"/>
      <c r="E50" s="623"/>
      <c r="F50" s="623"/>
      <c r="G50" s="623"/>
      <c r="H50" s="623"/>
      <c r="I50" s="623"/>
      <c r="J50" s="623"/>
      <c r="K50" s="1342"/>
      <c r="L50" s="2144"/>
      <c r="M50" s="2132"/>
      <c r="N50" s="2132"/>
      <c r="O50" s="2145"/>
      <c r="P50" s="3392" t="str">
        <f>A50</f>
        <v>估价对象XX用房的比较价格（楼面单价，元/平方米）</v>
      </c>
      <c r="Q50" s="3393"/>
      <c r="R50" s="3394">
        <f>ROUND(AVERAGE(R49:V49),0)</f>
        <v>10604</v>
      </c>
      <c r="S50" s="3394"/>
      <c r="T50" s="3394"/>
      <c r="U50" s="3394"/>
      <c r="V50" s="3394"/>
      <c r="W50" s="3394"/>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0.26751022494887522</v>
      </c>
      <c r="F53" s="627" t="str">
        <f>IF(OR(E53&gt;=0.3,E53&lt;=-0.3),"超过30%","")</f>
        <v/>
      </c>
      <c r="G53" s="626">
        <f>IF(G48&lt;G49,G49/G48-1,G48/G49-1)</f>
        <v>0.29261928429423456</v>
      </c>
      <c r="H53" s="627" t="str">
        <f>IF(OR(G53&gt;=0.3,G53&lt;=-0.3),"超过30%","")</f>
        <v/>
      </c>
      <c r="I53" s="626">
        <f>IF(I48&lt;I49,I49/I48-1,I48/I49-1)</f>
        <v>3.981179876945351E-2</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4.9006756075425928E-2</v>
      </c>
      <c r="F54" s="627" t="str">
        <f>IF(OR(E54&gt;=0.2,E54&lt;=-0.2),"超过20%","")</f>
        <v/>
      </c>
      <c r="G54" s="626">
        <f>IF(G49&lt;I49,I49/G49-1,G49/I49-1)</f>
        <v>0.10468134192059986</v>
      </c>
      <c r="H54" s="627" t="str">
        <f>IF(OR(G54&gt;=0.2,G54&lt;=-0.2),"超过20%","")</f>
        <v/>
      </c>
      <c r="I54" s="626">
        <f>IF(I49&lt;E49,E49/I49-1,I49/E49-1)</f>
        <v>0.15881819098517691</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2.8629856850715729E-2</v>
      </c>
      <c r="F55" s="627" t="str">
        <f>IF(OR(E55&gt;=0.3,E55&lt;=-0.3),"超过30%","")</f>
        <v/>
      </c>
      <c r="G55" s="626">
        <f>IF(G48&lt;I48,I48/G48-1,G48/I48-1)</f>
        <v>0.37326043737574555</v>
      </c>
      <c r="H55" s="627" t="str">
        <f>IF(OR(G55&gt;=0.3,G55&lt;=-0.3),"超过30%","")</f>
        <v>超过30%</v>
      </c>
      <c r="I55" s="626">
        <f>IF(I48&lt;E48,E48/I48-1,I48/E48-1)</f>
        <v>0.41257668711656437</v>
      </c>
      <c r="J55" s="627" t="str">
        <f>IF(OR(I55&gt;=0.3,I55&lt;=-0.3),"超过30%","")</f>
        <v>超过30%</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1725</v>
      </c>
      <c r="D57" s="2227" t="s">
        <v>2293</v>
      </c>
      <c r="E57" s="631" t="s">
        <v>562</v>
      </c>
      <c r="F57" s="632" t="s">
        <v>563</v>
      </c>
      <c r="G57" s="3423" t="s">
        <v>2281</v>
      </c>
      <c r="H57" s="3424"/>
      <c r="I57" s="1556" t="s">
        <v>1723</v>
      </c>
      <c r="J57" s="1556" t="str">
        <f>项目基本情况!F41</f>
        <v>广东省汕头市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10604</v>
      </c>
      <c r="C58" s="635">
        <v>1</v>
      </c>
      <c r="D58" s="2228">
        <v>1</v>
      </c>
      <c r="E58" s="635">
        <f>'数据-汇总表'!E8+'数据-汇总表'!E9</f>
        <v>60846.74</v>
      </c>
      <c r="F58" s="636">
        <f t="shared" ref="F58:F67" si="14">ROUND(B58*E58/10000,0)</f>
        <v>64522</v>
      </c>
      <c r="G58" s="3425"/>
      <c r="H58" s="3426"/>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5">IF($C$57="北京市系数",I59,J59)</f>
        <v>0</v>
      </c>
      <c r="D59" s="2229">
        <v>0.25</v>
      </c>
      <c r="E59" s="639">
        <v>0</v>
      </c>
      <c r="F59" s="636">
        <f t="shared" si="14"/>
        <v>0</v>
      </c>
      <c r="G59" s="3427" t="s">
        <v>2282</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6">ROUND($C$50*C60*D60,0)</f>
        <v>0</v>
      </c>
      <c r="C60" s="378">
        <f t="shared" si="15"/>
        <v>0</v>
      </c>
      <c r="D60" s="2229">
        <v>0.25</v>
      </c>
      <c r="E60" s="639">
        <v>0</v>
      </c>
      <c r="F60" s="636">
        <f t="shared" si="14"/>
        <v>0</v>
      </c>
      <c r="G60" s="3427"/>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6"/>
        <v>0</v>
      </c>
      <c r="C61" s="378">
        <f t="shared" si="15"/>
        <v>0</v>
      </c>
      <c r="D61" s="2229">
        <v>0.25</v>
      </c>
      <c r="E61" s="639">
        <v>0</v>
      </c>
      <c r="F61" s="636">
        <f t="shared" si="14"/>
        <v>0</v>
      </c>
      <c r="G61" s="3427"/>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6"/>
        <v>0</v>
      </c>
      <c r="C62" s="378">
        <f t="shared" si="15"/>
        <v>0</v>
      </c>
      <c r="D62" s="2229">
        <v>0.25</v>
      </c>
      <c r="E62" s="639">
        <v>0</v>
      </c>
      <c r="F62" s="636">
        <f t="shared" si="14"/>
        <v>0</v>
      </c>
      <c r="G62" s="3427"/>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2327</v>
      </c>
      <c r="B63" s="638">
        <f t="shared" si="16"/>
        <v>0</v>
      </c>
      <c r="C63" s="378">
        <f t="shared" si="15"/>
        <v>0</v>
      </c>
      <c r="D63" s="2229">
        <v>0.25</v>
      </c>
      <c r="E63" s="641">
        <f>'数据-汇总表'!E11</f>
        <v>0</v>
      </c>
      <c r="F63" s="636">
        <f t="shared" si="14"/>
        <v>0</v>
      </c>
      <c r="G63" s="1945" t="s">
        <v>2283</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6"/>
        <v>0</v>
      </c>
      <c r="C64" s="378">
        <f t="shared" si="15"/>
        <v>0</v>
      </c>
      <c r="D64" s="2229">
        <v>0.25</v>
      </c>
      <c r="E64" s="641">
        <f>'数据-汇总表'!E12</f>
        <v>0</v>
      </c>
      <c r="F64" s="636">
        <f t="shared" si="14"/>
        <v>0</v>
      </c>
      <c r="G64" s="1946" t="s">
        <v>1678</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6"/>
        <v>0</v>
      </c>
      <c r="C65" s="378">
        <f t="shared" si="15"/>
        <v>0</v>
      </c>
      <c r="D65" s="2229">
        <v>0.25</v>
      </c>
      <c r="E65" s="641">
        <f>'数据-汇总表'!E13</f>
        <v>5864.9200000000019</v>
      </c>
      <c r="F65" s="636">
        <f t="shared" si="14"/>
        <v>0</v>
      </c>
      <c r="G65" s="1946" t="s">
        <v>923</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6"/>
        <v>0</v>
      </c>
      <c r="C66" s="378">
        <f t="shared" si="15"/>
        <v>0</v>
      </c>
      <c r="D66" s="2229">
        <v>0.25</v>
      </c>
      <c r="E66" s="641">
        <f>'数据-汇总表'!E14</f>
        <v>0</v>
      </c>
      <c r="F66" s="636">
        <f t="shared" si="14"/>
        <v>0</v>
      </c>
      <c r="G66" s="1945" t="s">
        <v>2282</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6"/>
        <v>0</v>
      </c>
      <c r="C67" s="378">
        <f t="shared" si="15"/>
        <v>0</v>
      </c>
      <c r="D67" s="2229">
        <v>0.25</v>
      </c>
      <c r="E67" s="641">
        <f>'数据-汇总表'!E15</f>
        <v>0</v>
      </c>
      <c r="F67" s="636">
        <f t="shared" si="14"/>
        <v>0</v>
      </c>
      <c r="G67" s="1947" t="s">
        <v>2283</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2294</v>
      </c>
      <c r="E68" s="643">
        <f>IF(B48="楼面地价",SUM(E58:E67),'数据-汇总表'!D3)</f>
        <v>66711.66</v>
      </c>
      <c r="F68" s="644">
        <f>IF(B48="楼面地价",SUM(F58:F67),ROUND(C50*E68/10000,0))</f>
        <v>64522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2018-5-1</v>
      </c>
      <c r="D70" s="2823">
        <f>EDATE(C70,-3)</f>
        <v>43132</v>
      </c>
      <c r="E70" s="2823">
        <f t="shared" ref="E70:N70" si="17">EDATE(D70,-3)</f>
        <v>43040</v>
      </c>
      <c r="F70" s="2823">
        <f t="shared" si="17"/>
        <v>42948</v>
      </c>
      <c r="G70" s="2823">
        <f t="shared" si="17"/>
        <v>42856</v>
      </c>
      <c r="H70" s="2823">
        <f t="shared" si="17"/>
        <v>42767</v>
      </c>
      <c r="I70" s="2823">
        <f t="shared" si="17"/>
        <v>42675</v>
      </c>
      <c r="J70" s="2823">
        <f t="shared" si="17"/>
        <v>42583</v>
      </c>
      <c r="K70" s="2823">
        <f t="shared" si="17"/>
        <v>42491</v>
      </c>
      <c r="L70" s="2823">
        <f t="shared" si="17"/>
        <v>42401</v>
      </c>
      <c r="M70" s="2823">
        <f t="shared" si="17"/>
        <v>42309</v>
      </c>
      <c r="N70" s="2823">
        <f t="shared" si="17"/>
        <v>42217</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92" t="s">
        <v>2532</v>
      </c>
      <c r="B72" s="2593"/>
      <c r="C72" s="2818" t="str">
        <f>YEAR(C70)&amp;"-"&amp;ROUNDUP(MONTH(C70)/3,0)</f>
        <v>2018-2</v>
      </c>
      <c r="D72" s="2825" t="str">
        <f>YEAR(D70)&amp;"-"&amp;ROUNDUP(MONTH(D70)/3,0)</f>
        <v>2018-1</v>
      </c>
      <c r="E72" s="2825" t="str">
        <f t="shared" ref="E72:N72" si="18">YEAR(E70)&amp;"-"&amp;ROUNDUP(MONTH(E70)/3,0)</f>
        <v>2017-4</v>
      </c>
      <c r="F72" s="2825" t="str">
        <f t="shared" si="18"/>
        <v>2017-3</v>
      </c>
      <c r="G72" s="2825" t="str">
        <f t="shared" si="18"/>
        <v>2017-2</v>
      </c>
      <c r="H72" s="2825" t="str">
        <f t="shared" si="18"/>
        <v>2017-1</v>
      </c>
      <c r="I72" s="2825" t="str">
        <f t="shared" si="18"/>
        <v>2016-4</v>
      </c>
      <c r="J72" s="2825" t="str">
        <f t="shared" si="18"/>
        <v>2016-3</v>
      </c>
      <c r="K72" s="2825" t="str">
        <f t="shared" si="18"/>
        <v>2016-2</v>
      </c>
      <c r="L72" s="2825" t="str">
        <f t="shared" si="18"/>
        <v>2016-1</v>
      </c>
      <c r="M72" s="2825" t="str">
        <f t="shared" si="18"/>
        <v>2015-4</v>
      </c>
      <c r="N72" s="2825" t="str">
        <f t="shared" si="18"/>
        <v>2015-3</v>
      </c>
      <c r="O72" s="2159"/>
      <c r="P72" s="2160"/>
      <c r="Q72" s="2161"/>
      <c r="R72" s="2161"/>
      <c r="S72" s="2161"/>
      <c r="T72" s="2161"/>
      <c r="U72" s="2161"/>
      <c r="V72" s="2161"/>
      <c r="W72" s="2161"/>
      <c r="X72" s="2161"/>
      <c r="Y72" s="2161"/>
      <c r="Z72" s="2161"/>
      <c r="AA72" s="2161"/>
      <c r="AB72" s="2161"/>
      <c r="AC72" s="2161"/>
    </row>
    <row r="73" spans="1:29" s="1220" customFormat="1" ht="27" customHeight="1">
      <c r="A73" s="2830" t="s">
        <v>2647</v>
      </c>
      <c r="B73" s="479" t="str">
        <f>"北京市平均增长率"&amp;TEXT(SUMIF(基准地价!N21:N25,A73,基准地价!P21:P25),"0.00%")</f>
        <v>北京市平均增长率2.27%</v>
      </c>
      <c r="C73" s="894">
        <v>100</v>
      </c>
      <c r="D73" s="730">
        <f t="shared" ref="D73:I73" si="19">C73-3</f>
        <v>97</v>
      </c>
      <c r="E73" s="730">
        <f t="shared" si="19"/>
        <v>94</v>
      </c>
      <c r="F73" s="730">
        <f t="shared" si="19"/>
        <v>91</v>
      </c>
      <c r="G73" s="730">
        <f t="shared" si="19"/>
        <v>88</v>
      </c>
      <c r="H73" s="730">
        <f t="shared" si="19"/>
        <v>85</v>
      </c>
      <c r="I73" s="730">
        <f t="shared" si="19"/>
        <v>82</v>
      </c>
      <c r="J73" s="730"/>
      <c r="K73" s="730"/>
      <c r="L73" s="730"/>
      <c r="M73" s="2816"/>
      <c r="N73" s="2817"/>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0" t="s">
        <v>2646</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82" t="s">
        <v>3009</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0（含）-2</v>
      </c>
      <c r="D81" s="682" t="str">
        <f t="shared" ref="D81:L81" si="20">D82&amp;"（含）"&amp;"-"&amp;E82</f>
        <v>2（含）-4</v>
      </c>
      <c r="E81" s="682" t="str">
        <f t="shared" si="20"/>
        <v>4（含）-6</v>
      </c>
      <c r="F81" s="682" t="str">
        <f t="shared" si="20"/>
        <v>6（含）-8</v>
      </c>
      <c r="G81" s="682" t="str">
        <f t="shared" si="20"/>
        <v>8（含）-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2</v>
      </c>
      <c r="E82" s="541">
        <v>4</v>
      </c>
      <c r="F82" s="541">
        <v>6</v>
      </c>
      <c r="G82" s="541">
        <v>8</v>
      </c>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6"/>
      <c r="O83" s="2166"/>
      <c r="P83" s="2165"/>
      <c r="Q83" s="2158"/>
      <c r="R83" s="2145"/>
      <c r="S83" s="2145"/>
      <c r="T83" s="2145"/>
      <c r="U83" s="2145"/>
      <c r="V83" s="2145"/>
      <c r="W83" s="2145"/>
      <c r="X83" s="2145"/>
      <c r="Y83" s="2145"/>
      <c r="Z83" s="2145"/>
      <c r="AA83" s="2145"/>
      <c r="AB83" s="2145"/>
      <c r="AC83" s="2145"/>
    </row>
    <row r="84" spans="1:29" s="1339" customFormat="1" ht="15.75" hidden="1"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hidden="1"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hidden="1"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hidden="1"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hidden="1"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hidden="1"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2548</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621" t="s">
        <v>2550</v>
      </c>
      <c r="C104" s="2622" t="s">
        <v>2551</v>
      </c>
      <c r="D104" s="2622" t="s">
        <v>2552</v>
      </c>
      <c r="E104" s="2622" t="s">
        <v>2553</v>
      </c>
      <c r="F104" s="2622" t="s">
        <v>2554</v>
      </c>
      <c r="G104" s="2622" t="s">
        <v>2555</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6"/>
      <c r="O107" s="2166"/>
      <c r="P107" s="2165"/>
      <c r="Q107" s="2158"/>
      <c r="R107" s="2145"/>
      <c r="S107" s="2145"/>
      <c r="T107" s="2145"/>
      <c r="U107" s="2145"/>
      <c r="V107" s="2145"/>
      <c r="W107" s="2145"/>
      <c r="X107" s="2145"/>
      <c r="Y107" s="2145"/>
      <c r="Z107" s="2145"/>
      <c r="AA107" s="2145"/>
      <c r="AB107" s="2145"/>
      <c r="AC107" s="2145"/>
    </row>
    <row r="108" spans="1:29" ht="27.75" hidden="1"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hidden="1"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hidden="1"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hidden="1"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9.25" thickTop="1">
      <c r="A118" s="664" t="s">
        <v>551</v>
      </c>
      <c r="B118" s="665" t="s">
        <v>593</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v>
      </c>
      <c r="I118" s="704"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30000</v>
      </c>
      <c r="E119" s="730">
        <v>60000</v>
      </c>
      <c r="F119" s="730">
        <v>90000</v>
      </c>
      <c r="G119" s="730">
        <v>120000</v>
      </c>
      <c r="H119" s="730">
        <v>150000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83" t="s">
        <v>3015</v>
      </c>
      <c r="D121" s="3183" t="s">
        <v>3017</v>
      </c>
      <c r="E121" s="3183" t="s">
        <v>3018</v>
      </c>
      <c r="F121" s="3183" t="s">
        <v>3019</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hidden="1"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hidden="1"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2425</v>
      </c>
      <c r="C125" s="1376" t="s">
        <v>3020</v>
      </c>
      <c r="D125" s="1376" t="s">
        <v>3021</v>
      </c>
      <c r="E125" s="1376" t="s">
        <v>3022</v>
      </c>
      <c r="F125" s="1376" t="s">
        <v>3023</v>
      </c>
      <c r="G125" s="1376" t="s">
        <v>3024</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84" t="s">
        <v>3025</v>
      </c>
      <c r="D127" s="3184" t="s">
        <v>3026</v>
      </c>
      <c r="E127" s="3183" t="s">
        <v>3027</v>
      </c>
      <c r="F127" s="3183" t="s">
        <v>3029</v>
      </c>
      <c r="G127" s="3183" t="s">
        <v>3030</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97</v>
      </c>
      <c r="E128" s="679">
        <f t="shared" si="29"/>
        <v>94</v>
      </c>
      <c r="F128" s="679">
        <f t="shared" si="29"/>
        <v>91</v>
      </c>
      <c r="G128" s="679">
        <f t="shared" si="29"/>
        <v>88</v>
      </c>
      <c r="H128" s="679">
        <f t="shared" si="29"/>
        <v>85</v>
      </c>
      <c r="I128" s="679">
        <f t="shared" si="29"/>
        <v>82</v>
      </c>
      <c r="J128" s="679">
        <f t="shared" si="29"/>
        <v>79</v>
      </c>
      <c r="K128" s="679">
        <f t="shared" si="29"/>
        <v>76</v>
      </c>
      <c r="L128" s="679">
        <f t="shared" si="29"/>
        <v>73</v>
      </c>
      <c r="M128" s="680">
        <f t="shared" si="29"/>
        <v>70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t="str">
        <f>B45</f>
        <v>临海情况</v>
      </c>
      <c r="C129" s="3184" t="s">
        <v>3031</v>
      </c>
      <c r="D129" s="3184" t="s">
        <v>3032</v>
      </c>
      <c r="E129" s="3184" t="s">
        <v>3033</v>
      </c>
      <c r="F129" s="3184" t="s">
        <v>3034</v>
      </c>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v>100</v>
      </c>
      <c r="D130" s="692">
        <v>95</v>
      </c>
      <c r="E130" s="692">
        <v>90</v>
      </c>
      <c r="F130" s="692">
        <v>85</v>
      </c>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hidden="1"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hidden="1"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hidden="1"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2" priority="14" stopIfTrue="1" operator="containsText" text="超过">
      <formula>NOT(ISERROR(SEARCH("超过",F53)))</formula>
    </cfRule>
  </conditionalFormatting>
  <conditionalFormatting sqref="J55">
    <cfRule type="containsText" dxfId="131" priority="13" stopIfTrue="1" operator="containsText" text="超过">
      <formula>NOT(ISERROR(SEARCH("超过",J55)))</formula>
    </cfRule>
  </conditionalFormatting>
  <conditionalFormatting sqref="H55">
    <cfRule type="containsText" dxfId="130" priority="12" stopIfTrue="1" operator="containsText" text="超过">
      <formula>NOT(ISERROR(SEARCH("超过",H55)))</formula>
    </cfRule>
  </conditionalFormatting>
  <conditionalFormatting sqref="F55">
    <cfRule type="containsText" dxfId="129" priority="11" stopIfTrue="1" operator="containsText" text="超过">
      <formula>NOT(ISERROR(SEARCH("超过",F55)))</formula>
    </cfRule>
  </conditionalFormatting>
  <conditionalFormatting sqref="F54 H54 J54">
    <cfRule type="containsText" dxfId="128" priority="10" stopIfTrue="1" operator="containsText" text="超过">
      <formula>NOT(ISERROR(SEARCH("超过",F54)))</formula>
    </cfRule>
  </conditionalFormatting>
  <conditionalFormatting sqref="E53">
    <cfRule type="expression" dxfId="127" priority="9" stopIfTrue="1">
      <formula>$F$53="超过30%"</formula>
    </cfRule>
  </conditionalFormatting>
  <conditionalFormatting sqref="G55">
    <cfRule type="expression" dxfId="126" priority="8" stopIfTrue="1">
      <formula>$H$55="超过30%"</formula>
    </cfRule>
  </conditionalFormatting>
  <conditionalFormatting sqref="E54">
    <cfRule type="expression" dxfId="125" priority="7" stopIfTrue="1">
      <formula>$F$54="超过20%"</formula>
    </cfRule>
  </conditionalFormatting>
  <conditionalFormatting sqref="E55">
    <cfRule type="expression" dxfId="124" priority="6" stopIfTrue="1">
      <formula>$F$55="超过30%"</formula>
    </cfRule>
  </conditionalFormatting>
  <conditionalFormatting sqref="G53">
    <cfRule type="expression" dxfId="123" priority="5" stopIfTrue="1">
      <formula>$H$55+$H$53="超过30%"</formula>
    </cfRule>
  </conditionalFormatting>
  <conditionalFormatting sqref="G54">
    <cfRule type="expression" dxfId="122" priority="4" stopIfTrue="1">
      <formula>$H$54="超过20%"</formula>
    </cfRule>
  </conditionalFormatting>
  <conditionalFormatting sqref="I53">
    <cfRule type="expression" dxfId="121" priority="3" stopIfTrue="1">
      <formula>$J$53="超过30%"</formula>
    </cfRule>
  </conditionalFormatting>
  <conditionalFormatting sqref="I54">
    <cfRule type="expression" dxfId="120" priority="2" stopIfTrue="1">
      <formula>$J$54="超过20%"</formula>
    </cfRule>
  </conditionalFormatting>
  <conditionalFormatting sqref="I55">
    <cfRule type="expression" dxfId="11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C29" sqref="C2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c r="C1" s="2104"/>
      <c r="D1" s="2104"/>
      <c r="E1" s="2104"/>
      <c r="F1" s="2104"/>
      <c r="G1" s="2104"/>
      <c r="H1" s="2104"/>
      <c r="I1" s="2104"/>
      <c r="J1" s="2104"/>
      <c r="K1" s="422">
        <f>MATCH(B1,'数据-取费表'!A6:A16,0)+5</f>
        <v>9</v>
      </c>
    </row>
    <row r="2" spans="1:31" s="2041" customFormat="1" ht="18" customHeight="1">
      <c r="A2" s="2101" t="s">
        <v>467</v>
      </c>
      <c r="B2" s="2105">
        <f ca="1">C36</f>
        <v>65806</v>
      </c>
      <c r="C2" s="2104"/>
      <c r="D2" s="2104"/>
      <c r="E2" s="2104"/>
      <c r="F2" s="2104"/>
      <c r="G2" s="2104"/>
      <c r="H2" s="2104"/>
      <c r="I2" s="2104"/>
      <c r="J2" s="2104"/>
      <c r="K2" s="2104"/>
    </row>
    <row r="3" spans="1:31" s="2041" customFormat="1" ht="18" customHeight="1">
      <c r="A3" s="2106" t="s">
        <v>1685</v>
      </c>
      <c r="B3" s="2107">
        <f ca="1">ROUND(B2*10000/IF(B1="",'数据-汇总表'!E3,INDIRECT("'数据-取费表'!K"&amp;$K$1)),0)</f>
        <v>9747</v>
      </c>
      <c r="C3" s="2104"/>
      <c r="D3" s="2104"/>
      <c r="E3" s="2104"/>
      <c r="F3" s="2104"/>
      <c r="G3" s="2104"/>
      <c r="H3" s="2104"/>
      <c r="I3" s="2104"/>
      <c r="J3" s="2104"/>
      <c r="K3" s="2104"/>
    </row>
    <row r="4" spans="1:31" s="2041" customFormat="1" ht="18" customHeight="1">
      <c r="A4" s="426" t="s">
        <v>468</v>
      </c>
      <c r="B4" s="427">
        <f ca="1">ROUND(B2*10000/IF(B1="",'数据-汇总表'!D3,INDIRECT("'数据-取费表'!R"&amp;$K$1)),0)</f>
        <v>43384</v>
      </c>
      <c r="C4" s="428"/>
      <c r="D4" s="422"/>
      <c r="E4" s="422"/>
      <c r="F4" s="422"/>
      <c r="G4" s="422"/>
      <c r="H4" s="422"/>
      <c r="I4" s="422"/>
      <c r="J4" s="422"/>
      <c r="K4" s="422"/>
    </row>
    <row r="5" spans="1:31" s="2041" customFormat="1" ht="18" customHeight="1" thickBot="1">
      <c r="A5" s="429"/>
      <c r="B5" s="430">
        <f ca="1">ROUND(B2/(IF(B1="",'数据-汇总表'!D3,INDIRECT("'数据-取费表'!R"&amp;$K$1))/666.67),0)</f>
        <v>2892</v>
      </c>
      <c r="C5" s="431" t="s">
        <v>469</v>
      </c>
      <c r="D5" s="422"/>
      <c r="E5" s="422"/>
      <c r="F5" s="422"/>
      <c r="G5" s="422"/>
      <c r="H5" s="422"/>
      <c r="I5" s="422"/>
      <c r="J5" s="422"/>
      <c r="K5" s="422"/>
    </row>
    <row r="6" spans="1:31" s="2111" customFormat="1" ht="16.5" customHeight="1">
      <c r="A6" s="2852" t="s">
        <v>1843</v>
      </c>
      <c r="B6" s="2853"/>
      <c r="C6" s="2854">
        <f ca="1">SUM(C10:K10)</f>
        <v>135764</v>
      </c>
      <c r="D6" s="2853"/>
      <c r="E6" s="2853"/>
      <c r="F6" s="2853"/>
      <c r="G6" s="2853"/>
      <c r="H6" s="2853"/>
      <c r="I6" s="2853"/>
      <c r="J6" s="2853"/>
      <c r="K6" s="2855"/>
    </row>
    <row r="7" spans="1:31" s="2113" customFormat="1" ht="15">
      <c r="A7" s="2856" t="s">
        <v>470</v>
      </c>
      <c r="B7" s="2857" t="s">
        <v>471</v>
      </c>
      <c r="C7" s="436" t="s">
        <v>923</v>
      </c>
      <c r="D7" s="436" t="s">
        <v>2987</v>
      </c>
      <c r="E7" s="436" t="s">
        <v>3063</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58">
        <f>'不动产比较法-住宅'!B3</f>
        <v>20686</v>
      </c>
      <c r="D8" s="2858">
        <f>'不动产比较法-商业'!B3</f>
        <v>32123</v>
      </c>
      <c r="E8" s="2858">
        <f ca="1">不动产收益法!B3</f>
        <v>9482</v>
      </c>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57055.89</v>
      </c>
      <c r="D9" s="441">
        <f>SUMIF('数据-汇总表'!$C19:$C33,'剩余法-待开发'!D7,'数据-汇总表'!$E19:$E33)</f>
        <v>3790.85</v>
      </c>
      <c r="E9" s="441">
        <f>SUMIF('数据-汇总表'!$C19:$C33,'剩余法-待开发'!E7,'数据-汇总表'!$E19:$E33)</f>
        <v>5864.9200000000019</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1848</v>
      </c>
      <c r="B10" s="2846" t="s">
        <v>474</v>
      </c>
      <c r="C10" s="3052">
        <f>'不动产比较法-住宅'!B2</f>
        <v>118026</v>
      </c>
      <c r="D10" s="3052">
        <f>'不动产比较法-商业'!B2</f>
        <v>12177</v>
      </c>
      <c r="E10" s="3052">
        <f ca="1">不动产收益法!B2</f>
        <v>5561</v>
      </c>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1844</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1849</v>
      </c>
      <c r="B13" s="2867" t="s">
        <v>479</v>
      </c>
      <c r="C13" s="450">
        <f ca="1">IF(B1="",'数据-取费表'!P16,INDIRECT("'数据-取费表'!p"&amp;$K$1)+INDIRECT("'数据-取费表'!t"&amp;$K$1))</f>
        <v>20254</v>
      </c>
      <c r="D13" s="2868"/>
      <c r="E13" s="2869"/>
      <c r="F13" s="2870"/>
      <c r="G13" s="2836"/>
      <c r="H13" s="2837"/>
      <c r="I13" s="2837"/>
      <c r="J13" s="2837"/>
      <c r="K13" s="2838"/>
    </row>
    <row r="14" spans="1:31" s="2116" customFormat="1" ht="13.5" customHeight="1">
      <c r="A14" s="2866" t="s">
        <v>1850</v>
      </c>
      <c r="B14" s="2867" t="s">
        <v>480</v>
      </c>
      <c r="C14" s="53">
        <f ca="1">ROUND(C13*F14,0)</f>
        <v>608</v>
      </c>
      <c r="D14" s="2868"/>
      <c r="E14" s="2869"/>
      <c r="F14" s="2871">
        <f>'数据-取费表'!B33</f>
        <v>0.03</v>
      </c>
      <c r="G14" s="2836" t="s">
        <v>481</v>
      </c>
      <c r="H14" s="2837"/>
      <c r="I14" s="2837"/>
      <c r="J14" s="2837"/>
      <c r="K14" s="2838"/>
    </row>
    <row r="15" spans="1:31" s="2116" customFormat="1" ht="13.5" customHeight="1">
      <c r="A15" s="2866" t="s">
        <v>1851</v>
      </c>
      <c r="B15" s="2867" t="s">
        <v>482</v>
      </c>
      <c r="C15" s="53">
        <f ca="1">ROUND(IF(B1="",SUMIF('数据-取费表'!C:C,"住宅",'数据-取费表'!P:P)*F15,IF(INDIRECT("'数据-取费表'!c"&amp;$K$1)="住宅",INDIRECT("'数据-取费表'!P"&amp;$K$1)*F15,0)),0)</f>
        <v>856</v>
      </c>
      <c r="D15" s="2868"/>
      <c r="E15" s="2869"/>
      <c r="F15" s="2871">
        <f>'数据-取费表'!B34</f>
        <v>0.05</v>
      </c>
      <c r="G15" s="2836" t="s">
        <v>483</v>
      </c>
      <c r="H15" s="2837"/>
      <c r="I15" s="2837"/>
      <c r="J15" s="2837"/>
      <c r="K15" s="2838"/>
    </row>
    <row r="16" spans="1:31" s="2117" customFormat="1" ht="13.5" customHeight="1">
      <c r="A16" s="2866" t="s">
        <v>1852</v>
      </c>
      <c r="B16" s="2867" t="s">
        <v>484</v>
      </c>
      <c r="C16" s="53">
        <f ca="1">ROUND(D16*E16/10000,0)</f>
        <v>1350</v>
      </c>
      <c r="D16" s="2868">
        <f ca="1">IF(B1="",'数据-汇总表'!E3,INDIRECT("'数据-取费表'!K"&amp;$K$1)+INDIRECT("'数据-取费表'!S"&amp;$K$1))</f>
        <v>67516.63</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1853</v>
      </c>
      <c r="B17" s="2867" t="s">
        <v>485</v>
      </c>
      <c r="C17" s="2872">
        <f ca="1">ROUND(C13*F17,0)</f>
        <v>304</v>
      </c>
      <c r="D17" s="475"/>
      <c r="E17" s="2872"/>
      <c r="F17" s="2873">
        <f>'数据-取费表'!B36</f>
        <v>1.4999999999999999E-2</v>
      </c>
      <c r="G17" s="261" t="s">
        <v>486</v>
      </c>
      <c r="H17" s="2839"/>
      <c r="I17" s="2839"/>
      <c r="J17" s="2839"/>
      <c r="K17" s="279"/>
    </row>
    <row r="18" spans="1:14" s="2116" customFormat="1" ht="13.5" customHeight="1">
      <c r="A18" s="2874" t="s">
        <v>1854</v>
      </c>
      <c r="B18" s="2875" t="s">
        <v>487</v>
      </c>
      <c r="C18" s="2876">
        <f ca="1">SUM(C13:C17)</f>
        <v>23372</v>
      </c>
      <c r="D18" s="2877"/>
      <c r="E18" s="468"/>
      <c r="F18" s="468"/>
      <c r="G18" s="2840" t="s">
        <v>2430</v>
      </c>
      <c r="H18" s="2841"/>
      <c r="I18" s="2841"/>
      <c r="J18" s="2841"/>
      <c r="K18" s="2842"/>
    </row>
    <row r="19" spans="1:14" s="2116" customFormat="1" ht="13.5" customHeight="1">
      <c r="A19" s="2874" t="s">
        <v>1855</v>
      </c>
      <c r="B19" s="2875" t="s">
        <v>488</v>
      </c>
      <c r="C19" s="2832">
        <f ca="1">ROUND(D19*E19/10000,0)</f>
        <v>0</v>
      </c>
      <c r="D19" s="2878">
        <f ca="1">D16</f>
        <v>67516.63</v>
      </c>
      <c r="E19" s="2832">
        <f>'数据-取费表'!B32</f>
        <v>0</v>
      </c>
      <c r="F19" s="468"/>
      <c r="G19" s="2836" t="s">
        <v>489</v>
      </c>
      <c r="H19" s="2837"/>
      <c r="I19" s="2841"/>
      <c r="J19" s="2841"/>
      <c r="K19" s="2842"/>
    </row>
    <row r="20" spans="1:14" s="2116" customFormat="1" ht="13.5" customHeight="1">
      <c r="A20" s="2874" t="s">
        <v>1856</v>
      </c>
      <c r="B20" s="2875" t="s">
        <v>490</v>
      </c>
      <c r="C20" s="2832">
        <f ca="1">C21+C22-IF(B1="",'数据-取费表'!B29,IF(G20="已全部缴纳",C21+C22,H20))</f>
        <v>811</v>
      </c>
      <c r="D20" s="2878"/>
      <c r="E20" s="2832"/>
      <c r="F20" s="2879"/>
      <c r="G20" s="3112"/>
      <c r="H20" s="2834"/>
      <c r="I20" s="2835" t="s">
        <v>2651</v>
      </c>
      <c r="J20" s="2841"/>
      <c r="K20" s="2842"/>
    </row>
    <row r="21" spans="1:14" s="2116" customFormat="1" ht="13.5" customHeight="1">
      <c r="A21" s="2866" t="s">
        <v>1857</v>
      </c>
      <c r="B21" s="2867" t="s">
        <v>491</v>
      </c>
      <c r="C21" s="53">
        <f ca="1">ROUND(D21*E21/10000,0)</f>
        <v>685</v>
      </c>
      <c r="D21" s="2868">
        <f ca="1">IF(B1="",'数据-汇总表'!E5,IF(INDIRECT("'数据-取费表'!c"&amp;$K$1)="住宅",INDIRECT("'数据-取费表'!k"&amp;$K$1),0))</f>
        <v>57055.89</v>
      </c>
      <c r="E21" s="53">
        <f>'数据-取费表'!B27</f>
        <v>120</v>
      </c>
      <c r="F21" s="2871"/>
      <c r="G21" s="26"/>
      <c r="H21" s="51"/>
      <c r="I21" s="51"/>
      <c r="J21" s="51"/>
      <c r="K21" s="2843"/>
    </row>
    <row r="22" spans="1:14" s="2116" customFormat="1" ht="13.5" customHeight="1">
      <c r="A22" s="2866" t="s">
        <v>1858</v>
      </c>
      <c r="B22" s="2867" t="s">
        <v>492</v>
      </c>
      <c r="C22" s="53">
        <f ca="1">ROUND(D22*E22/10000,0)</f>
        <v>126</v>
      </c>
      <c r="D22" s="2868">
        <f ca="1">IF(B1="",'数据-汇总表'!E6,IF(INDIRECT("'数据-取费表'!c"&amp;$K$1)="住宅",INDIRECT("'数据-取费表'!s"&amp;$K$1),INDIRECT("'数据-取费表'!k"&amp;$K$1)+INDIRECT("'数据-取费表'!s"&amp;$K$1)))</f>
        <v>10460.740000000005</v>
      </c>
      <c r="E22" s="53">
        <f>'数据-取费表'!B28</f>
        <v>120</v>
      </c>
      <c r="F22" s="2871"/>
      <c r="G22" s="26"/>
      <c r="H22" s="51"/>
      <c r="I22" s="51"/>
      <c r="J22" s="51"/>
      <c r="K22" s="2843"/>
    </row>
    <row r="23" spans="1:14" s="2116" customFormat="1" ht="13.5" customHeight="1">
      <c r="A23" s="2874" t="s">
        <v>1859</v>
      </c>
      <c r="B23" s="3058" t="s">
        <v>2834</v>
      </c>
      <c r="C23" s="2876">
        <f ca="1">ROUND((C18+C19+C20)*F23,0)</f>
        <v>484</v>
      </c>
      <c r="D23" s="468"/>
      <c r="E23" s="468"/>
      <c r="F23" s="2880">
        <f>'数据-取费表'!B37</f>
        <v>0.02</v>
      </c>
      <c r="G23" s="2836" t="s">
        <v>2431</v>
      </c>
      <c r="H23" s="2837"/>
      <c r="I23" s="2837"/>
      <c r="J23" s="2837"/>
      <c r="K23" s="2838"/>
      <c r="L23" s="2118"/>
      <c r="M23" s="2118"/>
      <c r="N23" s="2118"/>
    </row>
    <row r="24" spans="1:14" s="2116" customFormat="1" ht="13.5" customHeight="1">
      <c r="A24" s="2874" t="s">
        <v>1860</v>
      </c>
      <c r="B24" s="3058" t="s">
        <v>2837</v>
      </c>
      <c r="C24" s="2876">
        <f ca="1">ROUND(C6*F24,0)</f>
        <v>4073</v>
      </c>
      <c r="D24" s="475"/>
      <c r="E24" s="473"/>
      <c r="F24" s="2880">
        <f>'数据-取费表'!B38</f>
        <v>0.03</v>
      </c>
      <c r="G24" s="2845" t="s">
        <v>499</v>
      </c>
      <c r="H24" s="2839"/>
      <c r="I24" s="2839"/>
      <c r="J24" s="2839"/>
      <c r="K24" s="279"/>
      <c r="L24" s="2118"/>
      <c r="M24" s="2118"/>
      <c r="N24" s="2118"/>
    </row>
    <row r="25" spans="1:14" s="2119" customFormat="1" ht="13.5" customHeight="1">
      <c r="A25" s="2874" t="s">
        <v>1861</v>
      </c>
      <c r="B25" s="3058" t="s">
        <v>2835</v>
      </c>
      <c r="C25" s="467">
        <f>ROUND(F25/(1+'数据-取费表'!C42),4)</f>
        <v>2.9000000000000001E-2</v>
      </c>
      <c r="D25" s="462" t="s">
        <v>2829</v>
      </c>
      <c r="E25" s="469"/>
      <c r="F25" s="2880">
        <f>'数据-取费表'!B48+'数据-取费表'!B49</f>
        <v>3.0499999999999999E-2</v>
      </c>
      <c r="G25" s="2844" t="s">
        <v>2289</v>
      </c>
      <c r="H25" s="2837"/>
      <c r="I25" s="2837"/>
      <c r="J25" s="2837"/>
      <c r="K25" s="2838"/>
    </row>
    <row r="26" spans="1:14" s="2118" customFormat="1" ht="13.5" customHeight="1">
      <c r="A26" s="2874" t="s">
        <v>1862</v>
      </c>
      <c r="B26" s="3059" t="s">
        <v>2836</v>
      </c>
      <c r="C26" s="2881">
        <f ca="1">C28</f>
        <v>1365</v>
      </c>
      <c r="D26" s="467">
        <f ca="1">C27</f>
        <v>0.10009999999999999</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3" t="s">
        <v>1857</v>
      </c>
      <c r="B27" s="2882" t="s">
        <v>496</v>
      </c>
      <c r="C27" s="2883">
        <f ca="1">ROUND(IF('数据-取费表'!B22&lt;=1,(1+C25)*F26*'数据-取费表'!B24,(1+C25)*(POWER((1+F26),'数据-取费表'!B24)-1)),4)</f>
        <v>0.10009999999999999</v>
      </c>
      <c r="D27" s="472"/>
      <c r="E27" s="473"/>
      <c r="F27" s="474"/>
      <c r="G27" s="2596" t="str">
        <f>IF('数据-取费表'!B22&lt;=1,"（1+取得税费率/(1+5%)）×年利率×建设期","（1+取得税费率）/(1+5%)×((1+年利率)^建设期-1)")</f>
        <v>（1+取得税费率）/(1+5%)×((1+年利率)^建设期-1)</v>
      </c>
      <c r="H27" s="2839"/>
      <c r="I27" s="2839"/>
      <c r="J27" s="2839"/>
      <c r="K27" s="279"/>
    </row>
    <row r="28" spans="1:14" s="2120" customFormat="1" ht="13.5" customHeight="1">
      <c r="A28" s="803" t="s">
        <v>1858</v>
      </c>
      <c r="B28" s="2882" t="s">
        <v>2838</v>
      </c>
      <c r="C28" s="2884">
        <f ca="1">ROUND(IF('数据-取费表'!B22&lt;=1,(C18+C19+C20+C23+C24)*F26*'数据-取费表'!B24/2,(C18+C19+C20+C23+C24)*(POWER((1+F26),'数据-取费表'!B24/2)-1)),0)</f>
        <v>1365</v>
      </c>
      <c r="D28" s="472"/>
      <c r="E28" s="473"/>
      <c r="F28" s="474"/>
      <c r="G28" s="2596" t="str">
        <f>IF('数据-取费表'!B22&lt;=1,"（1）-（4）项×年利率×建设期÷2","（1）-（4）项×((1+年利率)^(建设期÷2)-1)")</f>
        <v>（1）-（4）项×((1+年利率)^(建设期÷2)-1)</v>
      </c>
      <c r="H28" s="2839"/>
      <c r="I28" s="2839"/>
      <c r="J28" s="2839"/>
      <c r="K28" s="279"/>
    </row>
    <row r="29" spans="1:14" s="2120" customFormat="1" ht="13.5" customHeight="1">
      <c r="A29" s="2885" t="s">
        <v>1863</v>
      </c>
      <c r="B29" s="2875" t="s">
        <v>497</v>
      </c>
      <c r="C29" s="2876">
        <f ca="1">ROUND(C6*F29/(1+'数据-取费表'!C42),0)</f>
        <v>7241</v>
      </c>
      <c r="D29" s="468"/>
      <c r="E29" s="468"/>
      <c r="F29" s="3060">
        <f>'数据-取费表'!B41</f>
        <v>5.6000000000000001E-2</v>
      </c>
      <c r="G29" s="2845" t="s">
        <v>498</v>
      </c>
      <c r="H29" s="2837"/>
      <c r="I29" s="2837"/>
      <c r="J29" s="2837"/>
      <c r="K29" s="2838"/>
    </row>
    <row r="30" spans="1:14" s="2121" customFormat="1" ht="13.5" customHeight="1">
      <c r="A30" s="1636" t="s">
        <v>1864</v>
      </c>
      <c r="B30" s="2886" t="s">
        <v>500</v>
      </c>
      <c r="C30" s="2881">
        <f ca="1">C31</f>
        <v>37346</v>
      </c>
      <c r="D30" s="477">
        <f ca="1">C32</f>
        <v>0.12909999999999999</v>
      </c>
      <c r="E30" s="469" t="s">
        <v>495</v>
      </c>
      <c r="F30" s="471"/>
      <c r="G30" s="2844" t="s">
        <v>2971</v>
      </c>
      <c r="H30" s="2837"/>
      <c r="I30" s="2837"/>
      <c r="J30" s="2837"/>
      <c r="K30" s="2838"/>
    </row>
    <row r="31" spans="1:14" s="2120" customFormat="1" ht="13.5" customHeight="1">
      <c r="A31" s="803" t="s">
        <v>1857</v>
      </c>
      <c r="B31" s="2882"/>
      <c r="C31" s="450">
        <f ca="1">C18+C19+C20+C23+C24+C26+C29</f>
        <v>37346</v>
      </c>
      <c r="D31" s="472"/>
      <c r="E31" s="473"/>
      <c r="F31" s="474"/>
      <c r="G31" s="261"/>
      <c r="H31" s="2839"/>
      <c r="I31" s="2839"/>
      <c r="J31" s="2839"/>
      <c r="K31" s="279"/>
    </row>
    <row r="32" spans="1:14" s="2120" customFormat="1" ht="13.5" customHeight="1">
      <c r="A32" s="803" t="s">
        <v>1858</v>
      </c>
      <c r="B32" s="2882"/>
      <c r="C32" s="53">
        <f ca="1">ROUND(C25+D26,4)</f>
        <v>0.12909999999999999</v>
      </c>
      <c r="D32" s="472"/>
      <c r="E32" s="473"/>
      <c r="F32" s="474"/>
      <c r="G32" s="261"/>
      <c r="H32" s="2839"/>
      <c r="I32" s="2839"/>
      <c r="J32" s="2839"/>
      <c r="K32" s="279"/>
    </row>
    <row r="33" spans="1:11" s="2122" customFormat="1" ht="13.5" customHeight="1">
      <c r="A33" s="3057" t="s">
        <v>2833</v>
      </c>
      <c r="B33" s="3055" t="s">
        <v>2831</v>
      </c>
      <c r="C33" s="478">
        <f ca="1">C35</f>
        <v>7185</v>
      </c>
      <c r="D33" s="467">
        <f ca="1">C34</f>
        <v>0.25729999999999997</v>
      </c>
      <c r="E33" s="469" t="s">
        <v>495</v>
      </c>
      <c r="F33" s="479">
        <f ca="1">IF(B1="",'数据-取费表'!Q16,INDIRECT("'数据-取费表'!q"&amp;$K$1))</f>
        <v>0.25</v>
      </c>
      <c r="G33" s="2840"/>
      <c r="H33" s="2841"/>
      <c r="I33" s="2841"/>
      <c r="J33" s="2841"/>
      <c r="K33" s="2842"/>
    </row>
    <row r="34" spans="1:11" s="2123" customFormat="1" ht="13.5" customHeight="1">
      <c r="A34" s="375" t="s">
        <v>1857</v>
      </c>
      <c r="B34" s="2887" t="s">
        <v>501</v>
      </c>
      <c r="C34" s="472">
        <f ca="1">ROUND((1+C25)*F33,4)</f>
        <v>0.25729999999999997</v>
      </c>
      <c r="D34" s="472"/>
      <c r="E34" s="473"/>
      <c r="F34" s="480"/>
      <c r="G34" s="261" t="s">
        <v>2290</v>
      </c>
      <c r="H34" s="2839"/>
      <c r="I34" s="2839"/>
      <c r="J34" s="2839"/>
      <c r="K34" s="279"/>
    </row>
    <row r="35" spans="1:11" s="2123" customFormat="1" ht="13.5" customHeight="1" thickBot="1">
      <c r="A35" s="1637" t="s">
        <v>1858</v>
      </c>
      <c r="B35" s="3056" t="s">
        <v>2839</v>
      </c>
      <c r="C35" s="1629">
        <f ca="1">ROUND((C18+C19+C20+C23+C24)*F33,0)</f>
        <v>7185</v>
      </c>
      <c r="D35" s="1630"/>
      <c r="E35" s="2888"/>
      <c r="F35" s="1631"/>
      <c r="G35" s="2846"/>
      <c r="H35" s="2847"/>
      <c r="I35" s="2847"/>
      <c r="J35" s="2847"/>
      <c r="K35" s="2848"/>
    </row>
    <row r="36" spans="1:11" s="2085" customFormat="1" ht="13.5" customHeight="1" thickBot="1">
      <c r="A36" s="284" t="s">
        <v>1845</v>
      </c>
      <c r="B36" s="2850"/>
      <c r="C36" s="2889">
        <f ca="1">ROUND((C6-C30-C33)/(1+D30+D33),0)</f>
        <v>65806</v>
      </c>
      <c r="D36" s="2850"/>
      <c r="E36" s="2850"/>
      <c r="F36" s="2850"/>
      <c r="G36" s="2849" t="s">
        <v>2840</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27" t="str">
        <f>项目基本情况!B1</f>
        <v>广东省汕头市龙湖区海湾公园片区（335-00-02-096）出让国有建设用地使用权市场价格预评估</v>
      </c>
      <c r="C37" s="3227"/>
      <c r="D37" s="3227"/>
      <c r="E37" s="3227"/>
      <c r="F37" s="3227"/>
      <c r="G37" s="3227"/>
      <c r="H37" s="3227"/>
      <c r="I37" s="3227"/>
    </row>
    <row r="38" spans="1:9">
      <c r="A38" s="1657"/>
      <c r="B38" s="1657"/>
    </row>
    <row r="39" spans="1:9">
      <c r="A39" s="1655" t="s">
        <v>1902</v>
      </c>
      <c r="B39" s="1655" t="s">
        <v>2046</v>
      </c>
    </row>
    <row r="40" spans="1:9">
      <c r="A40" s="1655"/>
      <c r="B40" s="1655" t="str">
        <f>项目基本情况!B5</f>
        <v>广东锦峰地产投资有限公司</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梁津、王鹏</v>
      </c>
    </row>
    <row r="47" spans="1:9">
      <c r="A47" s="1655"/>
      <c r="B47" s="1655"/>
    </row>
    <row r="48" spans="1:9">
      <c r="A48" s="1655" t="s">
        <v>1902</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3"/>
      <c r="C1" s="2104"/>
      <c r="D1" s="2104"/>
      <c r="E1" s="2104"/>
      <c r="F1" s="2104"/>
      <c r="G1" s="2104"/>
      <c r="H1" s="2104"/>
      <c r="I1" s="2104"/>
      <c r="J1" s="2104"/>
      <c r="K1" s="422">
        <f>MATCH(B1,'数据-取费表'!A6:A16,0)+5</f>
        <v>9</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2652</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1848</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1865</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1849</v>
      </c>
      <c r="B13" s="449" t="s">
        <v>479</v>
      </c>
      <c r="C13" s="450">
        <f ca="1">IF(B1="",'数据-取费表'!M16,INDIRECT("'数据-取费表'!M"&amp;$K$1)+INDIRECT("'数据-取费表'!t"&amp;$K$1))</f>
        <v>20254</v>
      </c>
      <c r="D13" s="451"/>
      <c r="E13" s="365"/>
      <c r="F13" s="452"/>
      <c r="G13" s="444"/>
      <c r="H13" s="447"/>
      <c r="I13" s="447"/>
      <c r="J13" s="447"/>
      <c r="K13" s="448"/>
    </row>
    <row r="14" spans="1:41" s="2116" customFormat="1" ht="13.5" customHeight="1">
      <c r="A14" s="1634" t="s">
        <v>1850</v>
      </c>
      <c r="B14" s="449" t="s">
        <v>480</v>
      </c>
      <c r="C14" s="53">
        <f ca="1">ROUND(C13*F14,0)</f>
        <v>608</v>
      </c>
      <c r="D14" s="451"/>
      <c r="E14" s="365"/>
      <c r="F14" s="453">
        <f>'数据-取费表'!B33</f>
        <v>0.03</v>
      </c>
      <c r="G14" s="444" t="s">
        <v>502</v>
      </c>
      <c r="H14" s="447"/>
      <c r="I14" s="447"/>
      <c r="J14" s="447"/>
      <c r="K14" s="448"/>
    </row>
    <row r="15" spans="1:41" s="2116" customFormat="1" ht="13.5" customHeight="1">
      <c r="A15" s="1634" t="s">
        <v>1851</v>
      </c>
      <c r="B15" s="449" t="s">
        <v>482</v>
      </c>
      <c r="C15" s="53">
        <f ca="1">ROUND(IF(B1="",SUMIF('数据-取费表'!C:C,"住宅",'数据-取费表'!M:M)*F15,IF(INDIRECT("'数据-取费表'!c"&amp;$K$1)="住宅",INDIRECT("'数据-取费表'!M"&amp;$K$1)*F15,0)),0)</f>
        <v>856</v>
      </c>
      <c r="D15" s="451"/>
      <c r="E15" s="365"/>
      <c r="F15" s="453">
        <f>'数据-取费表'!B34</f>
        <v>0.05</v>
      </c>
      <c r="G15" s="444" t="s">
        <v>502</v>
      </c>
      <c r="H15" s="447"/>
      <c r="I15" s="447"/>
      <c r="J15" s="447"/>
      <c r="K15" s="448"/>
    </row>
    <row r="16" spans="1:41" s="2117" customFormat="1" ht="13.5" customHeight="1">
      <c r="A16" s="1634" t="s">
        <v>1852</v>
      </c>
      <c r="B16" s="449" t="s">
        <v>484</v>
      </c>
      <c r="C16" s="53">
        <f ca="1">ROUND(D16*E16/10000,0)</f>
        <v>1350</v>
      </c>
      <c r="D16" s="451">
        <f ca="1">IF(B1="",'数据-汇总表'!E3,INDIRECT("'数据-取费表'!K"&amp;$K$1)+INDIRECT("'数据-取费表'!S"&amp;$K$1))</f>
        <v>67516.63</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1853</v>
      </c>
      <c r="B17" s="449" t="s">
        <v>485</v>
      </c>
      <c r="C17" s="454">
        <f ca="1">ROUND(C13*F17,0)</f>
        <v>304</v>
      </c>
      <c r="D17" s="455"/>
      <c r="E17" s="454"/>
      <c r="F17" s="456">
        <f>'数据-取费表'!B36</f>
        <v>1.4999999999999999E-2</v>
      </c>
      <c r="G17" s="444" t="s">
        <v>502</v>
      </c>
      <c r="H17" s="457"/>
      <c r="I17" s="457"/>
      <c r="J17" s="457"/>
      <c r="K17" s="458"/>
    </row>
    <row r="18" spans="1:14" s="2119" customFormat="1" ht="13.5" customHeight="1">
      <c r="A18" s="1635" t="s">
        <v>1854</v>
      </c>
      <c r="B18" s="459" t="s">
        <v>487</v>
      </c>
      <c r="C18" s="460">
        <f ca="1">SUM(C13:C17)</f>
        <v>23372</v>
      </c>
      <c r="D18" s="461"/>
      <c r="E18" s="462"/>
      <c r="F18" s="462"/>
      <c r="G18" s="1327" t="s">
        <v>2432</v>
      </c>
      <c r="H18" s="447"/>
      <c r="I18" s="447"/>
      <c r="J18" s="447"/>
      <c r="K18" s="448"/>
    </row>
    <row r="19" spans="1:14" s="2119" customFormat="1" ht="13.5" customHeight="1">
      <c r="A19" s="1635" t="s">
        <v>1855</v>
      </c>
      <c r="B19" s="459" t="s">
        <v>493</v>
      </c>
      <c r="C19" s="460">
        <f ca="1">ROUND(C18*F19,0)</f>
        <v>467</v>
      </c>
      <c r="D19" s="462"/>
      <c r="E19" s="462"/>
      <c r="F19" s="466">
        <f>'数据-取费表'!B37</f>
        <v>0.02</v>
      </c>
      <c r="G19" s="444" t="s">
        <v>503</v>
      </c>
      <c r="H19" s="447"/>
      <c r="I19" s="447"/>
      <c r="J19" s="447"/>
      <c r="K19" s="448"/>
      <c r="L19" s="2121"/>
      <c r="M19" s="2121"/>
      <c r="N19" s="2121"/>
    </row>
    <row r="20" spans="1:14" s="2119" customFormat="1" ht="13.5" customHeight="1">
      <c r="A20" s="1635" t="s">
        <v>1856</v>
      </c>
      <c r="B20" s="459" t="s">
        <v>504</v>
      </c>
      <c r="C20" s="3053">
        <f>F20</f>
        <v>0.03</v>
      </c>
      <c r="D20" s="469" t="s">
        <v>505</v>
      </c>
      <c r="E20" s="469"/>
      <c r="F20" s="486">
        <f>'数据-取费表'!B38</f>
        <v>0.03</v>
      </c>
      <c r="G20" s="1327" t="s">
        <v>506</v>
      </c>
      <c r="H20" s="447"/>
      <c r="I20" s="447"/>
      <c r="J20" s="447"/>
      <c r="K20" s="448"/>
      <c r="L20" s="2121"/>
      <c r="M20" s="2121"/>
      <c r="N20" s="2121"/>
    </row>
    <row r="21" spans="1:14" s="2121" customFormat="1" ht="13.5" customHeight="1">
      <c r="A21" s="1635" t="s">
        <v>1859</v>
      </c>
      <c r="B21" s="461" t="s">
        <v>494</v>
      </c>
      <c r="C21" s="470">
        <f ca="1">C22</f>
        <v>1132</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2454</v>
      </c>
    </row>
    <row r="22" spans="1:14" s="2120" customFormat="1" ht="13.5" customHeight="1">
      <c r="A22" s="1634" t="s">
        <v>1849</v>
      </c>
      <c r="B22" s="1328" t="s">
        <v>2435</v>
      </c>
      <c r="C22" s="487">
        <f ca="1">ROUND(IF('数据-取费表'!B22&lt;=1,(C18+C19)*F21*'数据-取费表'!B20/2,(C18+C19)*(POWER((1+F21),'数据-取费表'!B20/2)-1)),0)</f>
        <v>1132</v>
      </c>
      <c r="D22" s="472"/>
      <c r="E22" s="473"/>
      <c r="F22" s="474"/>
      <c r="G22" s="2591" t="str">
        <f>IF('数据-取费表'!B22&lt;=1,"((1)+(2))×年利率×建设期÷2","((1)+(2))×((1+年利率)^(建设期÷2)-1)")</f>
        <v>((1)+(2))×((1+年利率)^(建设期÷2)-1)</v>
      </c>
      <c r="H22" s="457"/>
      <c r="I22" s="457"/>
      <c r="J22" s="457"/>
      <c r="K22" s="458"/>
    </row>
    <row r="23" spans="1:14" s="2120" customFormat="1" ht="13.5" customHeight="1">
      <c r="A23" s="1634" t="s">
        <v>1850</v>
      </c>
      <c r="B23" s="1328" t="s">
        <v>508</v>
      </c>
      <c r="C23" s="488">
        <f ca="1">ROUND(IF('数据-取费表'!B22&lt;=1,F20*F21*'数据-取费表'!B20/2,F20*(POWER((1+F21),'数据-取费表'!B20/2)-1)),4)</f>
        <v>1.4E-3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5" t="s">
        <v>1860</v>
      </c>
      <c r="B24" s="3055" t="s">
        <v>2832</v>
      </c>
      <c r="C24" s="478">
        <f ca="1">C25</f>
        <v>5960</v>
      </c>
      <c r="D24" s="489">
        <f ca="1">C26</f>
        <v>7.4999999999999997E-3</v>
      </c>
      <c r="E24" s="469" t="s">
        <v>507</v>
      </c>
      <c r="F24" s="479">
        <f ca="1">IF(B1="",'数据-取费表'!Q16,INDIRECT("'数据-取费表'!q"&amp;$K$1))</f>
        <v>0.25</v>
      </c>
      <c r="G24" s="444"/>
      <c r="H24" s="447"/>
      <c r="I24" s="447"/>
      <c r="J24" s="447"/>
      <c r="K24" s="448"/>
    </row>
    <row r="25" spans="1:14" s="2120" customFormat="1" ht="13.5" customHeight="1">
      <c r="A25" s="1634" t="s">
        <v>1849</v>
      </c>
      <c r="B25" s="1328" t="s">
        <v>2436</v>
      </c>
      <c r="C25" s="490">
        <f ca="1">ROUND((C18+C19)*F24,0)</f>
        <v>5960</v>
      </c>
      <c r="D25" s="472"/>
      <c r="E25" s="473"/>
      <c r="F25" s="480"/>
      <c r="G25" s="1326" t="s">
        <v>2433</v>
      </c>
      <c r="H25" s="457"/>
      <c r="I25" s="457"/>
      <c r="J25" s="457"/>
      <c r="K25" s="458"/>
    </row>
    <row r="26" spans="1:14" s="2120" customFormat="1" ht="13.5" customHeight="1">
      <c r="A26" s="1634" t="s">
        <v>1850</v>
      </c>
      <c r="B26" s="1328" t="s">
        <v>509</v>
      </c>
      <c r="C26" s="491">
        <f ca="1">ROUND(F20*F24,4)</f>
        <v>7.4999999999999997E-3</v>
      </c>
      <c r="D26" s="472"/>
      <c r="E26" s="481"/>
      <c r="F26" s="480"/>
      <c r="G26" s="1326" t="s">
        <v>510</v>
      </c>
      <c r="H26" s="457"/>
      <c r="I26" s="457"/>
      <c r="J26" s="457"/>
      <c r="K26" s="458"/>
    </row>
    <row r="27" spans="1:14" s="2120" customFormat="1" ht="13.5" customHeight="1">
      <c r="A27" s="1638" t="s">
        <v>1868</v>
      </c>
      <c r="B27" s="459" t="s">
        <v>511</v>
      </c>
      <c r="C27" s="3054">
        <f>ROUND(F27/(1+'数据-取费表'!C42),4)</f>
        <v>5.33E-2</v>
      </c>
      <c r="D27" s="462" t="s">
        <v>2830</v>
      </c>
      <c r="E27" s="462"/>
      <c r="F27" s="466">
        <f>'数据-取费表'!B41</f>
        <v>5.6000000000000001E-2</v>
      </c>
      <c r="G27" s="1960" t="s">
        <v>2291</v>
      </c>
      <c r="H27" s="447"/>
      <c r="I27" s="447"/>
      <c r="J27" s="447"/>
      <c r="K27" s="448"/>
    </row>
    <row r="28" spans="1:14" s="2121" customFormat="1" ht="13.5" customHeight="1">
      <c r="A28" s="1638" t="s">
        <v>1869</v>
      </c>
      <c r="B28" s="476" t="s">
        <v>512</v>
      </c>
      <c r="C28" s="470">
        <f ca="1">ROUND((C18+C19+C21+C24)/(1-C20-D21-D24-C27),0)</f>
        <v>34072</v>
      </c>
      <c r="D28" s="477"/>
      <c r="E28" s="469"/>
      <c r="F28" s="471"/>
      <c r="G28" s="1327" t="s">
        <v>2434</v>
      </c>
      <c r="H28" s="447"/>
      <c r="I28" s="447"/>
      <c r="J28" s="447"/>
      <c r="K28" s="448"/>
    </row>
    <row r="29" spans="1:14" s="2121"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506" t="s">
        <v>1866</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7"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401" t="s">
        <v>522</v>
      </c>
      <c r="D6" s="3402"/>
      <c r="E6" s="3438" t="s">
        <v>523</v>
      </c>
      <c r="F6" s="3439"/>
      <c r="G6" s="3401" t="s">
        <v>524</v>
      </c>
      <c r="H6" s="3402"/>
      <c r="I6" s="3401" t="s">
        <v>525</v>
      </c>
      <c r="J6" s="3402"/>
      <c r="K6" s="514" t="s">
        <v>526</v>
      </c>
      <c r="L6" s="2133"/>
      <c r="M6" s="2134"/>
      <c r="N6" s="2134"/>
      <c r="O6" s="2134"/>
      <c r="P6" s="3403" t="s">
        <v>527</v>
      </c>
      <c r="Q6" s="3404"/>
      <c r="R6" s="3409" t="s">
        <v>523</v>
      </c>
      <c r="S6" s="3410"/>
      <c r="T6" s="3409" t="s">
        <v>524</v>
      </c>
      <c r="U6" s="3410"/>
      <c r="V6" s="3396" t="s">
        <v>525</v>
      </c>
      <c r="W6" s="3396"/>
      <c r="X6" s="1568"/>
      <c r="Y6" s="3409" t="s">
        <v>527</v>
      </c>
      <c r="Z6" s="3410"/>
      <c r="AA6" s="3398" t="s">
        <v>523</v>
      </c>
      <c r="AB6" s="3399" t="s">
        <v>524</v>
      </c>
      <c r="AC6" s="3398" t="s">
        <v>525</v>
      </c>
    </row>
    <row r="7" spans="1:29" ht="15">
      <c r="A7" s="515"/>
      <c r="B7" s="516"/>
      <c r="C7" s="3419" t="s">
        <v>2926</v>
      </c>
      <c r="D7" s="3418"/>
      <c r="E7" s="3440" t="s">
        <v>2927</v>
      </c>
      <c r="F7" s="3441"/>
      <c r="G7" s="3419" t="s">
        <v>2928</v>
      </c>
      <c r="H7" s="3418"/>
      <c r="I7" s="3419" t="s">
        <v>2929</v>
      </c>
      <c r="J7" s="3418"/>
      <c r="K7" s="514"/>
      <c r="L7" s="2133"/>
      <c r="M7" s="2134"/>
      <c r="N7" s="2134"/>
      <c r="O7" s="2134"/>
      <c r="P7" s="3405"/>
      <c r="Q7" s="3406"/>
      <c r="R7" s="3411"/>
      <c r="S7" s="3412"/>
      <c r="T7" s="3411"/>
      <c r="U7" s="3412"/>
      <c r="V7" s="3396"/>
      <c r="W7" s="3396"/>
      <c r="X7" s="1568"/>
      <c r="Y7" s="3411"/>
      <c r="Z7" s="3412"/>
      <c r="AA7" s="3399"/>
      <c r="AB7" s="3399"/>
      <c r="AC7" s="3399"/>
    </row>
    <row r="8" spans="1:29" ht="15.75" thickBot="1">
      <c r="A8" s="517"/>
      <c r="B8" s="518"/>
      <c r="C8" s="3435" t="s">
        <v>2930</v>
      </c>
      <c r="D8" s="3416"/>
      <c r="E8" s="3436" t="s">
        <v>2930</v>
      </c>
      <c r="F8" s="3437"/>
      <c r="G8" s="3435" t="s">
        <v>2930</v>
      </c>
      <c r="H8" s="3416"/>
      <c r="I8" s="3435" t="s">
        <v>2930</v>
      </c>
      <c r="J8" s="3416"/>
      <c r="K8" s="514" t="s">
        <v>528</v>
      </c>
      <c r="L8" s="2133"/>
      <c r="M8" s="2134"/>
      <c r="N8" s="2134"/>
      <c r="O8" s="2134"/>
      <c r="P8" s="3407"/>
      <c r="Q8" s="3408"/>
      <c r="R8" s="3411"/>
      <c r="S8" s="3412"/>
      <c r="T8" s="3413"/>
      <c r="U8" s="3414"/>
      <c r="V8" s="3396"/>
      <c r="W8" s="3396"/>
      <c r="X8" s="1568"/>
      <c r="Y8" s="3413"/>
      <c r="Z8" s="3414"/>
      <c r="AA8" s="3400"/>
      <c r="AB8" s="3400"/>
      <c r="AC8" s="3400"/>
    </row>
    <row r="9" spans="1:29" s="1220" customFormat="1" ht="15.75" thickBot="1">
      <c r="A9" s="2936"/>
      <c r="B9" s="2943" t="s">
        <v>529</v>
      </c>
      <c r="C9" s="519">
        <f>'数据-取费表'!B2</f>
        <v>43244</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28" t="s">
        <v>530</v>
      </c>
      <c r="Q9" s="3430"/>
      <c r="R9" s="1569" t="s">
        <v>8</v>
      </c>
      <c r="S9" s="1570">
        <f t="shared" ref="S9:S17" si="0">F9</f>
        <v>0</v>
      </c>
      <c r="T9" s="1569" t="s">
        <v>8</v>
      </c>
      <c r="U9" s="1570">
        <f t="shared" ref="U9:U17" si="1">H9</f>
        <v>0</v>
      </c>
      <c r="V9" s="1569" t="s">
        <v>8</v>
      </c>
      <c r="W9" s="1570">
        <f t="shared" ref="W9:W17" si="2">J9</f>
        <v>0</v>
      </c>
      <c r="X9" s="1571"/>
      <c r="Y9" s="3428" t="s">
        <v>530</v>
      </c>
      <c r="Z9" s="3429"/>
      <c r="AA9" s="1572" t="e">
        <f>D9/F9</f>
        <v>#DIV/0!</v>
      </c>
      <c r="AB9" s="1572" t="e">
        <f>D9/H9</f>
        <v>#DIV/0!</v>
      </c>
      <c r="AC9" s="1572" t="e">
        <f>D9/J9</f>
        <v>#DIV/0!</v>
      </c>
    </row>
    <row r="10" spans="1:29" s="1220" customFormat="1" ht="15.75" thickBot="1">
      <c r="A10" s="2937"/>
      <c r="B10" s="294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28" t="s">
        <v>533</v>
      </c>
      <c r="Q10" s="3429"/>
      <c r="R10" s="1569" t="s">
        <v>8</v>
      </c>
      <c r="S10" s="1570">
        <f t="shared" si="0"/>
        <v>0</v>
      </c>
      <c r="T10" s="1569" t="s">
        <v>8</v>
      </c>
      <c r="U10" s="1570">
        <f t="shared" si="1"/>
        <v>0</v>
      </c>
      <c r="V10" s="1569" t="s">
        <v>8</v>
      </c>
      <c r="W10" s="1570">
        <f t="shared" si="2"/>
        <v>0</v>
      </c>
      <c r="X10" s="1571"/>
      <c r="Y10" s="3428" t="s">
        <v>533</v>
      </c>
      <c r="Z10" s="3429"/>
      <c r="AA10" s="1572" t="e">
        <f t="shared" ref="AA10:AA42" si="3">D10/F10</f>
        <v>#DIV/0!</v>
      </c>
      <c r="AB10" s="1572" t="e">
        <f t="shared" ref="AB10:AB42" si="4">D10/H10</f>
        <v>#DIV/0!</v>
      </c>
      <c r="AC10" s="1572" t="e">
        <f t="shared" ref="AC10:AC42" si="5">D10/J10</f>
        <v>#DIV/0!</v>
      </c>
    </row>
    <row r="11" spans="1:29" s="1220" customFormat="1" ht="15">
      <c r="A11" s="2938"/>
      <c r="B11" s="2945" t="s">
        <v>2756</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95" t="s">
        <v>535</v>
      </c>
      <c r="Q11" s="1151" t="str">
        <f t="shared" ref="Q11:Q17" si="6">B11</f>
        <v>用途</v>
      </c>
      <c r="R11" s="1569" t="s">
        <v>8</v>
      </c>
      <c r="S11" s="1570">
        <f t="shared" si="0"/>
        <v>100</v>
      </c>
      <c r="T11" s="1569" t="s">
        <v>8</v>
      </c>
      <c r="U11" s="1570">
        <f t="shared" si="1"/>
        <v>100</v>
      </c>
      <c r="V11" s="1569" t="s">
        <v>8</v>
      </c>
      <c r="W11" s="1570">
        <f t="shared" si="2"/>
        <v>100</v>
      </c>
      <c r="X11" s="1571"/>
      <c r="Y11" s="3341" t="s">
        <v>536</v>
      </c>
      <c r="Z11" s="1150" t="str">
        <f t="shared" ref="Z11:Z17" si="7">Q11</f>
        <v>用途</v>
      </c>
      <c r="AA11" s="1572">
        <f t="shared" si="3"/>
        <v>1</v>
      </c>
      <c r="AB11" s="1572">
        <f t="shared" si="4"/>
        <v>1</v>
      </c>
      <c r="AC11" s="1572">
        <f t="shared" si="5"/>
        <v>1</v>
      </c>
    </row>
    <row r="12" spans="1:29" s="1338" customFormat="1" ht="27">
      <c r="A12" s="2939"/>
      <c r="B12" s="2944" t="s">
        <v>2757</v>
      </c>
      <c r="C12" s="528"/>
      <c r="D12" s="255">
        <v>100</v>
      </c>
      <c r="E12" s="528"/>
      <c r="F12" s="255">
        <f>ROUND(100/'数据-取费表'!G16,0)</f>
        <v>106</v>
      </c>
      <c r="G12" s="528"/>
      <c r="H12" s="255">
        <f>ROUND(100/'数据-取费表'!G16,0)</f>
        <v>106</v>
      </c>
      <c r="I12" s="528"/>
      <c r="J12" s="255">
        <f>ROUND(100/'数据-取费表'!G16,0)</f>
        <v>106</v>
      </c>
      <c r="K12" s="531"/>
      <c r="L12" s="2138"/>
      <c r="M12" s="2178"/>
      <c r="N12" s="2178"/>
      <c r="O12" s="2139"/>
      <c r="P12" s="3395"/>
      <c r="Q12" s="1151" t="str">
        <f t="shared" si="6"/>
        <v>土地使用年限（年）</v>
      </c>
      <c r="R12" s="1569" t="s">
        <v>8</v>
      </c>
      <c r="S12" s="1570">
        <f t="shared" si="0"/>
        <v>106</v>
      </c>
      <c r="T12" s="1569" t="s">
        <v>8</v>
      </c>
      <c r="U12" s="1570">
        <f t="shared" si="1"/>
        <v>106</v>
      </c>
      <c r="V12" s="1569" t="s">
        <v>8</v>
      </c>
      <c r="W12" s="1570">
        <f t="shared" si="2"/>
        <v>106</v>
      </c>
      <c r="X12" s="1571"/>
      <c r="Y12" s="3341"/>
      <c r="Z12" s="1150" t="str">
        <f t="shared" si="7"/>
        <v>土地使用年限（年）</v>
      </c>
      <c r="AA12" s="1572">
        <f t="shared" si="3"/>
        <v>0.94339622641509435</v>
      </c>
      <c r="AB12" s="1572">
        <f t="shared" si="4"/>
        <v>0.94339622641509435</v>
      </c>
      <c r="AC12" s="1572">
        <f t="shared" si="5"/>
        <v>0.94339622641509435</v>
      </c>
    </row>
    <row r="13" spans="1:29" ht="15">
      <c r="A13" s="2940"/>
      <c r="B13" s="2944"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95"/>
      <c r="Q13" s="1151" t="str">
        <f t="shared" si="6"/>
        <v>容积率</v>
      </c>
      <c r="R13" s="1569" t="s">
        <v>8</v>
      </c>
      <c r="S13" s="1570" t="e">
        <f t="shared" si="0"/>
        <v>#N/A</v>
      </c>
      <c r="T13" s="1569" t="s">
        <v>8</v>
      </c>
      <c r="U13" s="1570" t="e">
        <f t="shared" si="1"/>
        <v>#N/A</v>
      </c>
      <c r="V13" s="1569" t="s">
        <v>8</v>
      </c>
      <c r="W13" s="1570" t="e">
        <f t="shared" si="2"/>
        <v>#N/A</v>
      </c>
      <c r="X13" s="1571"/>
      <c r="Y13" s="3341"/>
      <c r="Z13" s="1150" t="str">
        <f t="shared" si="7"/>
        <v>容积率</v>
      </c>
      <c r="AA13" s="1572" t="e">
        <f t="shared" si="3"/>
        <v>#N/A</v>
      </c>
      <c r="AB13" s="1572" t="e">
        <f t="shared" si="4"/>
        <v>#N/A</v>
      </c>
      <c r="AC13" s="1572" t="e">
        <f t="shared" si="5"/>
        <v>#N/A</v>
      </c>
    </row>
    <row r="14" spans="1:29" s="1220"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95"/>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D14/F14</f>
        <v>1</v>
      </c>
      <c r="AB14" s="1572">
        <f>D14/H14</f>
        <v>1</v>
      </c>
      <c r="AC14" s="1572">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95"/>
      <c r="Q15" s="1151">
        <f t="shared" si="6"/>
        <v>111</v>
      </c>
      <c r="R15" s="1569" t="s">
        <v>8</v>
      </c>
      <c r="S15" s="1570">
        <f t="shared" si="0"/>
        <v>100</v>
      </c>
      <c r="T15" s="1569" t="s">
        <v>8</v>
      </c>
      <c r="U15" s="1570">
        <f t="shared" si="1"/>
        <v>100</v>
      </c>
      <c r="V15" s="1569" t="s">
        <v>8</v>
      </c>
      <c r="W15" s="1570">
        <f t="shared" si="2"/>
        <v>100</v>
      </c>
      <c r="X15" s="1571"/>
      <c r="Y15" s="3341"/>
      <c r="Z15" s="1150">
        <f t="shared" si="7"/>
        <v>111</v>
      </c>
      <c r="AA15" s="1572">
        <f t="shared" si="3"/>
        <v>1</v>
      </c>
      <c r="AB15" s="1572">
        <f t="shared" si="4"/>
        <v>1</v>
      </c>
      <c r="AC15" s="1572">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95"/>
      <c r="Q16" s="1151">
        <f t="shared" si="6"/>
        <v>111</v>
      </c>
      <c r="R16" s="1569" t="s">
        <v>8</v>
      </c>
      <c r="S16" s="1570">
        <f t="shared" si="0"/>
        <v>100</v>
      </c>
      <c r="T16" s="1569" t="s">
        <v>8</v>
      </c>
      <c r="U16" s="1570">
        <f t="shared" si="1"/>
        <v>100</v>
      </c>
      <c r="V16" s="1569" t="s">
        <v>8</v>
      </c>
      <c r="W16" s="1570">
        <f t="shared" si="2"/>
        <v>100</v>
      </c>
      <c r="X16" s="1571"/>
      <c r="Y16" s="3341"/>
      <c r="Z16" s="1150">
        <f t="shared" si="7"/>
        <v>111</v>
      </c>
      <c r="AA16" s="1572">
        <f t="shared" si="3"/>
        <v>1</v>
      </c>
      <c r="AB16" s="1572">
        <f t="shared" si="4"/>
        <v>1</v>
      </c>
      <c r="AC16" s="1572">
        <f t="shared" si="5"/>
        <v>1</v>
      </c>
    </row>
    <row r="17" spans="1:29" ht="57">
      <c r="A17" s="2934"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31" t="s">
        <v>540</v>
      </c>
      <c r="Q17" s="1573" t="str">
        <f t="shared" si="6"/>
        <v>产业集聚程度</v>
      </c>
      <c r="R17" s="1574" t="s">
        <v>8</v>
      </c>
      <c r="S17" s="1575">
        <f t="shared" si="0"/>
        <v>100</v>
      </c>
      <c r="T17" s="1574" t="s">
        <v>8</v>
      </c>
      <c r="U17" s="1575">
        <f t="shared" si="1"/>
        <v>100</v>
      </c>
      <c r="V17" s="1574" t="s">
        <v>8</v>
      </c>
      <c r="W17" s="1575">
        <f t="shared" si="2"/>
        <v>100</v>
      </c>
      <c r="X17" s="1568"/>
      <c r="Y17" s="3431"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432"/>
      <c r="Q18" s="1573"/>
      <c r="R18" s="1574"/>
      <c r="S18" s="1575"/>
      <c r="T18" s="1574"/>
      <c r="U18" s="1575"/>
      <c r="V18" s="1574"/>
      <c r="W18" s="1575"/>
      <c r="X18" s="1568"/>
      <c r="Y18" s="3432"/>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32"/>
      <c r="Q19" s="1573" t="str">
        <f>B19</f>
        <v>交通便捷度</v>
      </c>
      <c r="R19" s="1574" t="s">
        <v>8</v>
      </c>
      <c r="S19" s="1575">
        <f>F19</f>
        <v>100</v>
      </c>
      <c r="T19" s="1574" t="s">
        <v>8</v>
      </c>
      <c r="U19" s="1575">
        <f>H19</f>
        <v>100</v>
      </c>
      <c r="V19" s="1574" t="s">
        <v>8</v>
      </c>
      <c r="W19" s="1575">
        <f>J19</f>
        <v>100</v>
      </c>
      <c r="X19" s="1568"/>
      <c r="Y19" s="343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432"/>
      <c r="Q20" s="1573"/>
      <c r="R20" s="1574"/>
      <c r="S20" s="1575"/>
      <c r="T20" s="1574"/>
      <c r="U20" s="1575"/>
      <c r="V20" s="1574"/>
      <c r="W20" s="1575"/>
      <c r="X20" s="1568"/>
      <c r="Y20" s="3432"/>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32"/>
      <c r="Q21" s="1573" t="str">
        <f t="shared" ref="Q21:Q35" si="8">B21</f>
        <v>区域土地利用方向</v>
      </c>
      <c r="R21" s="1574" t="s">
        <v>8</v>
      </c>
      <c r="S21" s="1575">
        <f>F21</f>
        <v>100</v>
      </c>
      <c r="T21" s="1574" t="s">
        <v>8</v>
      </c>
      <c r="U21" s="1575">
        <f>H21</f>
        <v>100</v>
      </c>
      <c r="V21" s="1574" t="s">
        <v>8</v>
      </c>
      <c r="W21" s="1575">
        <f>J21</f>
        <v>100</v>
      </c>
      <c r="X21" s="1568"/>
      <c r="Y21" s="343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432"/>
      <c r="Q22" s="1573"/>
      <c r="R22" s="1574"/>
      <c r="S22" s="1575"/>
      <c r="T22" s="1574"/>
      <c r="U22" s="1575"/>
      <c r="V22" s="1574"/>
      <c r="W22" s="1575"/>
      <c r="X22" s="1568"/>
      <c r="Y22" s="3432"/>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32"/>
      <c r="Q23" s="1573" t="str">
        <f t="shared" si="8"/>
        <v>环境状况</v>
      </c>
      <c r="R23" s="1574" t="s">
        <v>8</v>
      </c>
      <c r="S23" s="1575">
        <f>F23</f>
        <v>100</v>
      </c>
      <c r="T23" s="1574" t="s">
        <v>8</v>
      </c>
      <c r="U23" s="1575">
        <f>H23</f>
        <v>100</v>
      </c>
      <c r="V23" s="1574" t="s">
        <v>8</v>
      </c>
      <c r="W23" s="1575">
        <f>J23</f>
        <v>100</v>
      </c>
      <c r="X23" s="1568"/>
      <c r="Y23" s="343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432"/>
      <c r="Q24" s="1573"/>
      <c r="R24" s="1574"/>
      <c r="S24" s="1575"/>
      <c r="T24" s="1574"/>
      <c r="U24" s="1575"/>
      <c r="V24" s="1574"/>
      <c r="W24" s="1575"/>
      <c r="X24" s="1568"/>
      <c r="Y24" s="3432"/>
      <c r="Z24" s="1576"/>
      <c r="AA24" s="1577">
        <v>1</v>
      </c>
      <c r="AB24" s="1577">
        <v>1</v>
      </c>
      <c r="AC24" s="1577">
        <v>1</v>
      </c>
    </row>
    <row r="25" spans="1:29" s="1220" customFormat="1" ht="42.75">
      <c r="A25" s="577"/>
      <c r="B25" s="2617"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32"/>
      <c r="Q25" s="1151" t="str">
        <f t="shared" si="8"/>
        <v>公共配套设施</v>
      </c>
      <c r="R25" s="1569" t="s">
        <v>8</v>
      </c>
      <c r="S25" s="1570">
        <f>F25</f>
        <v>100</v>
      </c>
      <c r="T25" s="1569" t="s">
        <v>8</v>
      </c>
      <c r="U25" s="1570">
        <f>H25</f>
        <v>100</v>
      </c>
      <c r="V25" s="1569" t="s">
        <v>8</v>
      </c>
      <c r="W25" s="1570">
        <f>J25</f>
        <v>100</v>
      </c>
      <c r="X25" s="1571"/>
      <c r="Y25" s="3432"/>
      <c r="Z25" s="1150" t="str">
        <f>Q25</f>
        <v>公共配套设施</v>
      </c>
      <c r="AA25" s="1577">
        <f>D25/F25</f>
        <v>1</v>
      </c>
      <c r="AB25" s="1577">
        <f>D25/H25</f>
        <v>1</v>
      </c>
      <c r="AC25" s="1577">
        <f>D25/J25</f>
        <v>1</v>
      </c>
    </row>
    <row r="26" spans="1:29" s="1220" customFormat="1" ht="15">
      <c r="A26" s="577"/>
      <c r="B26" s="595"/>
      <c r="C26" s="2616"/>
      <c r="D26" s="555"/>
      <c r="E26" s="554"/>
      <c r="F26" s="555"/>
      <c r="G26" s="554"/>
      <c r="H26" s="555"/>
      <c r="I26" s="576"/>
      <c r="J26" s="555"/>
      <c r="K26" s="531"/>
      <c r="L26" s="2135"/>
      <c r="M26" s="2136"/>
      <c r="N26" s="2136"/>
      <c r="O26" s="2137"/>
      <c r="P26" s="3432"/>
      <c r="Q26" s="1151"/>
      <c r="R26" s="1569"/>
      <c r="S26" s="1570"/>
      <c r="T26" s="1569"/>
      <c r="U26" s="1570"/>
      <c r="V26" s="1569"/>
      <c r="W26" s="1570"/>
      <c r="X26" s="1571"/>
      <c r="Y26" s="3432"/>
      <c r="Z26" s="1150"/>
      <c r="AA26" s="1572">
        <v>1</v>
      </c>
      <c r="AB26" s="1572">
        <v>1</v>
      </c>
      <c r="AC26" s="1572">
        <v>1</v>
      </c>
    </row>
    <row r="27" spans="1:29" s="1220" customFormat="1" ht="28.5">
      <c r="A27" s="577"/>
      <c r="B27" s="2617"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32"/>
      <c r="Q27" s="2602" t="str">
        <f>B27</f>
        <v>基础设施水平</v>
      </c>
      <c r="R27" s="1569" t="s">
        <v>8</v>
      </c>
      <c r="S27" s="1570">
        <f>F27</f>
        <v>100</v>
      </c>
      <c r="T27" s="1569" t="s">
        <v>8</v>
      </c>
      <c r="U27" s="1570">
        <f>H27</f>
        <v>100</v>
      </c>
      <c r="V27" s="1569" t="s">
        <v>8</v>
      </c>
      <c r="W27" s="1570">
        <f>J27</f>
        <v>100</v>
      </c>
      <c r="X27" s="1571"/>
      <c r="Y27" s="3432"/>
      <c r="Z27" s="2599" t="str">
        <f>Q27</f>
        <v>基础设施水平</v>
      </c>
      <c r="AA27" s="1577">
        <f>D27/F27</f>
        <v>1</v>
      </c>
      <c r="AB27" s="1577">
        <f>D27/H27</f>
        <v>1</v>
      </c>
      <c r="AC27" s="1577">
        <f>D27/J27</f>
        <v>1</v>
      </c>
    </row>
    <row r="28" spans="1:29" s="1220" customFormat="1" ht="15">
      <c r="A28" s="577"/>
      <c r="B28" s="595"/>
      <c r="C28" s="2616"/>
      <c r="D28" s="555"/>
      <c r="E28" s="579"/>
      <c r="F28" s="555"/>
      <c r="G28" s="579"/>
      <c r="H28" s="555"/>
      <c r="I28" s="579"/>
      <c r="J28" s="555"/>
      <c r="K28" s="531"/>
      <c r="L28" s="2135"/>
      <c r="M28" s="2136"/>
      <c r="N28" s="2136"/>
      <c r="O28" s="2137"/>
      <c r="P28" s="3432"/>
      <c r="Q28" s="2602"/>
      <c r="R28" s="1569"/>
      <c r="S28" s="1570"/>
      <c r="T28" s="1569"/>
      <c r="U28" s="1570"/>
      <c r="V28" s="1569"/>
      <c r="W28" s="1570"/>
      <c r="X28" s="1571"/>
      <c r="Y28" s="3432"/>
      <c r="Z28" s="2599"/>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32"/>
      <c r="Q29" s="1573" t="str">
        <f t="shared" si="8"/>
        <v>临街状况</v>
      </c>
      <c r="R29" s="1574" t="s">
        <v>8</v>
      </c>
      <c r="S29" s="1575">
        <f t="shared" ref="S29:S42" si="9">F29</f>
        <v>100</v>
      </c>
      <c r="T29" s="1574" t="s">
        <v>8</v>
      </c>
      <c r="U29" s="1575">
        <f t="shared" ref="U29:U42" si="10">H29</f>
        <v>100</v>
      </c>
      <c r="V29" s="1574" t="s">
        <v>8</v>
      </c>
      <c r="W29" s="1575">
        <f t="shared" ref="W29:W42" si="11">J29</f>
        <v>100</v>
      </c>
      <c r="X29" s="1568"/>
      <c r="Y29" s="3432"/>
      <c r="Z29" s="1576" t="str">
        <f t="shared" ref="Z29:Z42" si="12">Q29</f>
        <v>临街状况</v>
      </c>
      <c r="AA29" s="1577">
        <f t="shared" si="3"/>
        <v>1</v>
      </c>
      <c r="AB29" s="1577">
        <f t="shared" si="4"/>
        <v>1</v>
      </c>
      <c r="AC29" s="1577">
        <f t="shared" si="5"/>
        <v>1</v>
      </c>
    </row>
    <row r="30" spans="1:29" ht="27">
      <c r="A30" s="532"/>
      <c r="B30" s="922" t="s">
        <v>548</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32"/>
      <c r="Q30" s="1573" t="str">
        <f t="shared" si="8"/>
        <v>毗邻道路的类型与等级</v>
      </c>
      <c r="R30" s="1574" t="s">
        <v>8</v>
      </c>
      <c r="S30" s="1575">
        <f t="shared" si="9"/>
        <v>100</v>
      </c>
      <c r="T30" s="1574" t="s">
        <v>8</v>
      </c>
      <c r="U30" s="1575">
        <f t="shared" si="10"/>
        <v>100</v>
      </c>
      <c r="V30" s="1574" t="s">
        <v>8</v>
      </c>
      <c r="W30" s="1575">
        <f t="shared" si="11"/>
        <v>100</v>
      </c>
      <c r="X30" s="1568"/>
      <c r="Y30" s="3432"/>
      <c r="Z30" s="1576" t="str">
        <f t="shared" si="12"/>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432"/>
      <c r="Q31" s="1573"/>
      <c r="R31" s="1574"/>
      <c r="S31" s="1575"/>
      <c r="T31" s="1574"/>
      <c r="U31" s="1575"/>
      <c r="V31" s="1574"/>
      <c r="W31" s="1575"/>
      <c r="X31" s="1568"/>
      <c r="Y31" s="3432"/>
      <c r="Z31" s="1576"/>
      <c r="AA31" s="1577">
        <v>1</v>
      </c>
      <c r="AB31" s="1577">
        <v>1</v>
      </c>
      <c r="AC31" s="1577">
        <v>1</v>
      </c>
    </row>
    <row r="32" spans="1:29" ht="15">
      <c r="A32" s="532"/>
      <c r="B32" s="527" t="s">
        <v>549</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32"/>
      <c r="Q32" s="1573" t="str">
        <f t="shared" si="8"/>
        <v>土地级别</v>
      </c>
      <c r="R32" s="1574" t="s">
        <v>8</v>
      </c>
      <c r="S32" s="1575">
        <f t="shared" si="9"/>
        <v>100</v>
      </c>
      <c r="T32" s="1574" t="s">
        <v>8</v>
      </c>
      <c r="U32" s="1575">
        <f t="shared" si="10"/>
        <v>100</v>
      </c>
      <c r="V32" s="1574" t="s">
        <v>8</v>
      </c>
      <c r="W32" s="1575">
        <f t="shared" si="11"/>
        <v>100</v>
      </c>
      <c r="X32" s="1568"/>
      <c r="Y32" s="3432"/>
      <c r="Z32" s="1576" t="str">
        <f t="shared" si="12"/>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32"/>
      <c r="Q33" s="1573">
        <f t="shared" si="8"/>
        <v>111</v>
      </c>
      <c r="R33" s="1574" t="s">
        <v>8</v>
      </c>
      <c r="S33" s="1575">
        <f t="shared" si="9"/>
        <v>100</v>
      </c>
      <c r="T33" s="1574" t="s">
        <v>8</v>
      </c>
      <c r="U33" s="1575">
        <f t="shared" si="10"/>
        <v>100</v>
      </c>
      <c r="V33" s="1574" t="s">
        <v>8</v>
      </c>
      <c r="W33" s="1575">
        <f t="shared" si="11"/>
        <v>100</v>
      </c>
      <c r="X33" s="1568"/>
      <c r="Y33" s="3432"/>
      <c r="Z33" s="1576">
        <f t="shared" si="12"/>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33" t="s">
        <v>550</v>
      </c>
      <c r="Q34" s="1573">
        <f t="shared" si="8"/>
        <v>111</v>
      </c>
      <c r="R34" s="1574" t="s">
        <v>8</v>
      </c>
      <c r="S34" s="1575">
        <f t="shared" si="9"/>
        <v>100</v>
      </c>
      <c r="T34" s="1574" t="s">
        <v>8</v>
      </c>
      <c r="U34" s="1575">
        <f t="shared" si="10"/>
        <v>100</v>
      </c>
      <c r="V34" s="1574" t="s">
        <v>8</v>
      </c>
      <c r="W34" s="1575">
        <f t="shared" si="11"/>
        <v>100</v>
      </c>
      <c r="X34" s="1568"/>
      <c r="Y34" s="3434" t="s">
        <v>550</v>
      </c>
      <c r="Z34" s="1576">
        <f t="shared" si="12"/>
        <v>111</v>
      </c>
      <c r="AA34" s="1577">
        <f t="shared" si="3"/>
        <v>1</v>
      </c>
      <c r="AB34" s="1577">
        <f t="shared" si="4"/>
        <v>1</v>
      </c>
      <c r="AC34" s="1577">
        <f t="shared" si="5"/>
        <v>1</v>
      </c>
    </row>
    <row r="35" spans="1:29" s="1339"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34"/>
      <c r="Q35" s="1573">
        <f t="shared" si="8"/>
        <v>111</v>
      </c>
      <c r="R35" s="1578" t="s">
        <v>8</v>
      </c>
      <c r="S35" s="1579">
        <f t="shared" si="9"/>
        <v>100</v>
      </c>
      <c r="T35" s="1578" t="s">
        <v>8</v>
      </c>
      <c r="U35" s="1579">
        <f t="shared" si="10"/>
        <v>100</v>
      </c>
      <c r="V35" s="1578" t="s">
        <v>8</v>
      </c>
      <c r="W35" s="1579">
        <f t="shared" si="11"/>
        <v>100</v>
      </c>
      <c r="X35" s="1580"/>
      <c r="Y35" s="3434"/>
      <c r="Z35" s="1581">
        <f t="shared" si="12"/>
        <v>111</v>
      </c>
      <c r="AA35" s="1577">
        <f t="shared" si="3"/>
        <v>1</v>
      </c>
      <c r="AB35" s="1577">
        <f t="shared" si="4"/>
        <v>1</v>
      </c>
      <c r="AC35" s="1577">
        <f t="shared" si="5"/>
        <v>1</v>
      </c>
    </row>
    <row r="36" spans="1:29" ht="15">
      <c r="A36" s="2931"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34"/>
      <c r="Q36" s="1573" t="str">
        <f>B36</f>
        <v>宗地面积</v>
      </c>
      <c r="R36" s="1574" t="s">
        <v>8</v>
      </c>
      <c r="S36" s="1575" t="e">
        <f t="shared" si="9"/>
        <v>#N/A</v>
      </c>
      <c r="T36" s="1574" t="s">
        <v>8</v>
      </c>
      <c r="U36" s="1575" t="e">
        <f t="shared" si="10"/>
        <v>#N/A</v>
      </c>
      <c r="V36" s="1574" t="s">
        <v>8</v>
      </c>
      <c r="W36" s="1575" t="e">
        <f t="shared" si="11"/>
        <v>#N/A</v>
      </c>
      <c r="X36" s="1568"/>
      <c r="Y36" s="3434"/>
      <c r="Z36" s="1576" t="str">
        <f t="shared" si="12"/>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34"/>
      <c r="Q37" s="1573" t="str">
        <f t="shared" ref="Q37:Q42" si="13">B37</f>
        <v>宗地形状</v>
      </c>
      <c r="R37" s="1574" t="s">
        <v>8</v>
      </c>
      <c r="S37" s="1575">
        <f t="shared" si="9"/>
        <v>100</v>
      </c>
      <c r="T37" s="1574" t="s">
        <v>8</v>
      </c>
      <c r="U37" s="1575">
        <f t="shared" si="10"/>
        <v>100</v>
      </c>
      <c r="V37" s="1574" t="s">
        <v>8</v>
      </c>
      <c r="W37" s="1575">
        <f t="shared" si="11"/>
        <v>100</v>
      </c>
      <c r="X37" s="1568"/>
      <c r="Y37" s="3434"/>
      <c r="Z37" s="1576" t="str">
        <f t="shared" si="12"/>
        <v>宗地形状</v>
      </c>
      <c r="AA37" s="1577">
        <f t="shared" si="3"/>
        <v>1</v>
      </c>
      <c r="AB37" s="1577">
        <f t="shared" si="4"/>
        <v>1</v>
      </c>
      <c r="AC37" s="1577">
        <f t="shared" si="5"/>
        <v>1</v>
      </c>
    </row>
    <row r="38" spans="1:29" s="1220"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34"/>
      <c r="Q38" s="1573" t="str">
        <f t="shared" si="13"/>
        <v>宗地开发程度</v>
      </c>
      <c r="R38" s="1569" t="s">
        <v>8</v>
      </c>
      <c r="S38" s="1570">
        <f t="shared" si="9"/>
        <v>100</v>
      </c>
      <c r="T38" s="1569" t="s">
        <v>8</v>
      </c>
      <c r="U38" s="1570">
        <f t="shared" si="10"/>
        <v>100</v>
      </c>
      <c r="V38" s="1569" t="s">
        <v>8</v>
      </c>
      <c r="W38" s="1570">
        <f t="shared" si="11"/>
        <v>100</v>
      </c>
      <c r="X38" s="1571"/>
      <c r="Y38" s="3434"/>
      <c r="Z38" s="1150" t="str">
        <f t="shared" si="12"/>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34" t="s">
        <v>601</v>
      </c>
      <c r="Q39" s="1573" t="str">
        <f t="shared" si="13"/>
        <v>工程地质条件</v>
      </c>
      <c r="R39" s="1574" t="s">
        <v>8</v>
      </c>
      <c r="S39" s="1575">
        <f t="shared" si="9"/>
        <v>100</v>
      </c>
      <c r="T39" s="1574" t="s">
        <v>8</v>
      </c>
      <c r="U39" s="1575">
        <f t="shared" si="10"/>
        <v>100</v>
      </c>
      <c r="V39" s="1574" t="s">
        <v>8</v>
      </c>
      <c r="W39" s="1575">
        <f t="shared" si="11"/>
        <v>100</v>
      </c>
      <c r="X39" s="1568"/>
      <c r="Y39" s="3434" t="s">
        <v>601</v>
      </c>
      <c r="Z39" s="1576" t="str">
        <f t="shared" si="12"/>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34"/>
      <c r="Q40" s="1573">
        <f t="shared" si="13"/>
        <v>111</v>
      </c>
      <c r="R40" s="1574" t="s">
        <v>8</v>
      </c>
      <c r="S40" s="1575">
        <f t="shared" si="9"/>
        <v>100</v>
      </c>
      <c r="T40" s="1574" t="s">
        <v>8</v>
      </c>
      <c r="U40" s="1575">
        <f t="shared" si="10"/>
        <v>100</v>
      </c>
      <c r="V40" s="1574" t="s">
        <v>8</v>
      </c>
      <c r="W40" s="1575">
        <f t="shared" si="11"/>
        <v>100</v>
      </c>
      <c r="X40" s="1568"/>
      <c r="Y40" s="3434"/>
      <c r="Z40" s="1576">
        <f t="shared" si="12"/>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34"/>
      <c r="Q41" s="1573">
        <f t="shared" si="13"/>
        <v>111</v>
      </c>
      <c r="R41" s="1574" t="s">
        <v>8</v>
      </c>
      <c r="S41" s="1575">
        <f t="shared" si="9"/>
        <v>100</v>
      </c>
      <c r="T41" s="1574" t="s">
        <v>8</v>
      </c>
      <c r="U41" s="1575">
        <f t="shared" si="10"/>
        <v>100</v>
      </c>
      <c r="V41" s="1574" t="s">
        <v>8</v>
      </c>
      <c r="W41" s="1575">
        <f t="shared" si="11"/>
        <v>100</v>
      </c>
      <c r="X41" s="1568"/>
      <c r="Y41" s="3434"/>
      <c r="Z41" s="1576">
        <f t="shared" si="12"/>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34"/>
      <c r="Q42" s="1573">
        <f t="shared" si="13"/>
        <v>111</v>
      </c>
      <c r="R42" s="1578" t="s">
        <v>8</v>
      </c>
      <c r="S42" s="1579">
        <f t="shared" si="9"/>
        <v>100</v>
      </c>
      <c r="T42" s="1578" t="s">
        <v>8</v>
      </c>
      <c r="U42" s="1579">
        <f t="shared" si="10"/>
        <v>100</v>
      </c>
      <c r="V42" s="1578" t="s">
        <v>8</v>
      </c>
      <c r="W42" s="1579">
        <f t="shared" si="11"/>
        <v>100</v>
      </c>
      <c r="X42" s="1580"/>
      <c r="Y42" s="3434"/>
      <c r="Z42" s="1581">
        <f t="shared" si="12"/>
        <v>111</v>
      </c>
      <c r="AA42" s="1577">
        <f t="shared" si="3"/>
        <v>1</v>
      </c>
      <c r="AB42" s="1577">
        <f t="shared" si="4"/>
        <v>1</v>
      </c>
      <c r="AC42" s="1577">
        <f t="shared" si="5"/>
        <v>1</v>
      </c>
    </row>
    <row r="43" spans="1:29" ht="15">
      <c r="A43" s="607" t="s">
        <v>556</v>
      </c>
      <c r="B43" s="608" t="s">
        <v>2931</v>
      </c>
      <c r="C43" s="609" t="s">
        <v>1</v>
      </c>
      <c r="D43" s="610"/>
      <c r="E43" s="611"/>
      <c r="F43" s="612"/>
      <c r="G43" s="613"/>
      <c r="H43" s="614"/>
      <c r="I43" s="611"/>
      <c r="J43" s="614"/>
      <c r="K43" s="1340"/>
      <c r="L43" s="2144"/>
      <c r="M43" s="2134"/>
      <c r="N43" s="2134"/>
      <c r="O43" s="2145"/>
      <c r="P43" s="3395" t="str">
        <f>A43</f>
        <v>成交单价</v>
      </c>
      <c r="Q43" s="3395"/>
      <c r="R43" s="3396">
        <f>E43</f>
        <v>0</v>
      </c>
      <c r="S43" s="3396"/>
      <c r="T43" s="3396">
        <f>G43</f>
        <v>0</v>
      </c>
      <c r="U43" s="3396"/>
      <c r="V43" s="3396">
        <f>I43</f>
        <v>0</v>
      </c>
      <c r="W43" s="3396"/>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4"/>
      <c r="M44" s="2134"/>
      <c r="N44" s="2134"/>
      <c r="O44" s="2145"/>
      <c r="P44" s="3395" t="str">
        <f>A44</f>
        <v>比较价格（元/平方米）</v>
      </c>
      <c r="Q44" s="3395"/>
      <c r="R44" s="3397" t="e">
        <f>ROUND(PRODUCT(R43,AA9:AA42),0)</f>
        <v>#DIV/0!</v>
      </c>
      <c r="S44" s="3397"/>
      <c r="T44" s="3397" t="e">
        <f>ROUND(PRODUCT(T43,AB9:AB42),0)</f>
        <v>#DIV/0!</v>
      </c>
      <c r="U44" s="3397"/>
      <c r="V44" s="3397" t="e">
        <f>ROUND(PRODUCT(V43,AC9:AC42),0)</f>
        <v>#DIV/0!</v>
      </c>
      <c r="W44" s="3397"/>
      <c r="X44" s="1560"/>
      <c r="Y44" s="1560"/>
      <c r="Z44" s="1560"/>
      <c r="AA44" s="1560"/>
      <c r="AB44" s="1560"/>
      <c r="AC44" s="1560"/>
    </row>
    <row r="45" spans="1:29" ht="15.75" thickBot="1">
      <c r="A45" s="621" t="s">
        <v>2932</v>
      </c>
      <c r="B45" s="622"/>
      <c r="C45" s="623" t="e">
        <f>R45</f>
        <v>#DIV/0!</v>
      </c>
      <c r="D45" s="623"/>
      <c r="E45" s="623"/>
      <c r="F45" s="623"/>
      <c r="G45" s="623"/>
      <c r="H45" s="623"/>
      <c r="I45" s="623"/>
      <c r="J45" s="623"/>
      <c r="K45" s="1342"/>
      <c r="L45" s="2144"/>
      <c r="M45" s="2134"/>
      <c r="N45" s="2134"/>
      <c r="O45" s="2145"/>
      <c r="P45" s="3392" t="str">
        <f>A45</f>
        <v>估价对象XX用房的比较价格（楼面单价，元/平方米）</v>
      </c>
      <c r="Q45" s="3393"/>
      <c r="R45" s="3394" t="e">
        <f>ROUND(AVERAGE(R44:V44),0)</f>
        <v>#DIV/0!</v>
      </c>
      <c r="S45" s="3394"/>
      <c r="T45" s="3394"/>
      <c r="U45" s="3394"/>
      <c r="V45" s="3394"/>
      <c r="W45" s="3394"/>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1725</v>
      </c>
      <c r="D52" s="2227" t="s">
        <v>2293</v>
      </c>
      <c r="E52" s="631" t="s">
        <v>562</v>
      </c>
      <c r="F52" s="1951" t="s">
        <v>563</v>
      </c>
      <c r="G52" s="3442" t="s">
        <v>2284</v>
      </c>
      <c r="H52" s="3443"/>
      <c r="I52" s="1952" t="s">
        <v>1948</v>
      </c>
      <c r="J52" s="1556" t="str">
        <f>项目基本情况!F41</f>
        <v>广东省汕头市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60846.74</v>
      </c>
      <c r="F53" s="1950" t="e">
        <f t="shared" ref="F53:F62" si="14">ROUND(B53*E53/10000,0)</f>
        <v>#DIV/0!</v>
      </c>
      <c r="G53" s="3444"/>
      <c r="H53" s="3445"/>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5">IF($C$52="北京市系数",I54,J54)</f>
        <v>0</v>
      </c>
      <c r="D54" s="2229">
        <v>0.25</v>
      </c>
      <c r="E54" s="639"/>
      <c r="F54" s="1950" t="e">
        <f t="shared" si="14"/>
        <v>#DIV/0!</v>
      </c>
      <c r="G54" s="3446" t="s">
        <v>2285</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6">ROUND($C$45*C55*D55,0)</f>
        <v>#DIV/0!</v>
      </c>
      <c r="C55" s="378">
        <f t="shared" si="15"/>
        <v>0</v>
      </c>
      <c r="D55" s="2229">
        <v>0.25</v>
      </c>
      <c r="E55" s="639"/>
      <c r="F55" s="1950" t="e">
        <f t="shared" si="14"/>
        <v>#DIV/0!</v>
      </c>
      <c r="G55" s="3446"/>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6"/>
        <v>#DIV/0!</v>
      </c>
      <c r="C56" s="378">
        <f t="shared" si="15"/>
        <v>0</v>
      </c>
      <c r="D56" s="2229">
        <v>0.25</v>
      </c>
      <c r="E56" s="639"/>
      <c r="F56" s="1950" t="e">
        <f t="shared" si="14"/>
        <v>#DIV/0!</v>
      </c>
      <c r="G56" s="3446"/>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6"/>
        <v>#DIV/0!</v>
      </c>
      <c r="C57" s="378">
        <f t="shared" si="15"/>
        <v>0</v>
      </c>
      <c r="D57" s="2229">
        <v>0.25</v>
      </c>
      <c r="E57" s="639"/>
      <c r="F57" s="1950" t="e">
        <f t="shared" si="14"/>
        <v>#DIV/0!</v>
      </c>
      <c r="G57" s="3446"/>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2327</v>
      </c>
      <c r="B58" s="638" t="e">
        <f t="shared" si="16"/>
        <v>#DIV/0!</v>
      </c>
      <c r="C58" s="378">
        <f t="shared" si="15"/>
        <v>0</v>
      </c>
      <c r="D58" s="2229">
        <v>0.25</v>
      </c>
      <c r="E58" s="641">
        <f>'数据-汇总表'!E11</f>
        <v>0</v>
      </c>
      <c r="F58" s="1950" t="e">
        <f t="shared" si="14"/>
        <v>#DIV/0!</v>
      </c>
      <c r="G58" s="1956" t="s">
        <v>2286</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6"/>
        <v>#DIV/0!</v>
      </c>
      <c r="C59" s="378">
        <f t="shared" si="15"/>
        <v>0</v>
      </c>
      <c r="D59" s="2229">
        <v>0.25</v>
      </c>
      <c r="E59" s="641">
        <f>'数据-汇总表'!E12</f>
        <v>0</v>
      </c>
      <c r="F59" s="1950" t="e">
        <f t="shared" si="14"/>
        <v>#DIV/0!</v>
      </c>
      <c r="G59" s="1946" t="s">
        <v>1678</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6"/>
        <v>#DIV/0!</v>
      </c>
      <c r="C60" s="378">
        <f t="shared" si="15"/>
        <v>0</v>
      </c>
      <c r="D60" s="2229">
        <v>0.25</v>
      </c>
      <c r="E60" s="641">
        <f>'数据-汇总表'!E13</f>
        <v>5864.9200000000019</v>
      </c>
      <c r="F60" s="1950" t="e">
        <f t="shared" si="14"/>
        <v>#DIV/0!</v>
      </c>
      <c r="G60" s="1946" t="s">
        <v>923</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6"/>
        <v>#DIV/0!</v>
      </c>
      <c r="C61" s="378">
        <f t="shared" si="15"/>
        <v>0</v>
      </c>
      <c r="D61" s="2229">
        <v>0.25</v>
      </c>
      <c r="E61" s="641">
        <f>'数据-汇总表'!E14</f>
        <v>0</v>
      </c>
      <c r="F61" s="1950" t="e">
        <f t="shared" si="14"/>
        <v>#DIV/0!</v>
      </c>
      <c r="G61" s="1956" t="s">
        <v>2285</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6"/>
        <v>#DIV/0!</v>
      </c>
      <c r="C62" s="378">
        <f t="shared" si="15"/>
        <v>0</v>
      </c>
      <c r="D62" s="2229">
        <v>0.25</v>
      </c>
      <c r="E62" s="641">
        <f>'数据-汇总表'!E15</f>
        <v>0</v>
      </c>
      <c r="F62" s="1950" t="e">
        <f t="shared" si="14"/>
        <v>#DIV/0!</v>
      </c>
      <c r="G62" s="1957" t="s">
        <v>2286</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2294</v>
      </c>
      <c r="E63" s="643">
        <f>IF(B43="楼面地价",SUM(E53:E62),'数据-汇总表'!D3)</f>
        <v>15168.4</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2018-5-1</v>
      </c>
      <c r="D65" s="2823">
        <f>EDATE(C65,-3)</f>
        <v>43132</v>
      </c>
      <c r="E65" s="2823">
        <f t="shared" ref="E65:N65" si="17">EDATE(D65,-3)</f>
        <v>43040</v>
      </c>
      <c r="F65" s="2823">
        <f t="shared" si="17"/>
        <v>42948</v>
      </c>
      <c r="G65" s="2823">
        <f t="shared" si="17"/>
        <v>42856</v>
      </c>
      <c r="H65" s="2823">
        <f t="shared" si="17"/>
        <v>42767</v>
      </c>
      <c r="I65" s="2823">
        <f t="shared" si="17"/>
        <v>42675</v>
      </c>
      <c r="J65" s="2823">
        <f t="shared" si="17"/>
        <v>42583</v>
      </c>
      <c r="K65" s="2823">
        <f t="shared" si="17"/>
        <v>42491</v>
      </c>
      <c r="L65" s="2823">
        <f t="shared" si="17"/>
        <v>42401</v>
      </c>
      <c r="M65" s="2823">
        <f t="shared" si="17"/>
        <v>42309</v>
      </c>
      <c r="N65" s="2823">
        <f t="shared" si="17"/>
        <v>42217</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92" t="s">
        <v>2533</v>
      </c>
      <c r="B67" s="646"/>
      <c r="C67" s="2818" t="str">
        <f>YEAR(C65)&amp;"-"&amp;ROUNDUP(MONTH(C65)/3,0)</f>
        <v>2018-2</v>
      </c>
      <c r="D67" s="2825" t="str">
        <f t="shared" ref="D67:N67" si="18">YEAR(D65)&amp;"-"&amp;ROUNDUP(MONTH(D65)/3,0)</f>
        <v>2018-1</v>
      </c>
      <c r="E67" s="2825" t="str">
        <f t="shared" si="18"/>
        <v>2017-4</v>
      </c>
      <c r="F67" s="2825" t="str">
        <f t="shared" si="18"/>
        <v>2017-3</v>
      </c>
      <c r="G67" s="2825" t="str">
        <f t="shared" si="18"/>
        <v>2017-2</v>
      </c>
      <c r="H67" s="2825" t="str">
        <f t="shared" si="18"/>
        <v>2017-1</v>
      </c>
      <c r="I67" s="2825" t="str">
        <f t="shared" si="18"/>
        <v>2016-4</v>
      </c>
      <c r="J67" s="2825" t="str">
        <f t="shared" si="18"/>
        <v>2016-3</v>
      </c>
      <c r="K67" s="2825" t="str">
        <f t="shared" si="18"/>
        <v>2016-2</v>
      </c>
      <c r="L67" s="2825" t="str">
        <f t="shared" si="18"/>
        <v>2016-1</v>
      </c>
      <c r="M67" s="2825" t="str">
        <f t="shared" si="18"/>
        <v>2015-4</v>
      </c>
      <c r="N67" s="2825" t="str">
        <f t="shared" si="18"/>
        <v>2015-3</v>
      </c>
      <c r="O67" s="2159"/>
      <c r="P67" s="2160"/>
      <c r="Q67" s="2161"/>
      <c r="R67" s="2161"/>
      <c r="S67" s="2161"/>
      <c r="T67" s="2161"/>
      <c r="U67" s="2161"/>
      <c r="V67" s="2161"/>
      <c r="W67" s="2161"/>
      <c r="X67" s="2161"/>
      <c r="Y67" s="2161"/>
      <c r="Z67" s="2161"/>
      <c r="AA67" s="2161"/>
      <c r="AB67" s="2161"/>
      <c r="AC67" s="2161"/>
    </row>
    <row r="68" spans="1:29" s="1220" customFormat="1" ht="27.75" customHeight="1">
      <c r="A68" s="2822" t="s">
        <v>2649</v>
      </c>
      <c r="B68" s="479" t="str">
        <f>"北京市平均增长率"&amp;TEXT(基准地价!P24,"0.00%")</f>
        <v>北京市平均增长率1.35%</v>
      </c>
      <c r="C68" s="894">
        <v>100</v>
      </c>
      <c r="D68" s="730"/>
      <c r="E68" s="730"/>
      <c r="F68" s="730"/>
      <c r="G68" s="730"/>
      <c r="H68" s="730"/>
      <c r="I68" s="730"/>
      <c r="J68" s="730"/>
      <c r="K68" s="730"/>
      <c r="L68" s="730"/>
      <c r="M68" s="2816"/>
      <c r="N68" s="2817"/>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2548</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621" t="s">
        <v>2550</v>
      </c>
      <c r="C95" s="2622" t="s">
        <v>2551</v>
      </c>
      <c r="D95" s="2622" t="s">
        <v>2552</v>
      </c>
      <c r="E95" s="2622" t="s">
        <v>2553</v>
      </c>
      <c r="F95" s="2622" t="s">
        <v>2554</v>
      </c>
      <c r="G95" s="2622" t="s">
        <v>2555</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116" t="str">
        <f t="shared" si="24"/>
        <v>(含)-</v>
      </c>
      <c r="L109" s="3117" t="str">
        <f t="shared" si="24"/>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2425</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8" priority="14" stopIfTrue="1" operator="containsText" text="超过">
      <formula>NOT(ISERROR(SEARCH("超过",F48)))</formula>
    </cfRule>
  </conditionalFormatting>
  <conditionalFormatting sqref="J50">
    <cfRule type="containsText" dxfId="117" priority="13" stopIfTrue="1" operator="containsText" text="超过">
      <formula>NOT(ISERROR(SEARCH("超过",J50)))</formula>
    </cfRule>
  </conditionalFormatting>
  <conditionalFormatting sqref="H50">
    <cfRule type="containsText" dxfId="116" priority="12" stopIfTrue="1" operator="containsText" text="超过">
      <formula>NOT(ISERROR(SEARCH("超过",H50)))</formula>
    </cfRule>
  </conditionalFormatting>
  <conditionalFormatting sqref="F50">
    <cfRule type="containsText" dxfId="115" priority="11" stopIfTrue="1" operator="containsText" text="超过">
      <formula>NOT(ISERROR(SEARCH("超过",F50)))</formula>
    </cfRule>
  </conditionalFormatting>
  <conditionalFormatting sqref="F49 H49 J49">
    <cfRule type="containsText" dxfId="114" priority="10" stopIfTrue="1" operator="containsText" text="超过">
      <formula>NOT(ISERROR(SEARCH("超过",F49)))</formula>
    </cfRule>
  </conditionalFormatting>
  <conditionalFormatting sqref="E48">
    <cfRule type="expression" dxfId="113" priority="9" stopIfTrue="1">
      <formula>$F$48="超过30%"</formula>
    </cfRule>
  </conditionalFormatting>
  <conditionalFormatting sqref="G50">
    <cfRule type="expression" dxfId="112" priority="8" stopIfTrue="1">
      <formula>$H$50="超过30%"</formula>
    </cfRule>
  </conditionalFormatting>
  <conditionalFormatting sqref="E50">
    <cfRule type="expression" dxfId="111" priority="6" stopIfTrue="1">
      <formula>$F$50="超过30%"</formula>
    </cfRule>
  </conditionalFormatting>
  <conditionalFormatting sqref="G48">
    <cfRule type="expression" dxfId="110" priority="5" stopIfTrue="1">
      <formula>$H$48="超过30%"</formula>
    </cfRule>
  </conditionalFormatting>
  <conditionalFormatting sqref="G49">
    <cfRule type="expression" dxfId="109" priority="4" stopIfTrue="1">
      <formula>$H$49="超过20%"</formula>
    </cfRule>
  </conditionalFormatting>
  <conditionalFormatting sqref="I48">
    <cfRule type="expression" dxfId="108" priority="3" stopIfTrue="1">
      <formula>$J$48="超过30%"</formula>
    </cfRule>
  </conditionalFormatting>
  <conditionalFormatting sqref="I49">
    <cfRule type="expression" dxfId="107" priority="2" stopIfTrue="1">
      <formula>$J$49="超过20%"</formula>
    </cfRule>
  </conditionalFormatting>
  <conditionalFormatting sqref="I50">
    <cfRule type="expression" dxfId="106" priority="1" stopIfTrue="1">
      <formula>$J$50="超过30%"</formula>
    </cfRule>
  </conditionalFormatting>
  <conditionalFormatting sqref="E49">
    <cfRule type="expression" dxfId="10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2426</v>
      </c>
      <c r="D1" s="1522">
        <f>SUM(D29:D30,D33:D39)</f>
        <v>0</v>
      </c>
      <c r="E1" s="1407" t="s">
        <v>2427</v>
      </c>
      <c r="F1" s="2476"/>
      <c r="G1" s="1402"/>
      <c r="H1" s="1402"/>
      <c r="I1" s="1402"/>
      <c r="J1" s="1402"/>
      <c r="K1" s="1402"/>
      <c r="L1" s="1882" t="s">
        <v>2238</v>
      </c>
      <c r="M1" s="1883">
        <f>SUMPRODUCT((区片价!B5:B9=I2)*(区片价!C3:F3=E2)*(区片价!C5:F9))</f>
        <v>0</v>
      </c>
      <c r="N1" s="1884">
        <f>SUMPRODUCT((因素修正幅度!B5:B9=I2)*(因素修正幅度!C3:F3=E2)*(因素修正幅度!C5:F9))</f>
        <v>0</v>
      </c>
      <c r="O1" s="2189"/>
      <c r="P1" s="2189"/>
      <c r="Q1" s="2189"/>
      <c r="R1" s="2960" t="s">
        <v>2762</v>
      </c>
      <c r="S1" s="2960" t="s">
        <v>2763</v>
      </c>
      <c r="T1" s="2960" t="s">
        <v>2784</v>
      </c>
      <c r="U1" s="2960" t="s">
        <v>2785</v>
      </c>
      <c r="V1" s="2960" t="s">
        <v>2786</v>
      </c>
      <c r="W1" s="2189"/>
      <c r="X1" s="2189"/>
      <c r="Y1" s="2189"/>
      <c r="Z1" s="2189"/>
      <c r="AA1" s="2189"/>
      <c r="AB1" s="2189"/>
      <c r="AC1" s="2190"/>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5" t="s">
        <v>2239</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2" t="s">
        <v>1688</v>
      </c>
      <c r="B3" s="1038" t="e">
        <f>ROUND(B2*10000/D1,0)</f>
        <v>#DIV/0!</v>
      </c>
      <c r="C3" s="1408" t="s">
        <v>927</v>
      </c>
      <c r="D3" s="1409" t="s">
        <v>928</v>
      </c>
      <c r="E3" s="1413"/>
      <c r="F3" s="1414" t="s">
        <v>2933</v>
      </c>
      <c r="G3" s="1039">
        <f>IF(F3="宗地容积率",'数据-汇总表'!I4,IF(F3="估价对象容积率",'数据-汇总表'!I6,'数据-汇总表'!I7))</f>
        <v>4.0599999999999996</v>
      </c>
      <c r="H3" s="1415" t="s">
        <v>929</v>
      </c>
      <c r="I3" s="1040">
        <v>8</v>
      </c>
      <c r="J3" s="1411" t="s">
        <v>930</v>
      </c>
      <c r="K3" s="1402"/>
      <c r="L3" s="1885" t="s">
        <v>2240</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2280</v>
      </c>
      <c r="B4" s="2477" t="e">
        <f>ROUND(B2*10000/F1,0)</f>
        <v>#DIV/0!</v>
      </c>
      <c r="C4" s="1894" t="s">
        <v>2254</v>
      </c>
      <c r="D4" s="1894" t="e">
        <f>ROUND(B2/(F1/666.67),0)</f>
        <v>#DIV/0!</v>
      </c>
      <c r="E4" s="1894" t="s">
        <v>2255</v>
      </c>
      <c r="F4" s="1892"/>
      <c r="G4" s="1892"/>
      <c r="H4" s="1892"/>
      <c r="I4" s="1892"/>
      <c r="J4" s="1893"/>
      <c r="K4" s="1402"/>
      <c r="L4" s="1885" t="s">
        <v>2241</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2" customFormat="1" ht="15.75" thickBot="1">
      <c r="A5" s="1639" t="s">
        <v>1824</v>
      </c>
      <c r="B5" s="1416" t="s">
        <v>931</v>
      </c>
      <c r="C5" s="1041" t="e">
        <f>ROUND(IF(E2="商业",IF(F16="增加",C6*C7+C16,C6*C7-C16),IF(E2="住宅",IF(F16="增加",C6*C12+C16,C6*C12-C16),IF(F16="增加",C6+C16,C6-C16))),0)</f>
        <v>#DIV/0!</v>
      </c>
      <c r="D5" s="3148">
        <f>ROUND(IF(E2="商业",IF(F16="增加",C6+C16,C6-C16)),0)</f>
        <v>0</v>
      </c>
      <c r="E5" s="1417"/>
      <c r="F5" s="1417"/>
      <c r="G5" s="1418"/>
      <c r="H5" s="1418"/>
      <c r="I5" s="1418"/>
      <c r="J5" s="1419"/>
      <c r="K5" s="1595"/>
      <c r="L5" s="1885" t="s">
        <v>2242</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5" t="s">
        <v>2243</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20"/>
      <c r="AE6" s="1420"/>
      <c r="AF6" s="1420"/>
      <c r="AG6" s="1420"/>
      <c r="AH6" s="1420"/>
      <c r="AI6" s="1420"/>
      <c r="AJ6" s="1421"/>
    </row>
    <row r="7" spans="1:39" ht="24">
      <c r="A7" s="3456" t="str">
        <f>IF(E2="商业",IF(C8="不临58条商业街","",2),"")</f>
        <v/>
      </c>
      <c r="B7" s="1428" t="s">
        <v>932</v>
      </c>
      <c r="C7" s="1043" t="e">
        <f>IF(C8="不临58条商业街",1,ROUND(1+(1.6*E8+1.2*E9+0.8*E10+0.4*E11)*C9,4))</f>
        <v>#DIV/0!</v>
      </c>
      <c r="D7" s="1429" t="s">
        <v>933</v>
      </c>
      <c r="E7" s="1044"/>
      <c r="F7" s="1430"/>
      <c r="G7" s="1431"/>
      <c r="H7" s="1431"/>
      <c r="I7" s="1431"/>
      <c r="J7" s="1432"/>
      <c r="K7" s="1596"/>
      <c r="L7" s="1885" t="s">
        <v>2244</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2765</v>
      </c>
      <c r="X7" s="2951">
        <f>G2</f>
        <v>0</v>
      </c>
      <c r="Y7" s="2951" t="s">
        <v>2766</v>
      </c>
      <c r="Z7" s="2952">
        <f>G3</f>
        <v>4.0599999999999996</v>
      </c>
      <c r="AA7" s="2192"/>
      <c r="AB7" s="2192"/>
      <c r="AC7" s="2193"/>
      <c r="AD7" s="2953"/>
      <c r="AE7" s="2953"/>
      <c r="AF7" s="2953"/>
      <c r="AG7" s="2953"/>
      <c r="AH7" s="2953"/>
      <c r="AI7" s="2953"/>
      <c r="AJ7" s="2954"/>
    </row>
    <row r="8" spans="1:39" ht="15">
      <c r="A8" s="3457"/>
      <c r="B8" s="1415" t="s">
        <v>934</v>
      </c>
      <c r="C8" s="1530"/>
      <c r="D8" s="1045" t="s">
        <v>935</v>
      </c>
      <c r="E8" s="1046" t="e">
        <f>ROUND(C11/E7,4)</f>
        <v>#DIV/0!</v>
      </c>
      <c r="F8" s="1433" t="s">
        <v>936</v>
      </c>
      <c r="G8" s="1434"/>
      <c r="H8" s="1434"/>
      <c r="I8" s="1434"/>
      <c r="J8" s="1435"/>
      <c r="K8" s="1402"/>
      <c r="L8" s="1885" t="s">
        <v>2245</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48" t="s">
        <v>2783</v>
      </c>
      <c r="X8" s="3449"/>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457"/>
      <c r="B9" s="1415" t="s">
        <v>937</v>
      </c>
      <c r="C9" s="1047">
        <f>SUMIF(修正!C59:C119,C8,修正!E59:E119)</f>
        <v>0</v>
      </c>
      <c r="D9" s="1048" t="s">
        <v>938</v>
      </c>
      <c r="E9" s="1048" t="e">
        <f>ROUND(C11/E7,4)</f>
        <v>#DIV/0!</v>
      </c>
      <c r="F9" s="1433" t="s">
        <v>939</v>
      </c>
      <c r="G9" s="1434"/>
      <c r="H9" s="1434"/>
      <c r="I9" s="1434"/>
      <c r="J9" s="1435"/>
      <c r="K9" s="1402"/>
      <c r="L9" s="1885" t="s">
        <v>2246</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47" t="s">
        <v>2779</v>
      </c>
      <c r="X9" s="2955" t="s">
        <v>2780</v>
      </c>
      <c r="Y9" s="3122"/>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57"/>
      <c r="B10" s="1415" t="s">
        <v>940</v>
      </c>
      <c r="C10" s="1048">
        <f>SUMIF(修正!C59:C119,C8,修正!F59:F119)</f>
        <v>0</v>
      </c>
      <c r="D10" s="1048" t="s">
        <v>941</v>
      </c>
      <c r="E10" s="1048" t="e">
        <f>ROUND(C11/E7,4)</f>
        <v>#DIV/0!</v>
      </c>
      <c r="F10" s="1433" t="s">
        <v>942</v>
      </c>
      <c r="G10" s="1434"/>
      <c r="H10" s="1434"/>
      <c r="I10" s="1434"/>
      <c r="J10" s="1435"/>
      <c r="K10" s="1402"/>
      <c r="L10" s="1885" t="s">
        <v>2247</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47"/>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57"/>
      <c r="B11" s="1436" t="s">
        <v>943</v>
      </c>
      <c r="C11" s="1049">
        <f>C10/4</f>
        <v>0</v>
      </c>
      <c r="D11" s="1049" t="s">
        <v>944</v>
      </c>
      <c r="E11" s="1049" t="e">
        <f>ROUND(C11/E7,4)</f>
        <v>#DIV/0!</v>
      </c>
      <c r="F11" s="1437" t="s">
        <v>945</v>
      </c>
      <c r="G11" s="1438"/>
      <c r="H11" s="1438"/>
      <c r="I11" s="1438"/>
      <c r="J11" s="1439"/>
      <c r="K11" s="1402"/>
      <c r="L11" s="1885" t="s">
        <v>2248</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47" t="s">
        <v>2781</v>
      </c>
      <c r="X11" s="1048" t="s">
        <v>2766</v>
      </c>
      <c r="Y11" s="1654">
        <f>$G$3</f>
        <v>4.0599999999999996</v>
      </c>
      <c r="Z11" s="1654">
        <f t="shared" ref="Z11:AJ11" si="3">$G$3</f>
        <v>4.0599999999999996</v>
      </c>
      <c r="AA11" s="1654">
        <f t="shared" si="3"/>
        <v>4.0599999999999996</v>
      </c>
      <c r="AB11" s="1654">
        <f t="shared" si="3"/>
        <v>4.0599999999999996</v>
      </c>
      <c r="AC11" s="1654">
        <f t="shared" si="3"/>
        <v>4.0599999999999996</v>
      </c>
      <c r="AD11" s="1654">
        <f t="shared" si="3"/>
        <v>4.0599999999999996</v>
      </c>
      <c r="AE11" s="1654">
        <f t="shared" si="3"/>
        <v>4.0599999999999996</v>
      </c>
      <c r="AF11" s="1654">
        <f t="shared" si="3"/>
        <v>4.0599999999999996</v>
      </c>
      <c r="AG11" s="1654">
        <f t="shared" si="3"/>
        <v>4.0599999999999996</v>
      </c>
      <c r="AH11" s="1654">
        <f t="shared" si="3"/>
        <v>4.0599999999999996</v>
      </c>
      <c r="AI11" s="1654">
        <f t="shared" si="3"/>
        <v>4.0599999999999996</v>
      </c>
      <c r="AJ11" s="1654">
        <f t="shared" si="3"/>
        <v>4.0599999999999996</v>
      </c>
    </row>
    <row r="12" spans="1:39" ht="25.5" thickBot="1">
      <c r="A12" s="3456" t="s">
        <v>1872</v>
      </c>
      <c r="B12" s="1440" t="s">
        <v>946</v>
      </c>
      <c r="C12" s="1043">
        <f>ROUND(C15*D15*E15*F15*G15*H15*I15*J15,4)</f>
        <v>1</v>
      </c>
      <c r="D12" s="1441" t="s">
        <v>947</v>
      </c>
      <c r="E12" s="1442"/>
      <c r="F12" s="1442"/>
      <c r="G12" s="1443"/>
      <c r="H12" s="1443"/>
      <c r="I12" s="1443"/>
      <c r="J12" s="1444"/>
      <c r="K12" s="1402"/>
      <c r="L12" s="1888" t="s">
        <v>2249</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47"/>
      <c r="X12" s="2958" t="s">
        <v>2782</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58"/>
      <c r="B13" s="1445" t="s">
        <v>1697</v>
      </c>
      <c r="C13" s="1446" t="s">
        <v>1698</v>
      </c>
      <c r="D13" s="1089" t="s">
        <v>1699</v>
      </c>
      <c r="E13" s="1089" t="s">
        <v>1700</v>
      </c>
      <c r="F13" s="1447" t="s">
        <v>948</v>
      </c>
      <c r="G13" s="1448" t="s">
        <v>1643</v>
      </c>
      <c r="H13" s="1449" t="s">
        <v>1643</v>
      </c>
      <c r="I13" s="1450" t="s">
        <v>1643</v>
      </c>
      <c r="J13" s="1451" t="s">
        <v>1643</v>
      </c>
      <c r="K13" s="1402"/>
      <c r="L13" s="2189"/>
      <c r="M13" s="2189"/>
      <c r="N13" s="2189"/>
      <c r="O13" s="2189"/>
      <c r="P13" s="2189"/>
      <c r="Q13" s="2189"/>
      <c r="R13" s="2961">
        <v>12</v>
      </c>
      <c r="S13" s="2950"/>
      <c r="T13" s="2961" t="e">
        <f t="shared" si="0"/>
        <v>#DIV/0!</v>
      </c>
      <c r="U13" s="2950"/>
      <c r="V13" s="2961" t="e">
        <f t="shared" si="1"/>
        <v>#DIV/0!</v>
      </c>
      <c r="W13" s="3447"/>
      <c r="X13" s="2958"/>
      <c r="Y13" s="2957">
        <f>(-0.163*(Y12^2)-0.59*Y12+7617)*(10^(-4))/Y11</f>
        <v>0.18761083743842366</v>
      </c>
      <c r="Z13" s="2957">
        <f t="shared" ref="Z13:AJ13" si="5">(-0.163*(Z12^2)-0.59*Z12+7617)*(10^(-4))/Z11</f>
        <v>0.18761083743842366</v>
      </c>
      <c r="AA13" s="2957">
        <f t="shared" si="5"/>
        <v>0.18761083743842366</v>
      </c>
      <c r="AB13" s="2957">
        <f t="shared" si="5"/>
        <v>0.18761083743842366</v>
      </c>
      <c r="AC13" s="2957">
        <f t="shared" si="5"/>
        <v>0.18761083743842366</v>
      </c>
      <c r="AD13" s="2957">
        <f t="shared" si="5"/>
        <v>0.18761083743842366</v>
      </c>
      <c r="AE13" s="2957">
        <f t="shared" si="5"/>
        <v>0.18761083743842366</v>
      </c>
      <c r="AF13" s="2957">
        <f t="shared" si="5"/>
        <v>0.18761083743842366</v>
      </c>
      <c r="AG13" s="2957">
        <f t="shared" si="5"/>
        <v>0.18761083743842366</v>
      </c>
      <c r="AH13" s="2957">
        <f t="shared" si="5"/>
        <v>0.18761083743842366</v>
      </c>
      <c r="AI13" s="2957">
        <f t="shared" si="5"/>
        <v>0.18761083743842366</v>
      </c>
      <c r="AJ13" s="2957">
        <f t="shared" si="5"/>
        <v>0.18761083743842366</v>
      </c>
    </row>
    <row r="14" spans="1:39" ht="12.75" customHeight="1" thickBot="1">
      <c r="A14" s="3458"/>
      <c r="B14" s="1452"/>
      <c r="C14" s="1453"/>
      <c r="D14" s="1454"/>
      <c r="E14" s="1454"/>
      <c r="F14" s="1455"/>
      <c r="G14" s="1456" t="s">
        <v>949</v>
      </c>
      <c r="H14" s="1457"/>
      <c r="I14" s="1458"/>
      <c r="J14" s="1459"/>
      <c r="K14" s="1402"/>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59"/>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9"/>
      <c r="R15" s="2961">
        <v>14</v>
      </c>
      <c r="S15" s="2950"/>
      <c r="T15" s="2961" t="e">
        <f t="shared" si="0"/>
        <v>#DIV/0!</v>
      </c>
      <c r="U15" s="2950"/>
      <c r="V15" s="2961" t="e">
        <f t="shared" si="1"/>
        <v>#DIV/0!</v>
      </c>
      <c r="W15" s="2189"/>
      <c r="X15" s="2189"/>
      <c r="Y15" s="2189"/>
      <c r="Z15" s="2189"/>
      <c r="AA15" s="2189"/>
      <c r="AB15" s="2189"/>
      <c r="AC15" s="2190"/>
    </row>
    <row r="16" spans="1:39" ht="24">
      <c r="A16" s="3456"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57"/>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1830</v>
      </c>
      <c r="B18" s="2796" t="s">
        <v>956</v>
      </c>
      <c r="C18" s="2797">
        <f>SUMIF(修正!C18:C39,E3,修正!E18:E39)</f>
        <v>0</v>
      </c>
      <c r="D18" s="2798"/>
      <c r="E18" s="2799"/>
      <c r="F18" s="2800"/>
      <c r="G18" s="2794"/>
      <c r="H18" s="2794"/>
      <c r="I18" s="2794"/>
      <c r="J18" s="2801"/>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43244</v>
      </c>
      <c r="H19" s="1476" t="s">
        <v>2934</v>
      </c>
      <c r="I19" s="2808" t="str">
        <f>IF(H19="季度增幅（自定义）",SUMIF(N21:N24,E2,O21:O24),"")</f>
        <v/>
      </c>
      <c r="J19" s="1472"/>
      <c r="K19" s="1482"/>
      <c r="L19" s="3063" t="s">
        <v>2841</v>
      </c>
      <c r="M19" s="3064">
        <f>ROUND(SUMIF(地价!B2:F2,E2,地价!B22:F22),0)</f>
        <v>0</v>
      </c>
      <c r="N19" s="2810" t="s">
        <v>1677</v>
      </c>
      <c r="O19" s="2809">
        <f>ROUNDDOWN(DATEDIF(E19,G19,"M")/3,0)</f>
        <v>17</v>
      </c>
      <c r="P19" s="1597"/>
      <c r="R19" s="2949"/>
      <c r="S19" s="2949"/>
      <c r="T19" s="2949"/>
      <c r="U19" s="2949"/>
      <c r="V19" s="2949"/>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802" t="s">
        <v>1837</v>
      </c>
      <c r="B20" s="2803" t="s">
        <v>972</v>
      </c>
      <c r="C20" s="2804" t="e">
        <f>ROUND(POWER(1+G20,J20-I20)*(POWER(1+G20,I20)-1)/(POWER(1+G20,J20)-1),4)</f>
        <v>#DIV/0!</v>
      </c>
      <c r="D20" s="2805" t="s">
        <v>973</v>
      </c>
      <c r="E20" s="3119">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2"/>
      <c r="L20" s="3065" t="s">
        <v>2842</v>
      </c>
      <c r="M20" s="3066">
        <f>ROUND(SUMPRODUCT((地价!A4:A22=YEAR(G19)&amp;"-"&amp;ROUNDUP(MONTH(G19)/3,0))*(地价!B2:F2=E2)*(地价!B4:F22)),0)</f>
        <v>0</v>
      </c>
      <c r="N20" s="2813" t="s">
        <v>2645</v>
      </c>
      <c r="O20" s="2811" t="s">
        <v>2644</v>
      </c>
      <c r="P20" s="2812" t="s">
        <v>2650</v>
      </c>
      <c r="R20" s="2949"/>
      <c r="S20" s="2949"/>
      <c r="T20" s="2949"/>
      <c r="U20" s="2949"/>
      <c r="V20" s="2949"/>
      <c r="W20" s="2195"/>
      <c r="X20" s="2195"/>
      <c r="Y20" s="2195"/>
      <c r="Z20" s="2195"/>
      <c r="AA20" s="2195"/>
      <c r="AB20" s="2195"/>
      <c r="AC20" s="2195"/>
      <c r="AD20" s="1473"/>
      <c r="AE20" s="1473"/>
      <c r="AF20" s="1473"/>
      <c r="AG20" s="1473"/>
      <c r="AH20" s="1473"/>
      <c r="AI20" s="1473"/>
    </row>
    <row r="21" spans="1:40" s="1422" customFormat="1" ht="14.25">
      <c r="A21" s="1643" t="s">
        <v>1838</v>
      </c>
      <c r="B21" s="1481" t="s">
        <v>2761</v>
      </c>
      <c r="C21" s="1158">
        <f>IF(B21="容积率修正",IF(G3&lt;=10,D22,J22),C23)</f>
        <v>0</v>
      </c>
      <c r="D21" s="1482"/>
      <c r="E21" s="1482"/>
      <c r="F21" s="1482"/>
      <c r="G21" s="1482"/>
      <c r="H21" s="1482"/>
      <c r="I21" s="1482"/>
      <c r="J21" s="1483"/>
      <c r="K21" s="1482"/>
      <c r="L21" s="1482"/>
      <c r="M21" s="1482"/>
      <c r="N21" s="1479" t="s">
        <v>976</v>
      </c>
      <c r="O21" s="1543"/>
      <c r="P21" s="2793">
        <f>SUMPRODUCT((地价!A3:A22=YEAR(G19)&amp;"-"&amp;ROUNDUP(MONTH(G19)/3,0))*(地价!AD2:AH2=N21)*(地价!AD3:AH22))</f>
        <v>1.5699999999999999E-2</v>
      </c>
      <c r="R21" s="2949"/>
      <c r="S21" s="2949"/>
      <c r="T21" s="2949"/>
      <c r="U21" s="2949"/>
      <c r="V21" s="2949"/>
      <c r="W21" s="2195"/>
      <c r="X21" s="2195"/>
      <c r="Y21" s="2195"/>
      <c r="Z21" s="2195"/>
      <c r="AA21" s="2195"/>
      <c r="AB21" s="2195"/>
      <c r="AC21" s="2195"/>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4.0999999999999996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3">
        <f>SUMPRODUCT((地价!A3:A22=YEAR(G19)&amp;"-"&amp;ROUNDUP(MONTH(G19)/3,0))*(地价!AD2:AH2=N22)*(地价!AD3:AH22))</f>
        <v>1.5699999999999999E-2</v>
      </c>
      <c r="R22" s="2949"/>
      <c r="S22" s="2949"/>
      <c r="T22" s="2949"/>
      <c r="U22" s="2949"/>
      <c r="V22" s="2949"/>
      <c r="W22" s="2195"/>
      <c r="X22" s="2195"/>
      <c r="Y22" s="2195"/>
      <c r="Z22" s="2195"/>
      <c r="AA22" s="2195"/>
      <c r="AB22" s="2195"/>
      <c r="AC22" s="2195"/>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3">
        <f>SUMPRODUCT((地价!A3:A22=YEAR(G19)&amp;"-"&amp;ROUNDUP(MONTH(G19)/3,0))*(地价!AD2:AH2=N23)*(地价!AD3:AH22))</f>
        <v>2.5000000000000001E-2</v>
      </c>
      <c r="R23" s="2949"/>
      <c r="S23" s="2949"/>
      <c r="T23" s="2949"/>
      <c r="U23" s="2949"/>
      <c r="V23" s="2949"/>
      <c r="W23" s="2195"/>
      <c r="X23" s="2195"/>
      <c r="Y23" s="2195"/>
      <c r="Z23" s="2195"/>
      <c r="AA23" s="2195"/>
      <c r="AB23" s="2195"/>
      <c r="AC23" s="2195"/>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1.35E-2</v>
      </c>
      <c r="R24" s="2949"/>
      <c r="S24" s="2949"/>
      <c r="T24" s="2949"/>
      <c r="U24" s="2949"/>
      <c r="V24" s="2949"/>
      <c r="W24" s="2195"/>
      <c r="X24" s="2195"/>
      <c r="Y24" s="2195"/>
      <c r="Z24" s="2195"/>
      <c r="AA24" s="2195"/>
      <c r="AB24" s="2195"/>
      <c r="AC24" s="2195"/>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5"/>
      <c r="M25" s="2195"/>
      <c r="N25" s="2821" t="s">
        <v>2648</v>
      </c>
      <c r="O25" s="2195"/>
      <c r="P25" s="1542">
        <f>SUMPRODUCT((地价!A3:A22=YEAR(G19)&amp;"-"&amp;ROUNDUP(MONTH(G19)/3,0))*(地价!AD2:AH2=N25)*(地价!AD3:AH22))</f>
        <v>2.2700000000000001E-2</v>
      </c>
      <c r="R25" s="2949"/>
      <c r="S25" s="2949"/>
      <c r="T25" s="2949"/>
      <c r="U25" s="2949"/>
      <c r="V25" s="2949"/>
      <c r="W25" s="2195"/>
      <c r="X25" s="2195"/>
      <c r="Y25" s="2195"/>
      <c r="Z25" s="2195"/>
      <c r="AA25" s="2195"/>
      <c r="AB25" s="2195"/>
      <c r="AC25" s="2195"/>
    </row>
    <row r="26" spans="1:40" ht="14.25">
      <c r="A26" s="1490"/>
      <c r="B26" s="1484" t="s">
        <v>987</v>
      </c>
      <c r="C26" s="1063" t="e">
        <f>E29+SUM(E33:E39)</f>
        <v>#DIV/0!</v>
      </c>
      <c r="D26" s="1491"/>
      <c r="E26" s="1457"/>
      <c r="F26" s="1492"/>
      <c r="G26" s="1457"/>
      <c r="H26" s="1457"/>
      <c r="I26" s="1457"/>
      <c r="J26" s="1493"/>
      <c r="K26" s="1402"/>
      <c r="L26" s="2195"/>
      <c r="M26" s="2195"/>
      <c r="N26" s="2195"/>
      <c r="O26" s="2195"/>
      <c r="P26" s="2195"/>
      <c r="Q26" s="2195"/>
      <c r="R26" s="2949"/>
      <c r="S26" s="2949"/>
      <c r="T26" s="2949"/>
      <c r="U26" s="2949"/>
      <c r="V26" s="2949"/>
      <c r="W26" s="2195"/>
      <c r="X26" s="2195"/>
      <c r="Y26" s="2195"/>
      <c r="Z26" s="2195"/>
      <c r="AA26" s="2195"/>
      <c r="AB26" s="2195"/>
      <c r="AC26" s="2195"/>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5"/>
      <c r="M27" s="2195"/>
      <c r="N27" s="2195"/>
      <c r="O27" s="2195"/>
      <c r="P27" s="2195"/>
      <c r="Q27" s="2195"/>
      <c r="R27" s="2949"/>
      <c r="S27" s="2949"/>
      <c r="T27" s="2949"/>
      <c r="U27" s="2949"/>
      <c r="V27" s="2949"/>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49"/>
      <c r="S28" s="2949"/>
      <c r="T28" s="2949"/>
      <c r="U28" s="2949"/>
      <c r="V28" s="2949"/>
      <c r="W28" s="2195"/>
      <c r="X28" s="2195"/>
      <c r="Y28" s="2195"/>
      <c r="Z28" s="2195"/>
      <c r="AA28" s="2195"/>
      <c r="AB28" s="2195"/>
      <c r="AC28" s="2195"/>
      <c r="AD28" s="1473"/>
      <c r="AE28" s="1473"/>
      <c r="AF28" s="1473"/>
      <c r="AG28" s="1473"/>
    </row>
    <row r="29" spans="1:40" ht="24">
      <c r="A29" s="1503"/>
      <c r="B29" s="1504" t="s">
        <v>994</v>
      </c>
      <c r="C29" s="1063" t="e">
        <f>ROUND(C5*C18*C19*C20*C21*C24,0)</f>
        <v>#DIV/0!</v>
      </c>
      <c r="D29" s="1505"/>
      <c r="E29" s="1849" t="e">
        <f>ROUND(C29*D29/10000,0)</f>
        <v>#DIV/0!</v>
      </c>
      <c r="F29" s="1506" t="s">
        <v>1702</v>
      </c>
      <c r="G29" s="1507"/>
      <c r="H29" s="1507"/>
      <c r="I29" s="1507"/>
      <c r="J29" s="1508"/>
      <c r="K29" s="1402"/>
      <c r="L29" s="2195"/>
      <c r="M29" s="2195"/>
      <c r="N29" s="2195"/>
      <c r="O29" s="2195"/>
      <c r="P29" s="2195"/>
      <c r="Q29" s="2195"/>
      <c r="R29" s="2949"/>
      <c r="S29" s="2949"/>
      <c r="T29" s="2949"/>
      <c r="U29" s="2949"/>
      <c r="V29" s="2949"/>
      <c r="W29" s="2195"/>
      <c r="X29" s="2195"/>
      <c r="Y29" s="2195"/>
      <c r="Z29" s="2195"/>
      <c r="AA29" s="2195"/>
      <c r="AB29" s="2195"/>
      <c r="AC29" s="2195"/>
      <c r="AH29" s="1403"/>
      <c r="AI29" s="1403"/>
      <c r="AJ29" s="1406"/>
      <c r="AK29" s="1406"/>
      <c r="AL29" s="1406"/>
      <c r="AM29" s="1406"/>
    </row>
    <row r="30" spans="1:40" ht="24.75" thickBot="1">
      <c r="A30" s="1509"/>
      <c r="B30" s="1510" t="s">
        <v>995</v>
      </c>
      <c r="C30" s="1051" t="e">
        <f>ROUND(IF(E2="工业",C29*M39,C29*M38),0)</f>
        <v>#DIV/0!</v>
      </c>
      <c r="D30" s="1511"/>
      <c r="E30" s="1849"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62" t="s">
        <v>2960</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63"/>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63"/>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4"/>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43" t="s">
        <v>1007</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48" t="s">
        <v>1008</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1009</v>
      </c>
      <c r="B46" s="2432" t="s">
        <v>1010</v>
      </c>
      <c r="C46" s="2454" t="s">
        <v>1011</v>
      </c>
      <c r="D46" s="2455" t="s">
        <v>1012</v>
      </c>
      <c r="E46" s="2456" t="s">
        <v>1014</v>
      </c>
      <c r="F46" s="2457" t="s">
        <v>2250</v>
      </c>
      <c r="G46" s="2455" t="s">
        <v>1015</v>
      </c>
      <c r="H46" s="2438" t="s">
        <v>2418</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1021</v>
      </c>
      <c r="B47" s="2435" t="str">
        <f>估价对象房地状况!C16</f>
        <v>估价对象位于XX商圈，周边商业氛围成熟，人流量大，商业繁华度好</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1022</v>
      </c>
      <c r="B48" s="2432" t="str">
        <f>估价对象房地状况!C18</f>
        <v>估价对象周边道路状况、公共交通通达情况、停车便捷程度，综合评价交通便捷度较好</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1023</v>
      </c>
      <c r="B49" s="2432">
        <f>估价对象房地状况!C19</f>
        <v>0</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1024</v>
      </c>
      <c r="B50" s="3121" t="s">
        <v>2936</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1025</v>
      </c>
      <c r="B51" s="2432">
        <f>估价对象房地状况!C24</f>
        <v>0</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1026</v>
      </c>
      <c r="B52" s="3120" t="s">
        <v>2935</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64" t="s">
        <v>1027</v>
      </c>
      <c r="B53" s="2433" t="str">
        <f>估价对象房地状况!C21</f>
        <v>估价对象所在区域公共配套设施齐备情况</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64" t="s">
        <v>1028</v>
      </c>
      <c r="B54" s="2432" t="str">
        <f>估价对象房地状况!C22</f>
        <v>估价对象所在区域基础设施水平</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65" t="s">
        <v>1029</v>
      </c>
      <c r="B55" s="2436" t="str">
        <f>估价对象房地状况!C20</f>
        <v>区域自然环境：；人文环境；综合评价环境状况一般</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48" t="s">
        <v>1030</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1009</v>
      </c>
      <c r="B57" s="2432"/>
      <c r="C57" s="2454" t="s">
        <v>1011</v>
      </c>
      <c r="D57" s="2455" t="s">
        <v>1012</v>
      </c>
      <c r="E57" s="2456" t="s">
        <v>1014</v>
      </c>
      <c r="F57" s="2457" t="s">
        <v>2251</v>
      </c>
      <c r="G57" s="2455" t="s">
        <v>1015</v>
      </c>
      <c r="H57" s="2438" t="s">
        <v>2418</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1031</v>
      </c>
      <c r="B58" s="2435" t="str">
        <f>估价对象房地状况!C17</f>
        <v>估价对象位于XX商圈，周边办公楼项目较多，入驻率高，办公集聚程度较好</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1022</v>
      </c>
      <c r="B59" s="2432" t="str">
        <f>估价对象房地状况!C18</f>
        <v>估价对象周边道路状况、公共交通通达情况、停车便捷程度，综合评价交通便捷度较好</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1023</v>
      </c>
      <c r="B60" s="2432">
        <f>估价对象房地状况!C19</f>
        <v>0</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1024</v>
      </c>
      <c r="B61" s="3121" t="s">
        <v>2937</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1025</v>
      </c>
      <c r="B62" s="2432">
        <f>估价对象房地状况!C24</f>
        <v>0</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1026</v>
      </c>
      <c r="B63" s="3120" t="s">
        <v>2935</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1027</v>
      </c>
      <c r="B64" s="2433" t="str">
        <f>估价对象房地状况!C21</f>
        <v>估价对象所在区域公共配套设施齐备情况</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1028</v>
      </c>
      <c r="B65" s="2433" t="str">
        <f>估价对象房地状况!C22</f>
        <v>估价对象所在区域基础设施水平</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65" t="s">
        <v>1029</v>
      </c>
      <c r="B66" s="2437" t="str">
        <f>估价对象房地状况!C20</f>
        <v>区域自然环境：；人文环境；综合评价环境状况一般</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48" t="s">
        <v>1032</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1009</v>
      </c>
      <c r="B68" s="2432"/>
      <c r="C68" s="2454" t="s">
        <v>1011</v>
      </c>
      <c r="D68" s="2455" t="s">
        <v>1012</v>
      </c>
      <c r="E68" s="2456" t="s">
        <v>1014</v>
      </c>
      <c r="F68" s="2457" t="s">
        <v>2252</v>
      </c>
      <c r="G68" s="2455" t="s">
        <v>1015</v>
      </c>
      <c r="H68" s="2438" t="s">
        <v>2418</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1033</v>
      </c>
      <c r="B69" s="2435" t="str">
        <f>估价对象房地状况!C15</f>
        <v>估价对象周边居住用地比例、居住小区规模和社区发展完善程度，综合评价居住社区成熟度一般</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1034</v>
      </c>
      <c r="B70" s="2432" t="str">
        <f>估价对象房地状况!C18</f>
        <v>估价对象周边道路状况、公共交通通达情况、停车便捷程度，综合评价交通便捷度较好</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1023</v>
      </c>
      <c r="B71" s="2432">
        <f>估价对象房地状况!C19</f>
        <v>0</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1035</v>
      </c>
      <c r="B72" s="2432">
        <f>估价对象房地状况!C24</f>
        <v>0</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1027</v>
      </c>
      <c r="B73" s="2433" t="str">
        <f>估价对象房地状况!C21</f>
        <v>估价对象所在区域公共配套设施齐备情况</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1028</v>
      </c>
      <c r="B74" s="2433" t="str">
        <f>估价对象房地状况!C22</f>
        <v>估价对象所在区域基础设施水平</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1026</v>
      </c>
      <c r="B75" s="3120" t="s">
        <v>2935</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1029</v>
      </c>
      <c r="B76" s="2435" t="str">
        <f>估价对象房地状况!C20</f>
        <v>区域自然环境：；人文环境；综合评价环境状况一般</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65" t="s">
        <v>1036</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6"/>
      <c r="AD77" s="1405"/>
      <c r="AJ77" s="1404"/>
      <c r="AN77" s="1405"/>
    </row>
    <row r="78" spans="1:40" ht="15">
      <c r="A78" s="2448" t="s">
        <v>1037</v>
      </c>
      <c r="B78" s="2449">
        <f>1+E80</f>
        <v>1</v>
      </c>
      <c r="C78" s="2468"/>
      <c r="D78" s="2451"/>
      <c r="E78" s="2452"/>
      <c r="F78" s="2453"/>
      <c r="G78" s="2447"/>
      <c r="H78" s="2447"/>
      <c r="I78" s="2447"/>
      <c r="J78" s="1066"/>
      <c r="K78" s="1066"/>
      <c r="L78" s="1066"/>
      <c r="M78" s="1066"/>
      <c r="N78" s="1066"/>
      <c r="AC78" s="1406"/>
      <c r="AD78" s="1405"/>
      <c r="AJ78" s="1404"/>
      <c r="AN78" s="1405"/>
    </row>
    <row r="79" spans="1:40" ht="24">
      <c r="A79" s="1067" t="s">
        <v>1009</v>
      </c>
      <c r="B79" s="2432"/>
      <c r="C79" s="2454" t="s">
        <v>1011</v>
      </c>
      <c r="D79" s="2455" t="s">
        <v>1012</v>
      </c>
      <c r="E79" s="2456" t="s">
        <v>1014</v>
      </c>
      <c r="F79" s="2457" t="s">
        <v>2253</v>
      </c>
      <c r="G79" s="2455" t="s">
        <v>1015</v>
      </c>
      <c r="H79" s="2438" t="s">
        <v>2418</v>
      </c>
      <c r="I79" s="2455" t="s">
        <v>1013</v>
      </c>
      <c r="J79" s="2458" t="s">
        <v>1016</v>
      </c>
      <c r="K79" s="2458" t="s">
        <v>1017</v>
      </c>
      <c r="L79" s="2458" t="s">
        <v>1018</v>
      </c>
      <c r="M79" s="2458" t="s">
        <v>1019</v>
      </c>
      <c r="N79" s="2458" t="s">
        <v>1020</v>
      </c>
      <c r="AC79" s="1406"/>
      <c r="AD79" s="1405"/>
      <c r="AJ79" s="1404"/>
      <c r="AN79" s="1405"/>
    </row>
    <row r="80" spans="1:40" ht="36">
      <c r="A80" s="1067" t="s">
        <v>1038</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6"/>
      <c r="AD80" s="1405"/>
      <c r="AJ80" s="1404"/>
      <c r="AN80" s="1405"/>
    </row>
    <row r="81" spans="1:40" ht="48">
      <c r="A81" s="1067" t="s">
        <v>1034</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6"/>
      <c r="AD81" s="1405"/>
      <c r="AJ81" s="1404"/>
      <c r="AN81" s="1405"/>
    </row>
    <row r="82" spans="1:40" ht="24">
      <c r="A82" s="1067" t="s">
        <v>1023</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6"/>
      <c r="AD82" s="1405"/>
      <c r="AJ82" s="1404"/>
      <c r="AN82" s="1405"/>
    </row>
    <row r="83" spans="1:40" ht="14.25">
      <c r="A83" s="1067" t="s">
        <v>1035</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6"/>
      <c r="AD83" s="1405"/>
      <c r="AJ83" s="1404"/>
      <c r="AN83" s="1405"/>
    </row>
    <row r="84" spans="1:40" ht="24">
      <c r="A84" s="1067" t="s">
        <v>1027</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6"/>
      <c r="AD84" s="1405"/>
      <c r="AJ84" s="1404"/>
      <c r="AN84" s="1405"/>
    </row>
    <row r="85" spans="1:40" ht="24">
      <c r="A85" s="1067" t="s">
        <v>1028</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6"/>
      <c r="AD85" s="1405"/>
      <c r="AJ85" s="1404"/>
      <c r="AN85" s="1405"/>
    </row>
    <row r="86" spans="1:40" ht="24">
      <c r="A86" s="1067" t="s">
        <v>1026</v>
      </c>
      <c r="B86" s="3120" t="s">
        <v>2935</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6"/>
      <c r="AD86" s="1405"/>
      <c r="AJ86" s="1404"/>
      <c r="AN86" s="1405"/>
    </row>
    <row r="87" spans="1:40" ht="36.75" thickBot="1">
      <c r="A87" s="2465" t="s">
        <v>1039</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6"/>
      <c r="AD87" s="1405"/>
      <c r="AJ87" s="1404"/>
      <c r="AN87" s="1405"/>
    </row>
    <row r="90" spans="1:40">
      <c r="A90" s="3460" t="s">
        <v>1634</v>
      </c>
      <c r="B90" s="3460"/>
      <c r="C90" s="3460"/>
      <c r="D90" s="3460"/>
      <c r="E90" s="3460"/>
      <c r="F90" s="3460"/>
      <c r="G90" s="3460"/>
      <c r="H90" s="3460"/>
      <c r="I90" s="3460"/>
      <c r="J90" s="3460"/>
      <c r="K90" s="2474"/>
      <c r="L90" s="2474"/>
      <c r="M90" s="2474"/>
      <c r="N90" s="2474"/>
    </row>
    <row r="91" spans="1:40">
      <c r="A91" s="3461" t="s">
        <v>1444</v>
      </c>
      <c r="B91" s="3461" t="s">
        <v>1635</v>
      </c>
      <c r="C91" s="1140" t="s">
        <v>1636</v>
      </c>
      <c r="D91" s="1141"/>
      <c r="E91" s="1141"/>
      <c r="F91" s="1141"/>
      <c r="G91" s="1141"/>
      <c r="H91" s="1141"/>
      <c r="I91" s="1141"/>
      <c r="J91" s="1142"/>
      <c r="K91" s="1134"/>
      <c r="L91" s="1134"/>
      <c r="M91" s="1134"/>
      <c r="N91" s="1134"/>
    </row>
    <row r="92" spans="1:40">
      <c r="A92" s="3461"/>
      <c r="B92" s="3461"/>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50"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1"/>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0" t="s">
        <v>1638</v>
      </c>
      <c r="B101" s="1147" t="s">
        <v>906</v>
      </c>
      <c r="C101" s="1148">
        <f>$G$3</f>
        <v>4.0599999999999996</v>
      </c>
      <c r="D101" s="1148">
        <f t="shared" ref="D101:N101" si="31">$G$3</f>
        <v>4.0599999999999996</v>
      </c>
      <c r="E101" s="1148">
        <f t="shared" si="31"/>
        <v>4.0599999999999996</v>
      </c>
      <c r="F101" s="1148">
        <f t="shared" si="31"/>
        <v>4.0599999999999996</v>
      </c>
      <c r="G101" s="1148">
        <f t="shared" si="31"/>
        <v>4.0599999999999996</v>
      </c>
      <c r="H101" s="1148">
        <f t="shared" si="31"/>
        <v>4.0599999999999996</v>
      </c>
      <c r="I101" s="1148">
        <f t="shared" si="31"/>
        <v>4.0599999999999996</v>
      </c>
      <c r="J101" s="1148">
        <f t="shared" si="31"/>
        <v>4.0599999999999996</v>
      </c>
      <c r="K101" s="1148">
        <f t="shared" si="31"/>
        <v>4.0599999999999996</v>
      </c>
      <c r="L101" s="1148">
        <f t="shared" si="31"/>
        <v>4.0599999999999996</v>
      </c>
      <c r="M101" s="1148">
        <f t="shared" si="31"/>
        <v>4.0599999999999996</v>
      </c>
      <c r="N101" s="1148">
        <f t="shared" si="31"/>
        <v>4.0599999999999996</v>
      </c>
    </row>
    <row r="102" spans="1:14">
      <c r="A102" s="3451"/>
      <c r="B102" s="1143">
        <v>1</v>
      </c>
      <c r="C102" s="1144">
        <f>1.9362/C101</f>
        <v>0.47689655172413797</v>
      </c>
      <c r="D102" s="1144">
        <f>1.9362/D101</f>
        <v>0.47689655172413797</v>
      </c>
      <c r="E102" s="1144">
        <f>1.8629/E101</f>
        <v>0.45884236453201976</v>
      </c>
      <c r="F102" s="1144">
        <f>1.8629/F101</f>
        <v>0.45884236453201976</v>
      </c>
      <c r="G102" s="1144">
        <f>1.8629/G101</f>
        <v>0.45884236453201976</v>
      </c>
      <c r="H102" s="1144">
        <f>1.8629/H101</f>
        <v>0.45884236453201976</v>
      </c>
      <c r="I102" s="1144">
        <f>1.8629/I101</f>
        <v>0.45884236453201976</v>
      </c>
      <c r="J102" s="1144">
        <f>1.942/J101</f>
        <v>0.47832512315270942</v>
      </c>
      <c r="K102" s="1144">
        <f>1.942/K101</f>
        <v>0.47832512315270942</v>
      </c>
      <c r="L102" s="1144">
        <f>1.942/L101</f>
        <v>0.47832512315270942</v>
      </c>
      <c r="M102" s="1144">
        <f>1.942/M101</f>
        <v>0.47832512315270942</v>
      </c>
      <c r="N102" s="1144">
        <f>1.942/N101</f>
        <v>0.47832512315270942</v>
      </c>
    </row>
    <row r="103" spans="1:14">
      <c r="A103" s="3451"/>
      <c r="B103" s="1143">
        <v>2</v>
      </c>
      <c r="C103" s="1144">
        <f>1.4198/C101</f>
        <v>0.34970443349753699</v>
      </c>
      <c r="D103" s="1144">
        <f>1.4198/D101</f>
        <v>0.34970443349753699</v>
      </c>
      <c r="E103" s="1144">
        <f>1.3372/E101</f>
        <v>0.32935960591133007</v>
      </c>
      <c r="F103" s="1144">
        <f>1.3372/F101</f>
        <v>0.32935960591133007</v>
      </c>
      <c r="G103" s="1144">
        <f>1.3372/G101</f>
        <v>0.32935960591133007</v>
      </c>
      <c r="H103" s="1144">
        <f>1.3372/H101</f>
        <v>0.32935960591133007</v>
      </c>
      <c r="I103" s="1144">
        <f>1.3372/I101</f>
        <v>0.32935960591133007</v>
      </c>
      <c r="J103" s="1144">
        <f>1.2799/J101</f>
        <v>0.31524630541871923</v>
      </c>
      <c r="K103" s="1144">
        <f>1.2799/K101</f>
        <v>0.31524630541871923</v>
      </c>
      <c r="L103" s="1144">
        <f>1.2799/L101</f>
        <v>0.31524630541871923</v>
      </c>
      <c r="M103" s="1144">
        <f>1.2799/M101</f>
        <v>0.31524630541871923</v>
      </c>
      <c r="N103" s="1144">
        <f>1.2799/N101</f>
        <v>0.31524630541871923</v>
      </c>
    </row>
    <row r="104" spans="1:14">
      <c r="A104" s="3451"/>
      <c r="B104" s="1143">
        <v>3</v>
      </c>
      <c r="C104" s="1144">
        <f>1.1594/C101</f>
        <v>0.28556650246305421</v>
      </c>
      <c r="D104" s="1144">
        <f>1.1594/D101</f>
        <v>0.28556650246305421</v>
      </c>
      <c r="E104" s="1144">
        <f>1.0788/E101</f>
        <v>0.26571428571428574</v>
      </c>
      <c r="F104" s="1144">
        <f>1.0788/F101</f>
        <v>0.26571428571428574</v>
      </c>
      <c r="G104" s="1144">
        <f>1.0788/G101</f>
        <v>0.26571428571428574</v>
      </c>
      <c r="H104" s="1144">
        <f>1.0788/H101</f>
        <v>0.26571428571428574</v>
      </c>
      <c r="I104" s="1144">
        <f>1.0788/I101</f>
        <v>0.26571428571428574</v>
      </c>
      <c r="J104" s="1144">
        <f>1.0072/J101</f>
        <v>0.24807881773399021</v>
      </c>
      <c r="K104" s="1144">
        <f>1.0072/K101</f>
        <v>0.24807881773399021</v>
      </c>
      <c r="L104" s="1144">
        <f>1.0072/L101</f>
        <v>0.24807881773399021</v>
      </c>
      <c r="M104" s="1144">
        <f>1.0072/M101</f>
        <v>0.24807881773399021</v>
      </c>
      <c r="N104" s="1144">
        <f>1.0072/N101</f>
        <v>0.24807881773399021</v>
      </c>
    </row>
    <row r="105" spans="1:14">
      <c r="A105" s="3451"/>
      <c r="B105" s="1143">
        <v>4</v>
      </c>
      <c r="C105" s="1144">
        <f>0.9622/C101</f>
        <v>0.23699507389162566</v>
      </c>
      <c r="D105" s="1144">
        <f>0.9622/D101</f>
        <v>0.23699507389162566</v>
      </c>
      <c r="E105" s="1144">
        <f>0.8656/E101</f>
        <v>0.21320197044334979</v>
      </c>
      <c r="F105" s="1144">
        <f>0.8656/F101</f>
        <v>0.21320197044334979</v>
      </c>
      <c r="G105" s="1144">
        <f>0.8656/G101</f>
        <v>0.21320197044334979</v>
      </c>
      <c r="H105" s="1144">
        <f>0.8656/H101</f>
        <v>0.21320197044334979</v>
      </c>
      <c r="I105" s="1144">
        <f>0.8656/I101</f>
        <v>0.21320197044334979</v>
      </c>
      <c r="J105" s="1144">
        <f>0.7525/J101</f>
        <v>0.18534482758620691</v>
      </c>
      <c r="K105" s="1144">
        <f>0.7525/K101</f>
        <v>0.18534482758620691</v>
      </c>
      <c r="L105" s="1144">
        <f>0.7525/L101</f>
        <v>0.18534482758620691</v>
      </c>
      <c r="M105" s="1144">
        <f>0.7525/M101</f>
        <v>0.18534482758620691</v>
      </c>
      <c r="N105" s="1144">
        <f>0.7525/N101</f>
        <v>0.18534482758620691</v>
      </c>
    </row>
    <row r="106" spans="1:14">
      <c r="A106" s="3451"/>
      <c r="B106" s="1143">
        <v>5</v>
      </c>
      <c r="C106" s="1144">
        <f>0.8417/C101</f>
        <v>0.20731527093596061</v>
      </c>
      <c r="D106" s="1144">
        <f>0.8417/D101</f>
        <v>0.20731527093596061</v>
      </c>
      <c r="E106" s="1144">
        <f>0.7371/E101</f>
        <v>0.18155172413793105</v>
      </c>
      <c r="F106" s="1144">
        <f>0.7371/F101</f>
        <v>0.18155172413793105</v>
      </c>
      <c r="G106" s="1144">
        <f>0.7371/G101</f>
        <v>0.18155172413793105</v>
      </c>
      <c r="H106" s="1144">
        <f>0.7371/H101</f>
        <v>0.18155172413793105</v>
      </c>
      <c r="I106" s="1144">
        <f>0.7371/I101</f>
        <v>0.18155172413793105</v>
      </c>
      <c r="J106" s="1144">
        <f>0.5659/J101</f>
        <v>0.13938423645320197</v>
      </c>
      <c r="K106" s="1144">
        <f>0.5659/K101</f>
        <v>0.13938423645320197</v>
      </c>
      <c r="L106" s="1144">
        <f>0.5659/L101</f>
        <v>0.13938423645320197</v>
      </c>
      <c r="M106" s="1144">
        <f>0.5659/M101</f>
        <v>0.13938423645320197</v>
      </c>
      <c r="N106" s="1144">
        <f>0.5659/N101</f>
        <v>0.13938423645320197</v>
      </c>
    </row>
    <row r="107" spans="1:14">
      <c r="A107" s="3451"/>
      <c r="B107" s="1143">
        <v>6</v>
      </c>
      <c r="C107" s="1144">
        <f>0.7608/C101</f>
        <v>0.18738916256157637</v>
      </c>
      <c r="D107" s="1144">
        <f>0.7608/D101</f>
        <v>0.18738916256157637</v>
      </c>
      <c r="E107" s="1144">
        <f>0.6482/E101</f>
        <v>0.15965517241379312</v>
      </c>
      <c r="F107" s="1144">
        <f>0.6482/F101</f>
        <v>0.15965517241379312</v>
      </c>
      <c r="G107" s="1144">
        <f>0.6482/G101</f>
        <v>0.15965517241379312</v>
      </c>
      <c r="H107" s="1144">
        <f>0.6482/H101</f>
        <v>0.15965517241379312</v>
      </c>
      <c r="I107" s="1144">
        <f>0.6482/I101</f>
        <v>0.15965517241379312</v>
      </c>
      <c r="J107" s="1144">
        <f>0.4525/J101</f>
        <v>0.11145320197044337</v>
      </c>
      <c r="K107" s="1144">
        <f>0.4525/K101</f>
        <v>0.11145320197044337</v>
      </c>
      <c r="L107" s="1144">
        <f>0.4525/L101</f>
        <v>0.11145320197044337</v>
      </c>
      <c r="M107" s="1144">
        <f>0.4525/M101</f>
        <v>0.11145320197044337</v>
      </c>
      <c r="N107" s="1144">
        <f>0.4525/N101</f>
        <v>0.11145320197044337</v>
      </c>
    </row>
    <row r="108" spans="1:14">
      <c r="A108" s="3451"/>
      <c r="B108" s="3453"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2"/>
      <c r="B109" s="3454"/>
      <c r="C109" s="1146">
        <f>(-0.163*(C108^2)-0.59*C108+7617)*(10^(-4))/C101</f>
        <v>0.18723763546798031</v>
      </c>
      <c r="D109" s="1146">
        <f>(-0.163*(D108^2)-0.59*D108+7617)*(10^(-4))/D101</f>
        <v>0.18723763546798031</v>
      </c>
      <c r="E109" s="1146">
        <f>(-0.161*(E108^2)-7.509*E108+6533)*(10^(-4))/E101</f>
        <v>0.15917793103448277</v>
      </c>
      <c r="F109" s="1146">
        <f>(-0.161*(F108^2)-7.509*F108+6533)*(10^(-4))/F101</f>
        <v>0.15917793103448277</v>
      </c>
      <c r="G109" s="1146">
        <f>(-0.161*(G108^2)-7.509*G108+6533)*(10^(-4))/G101</f>
        <v>0.15917793103448277</v>
      </c>
      <c r="H109" s="1146">
        <f>(-0.161*(H108^2)-7.509*H108+6533)*(10^(-4))/H101</f>
        <v>0.15917793103448277</v>
      </c>
      <c r="I109" s="1146">
        <f>(-0.161*(I108^2)-7.509*I108+6533)*(10^(-4))/I101</f>
        <v>0.15917793103448277</v>
      </c>
      <c r="J109" s="1146">
        <f>(-0.214*(J108^2)-21.991*J108+4665)*(10^(-4))/J101</f>
        <v>0.11023093596059115</v>
      </c>
      <c r="K109" s="1146">
        <f>(-0.214*(K108^2)-21.991*K108+4665)*(10^(-4))/K101</f>
        <v>0.11023093596059115</v>
      </c>
      <c r="L109" s="1146">
        <f>(-0.214*(L108^2)-21.991*L108+4665)*(10^(-4))/L101</f>
        <v>0.11023093596059115</v>
      </c>
      <c r="M109" s="1146">
        <f>(-0.214*(M108^2)-21.991*M108+4665)*(10^(-4))/M101</f>
        <v>0.11023093596059115</v>
      </c>
      <c r="N109" s="1146">
        <f>(-0.214*(N108^2)-21.991*N108+4665)*(10^(-4))/N101</f>
        <v>0.11023093596059115</v>
      </c>
    </row>
    <row r="110" spans="1:14">
      <c r="A110" s="3455" t="s">
        <v>1640</v>
      </c>
      <c r="B110" s="3455"/>
      <c r="C110" s="3455"/>
      <c r="D110" s="3455"/>
      <c r="E110" s="3455"/>
      <c r="F110" s="3455"/>
      <c r="G110" s="3455"/>
      <c r="H110" s="3455"/>
      <c r="I110" s="3455"/>
      <c r="J110" s="3455"/>
      <c r="K110" s="2472"/>
      <c r="L110" s="2472"/>
      <c r="M110" s="2472"/>
      <c r="N110" s="2472"/>
    </row>
    <row r="112" spans="1:14" ht="12.75" thickBot="1"/>
    <row r="113" spans="1:13" ht="25.5" thickBot="1">
      <c r="A113" s="1016" t="s">
        <v>896</v>
      </c>
      <c r="B113" s="2475">
        <f>G3</f>
        <v>4.0599999999999996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0.89529999999999998</v>
      </c>
      <c r="C115" s="1030">
        <f>B115</f>
        <v>0.89529999999999998</v>
      </c>
      <c r="D115" s="1030">
        <f>ROUND(0.8331-0.0109*B113,4)</f>
        <v>0.78879999999999995</v>
      </c>
      <c r="E115" s="1030">
        <f>D115</f>
        <v>0.78879999999999995</v>
      </c>
      <c r="F115" s="1030">
        <f>E115</f>
        <v>0.78879999999999995</v>
      </c>
      <c r="G115" s="1030">
        <f>F115</f>
        <v>0.78879999999999995</v>
      </c>
      <c r="H115" s="1030">
        <f>G115</f>
        <v>0.78879999999999995</v>
      </c>
      <c r="I115" s="1030">
        <f>ROUND(0.689-0.0155*B113,4)</f>
        <v>0.62609999999999999</v>
      </c>
      <c r="J115" s="1030">
        <f t="shared" ref="J115:M118" si="33">I115</f>
        <v>0.62609999999999999</v>
      </c>
      <c r="K115" s="1030">
        <f t="shared" si="33"/>
        <v>0.62609999999999999</v>
      </c>
      <c r="L115" s="1030">
        <f t="shared" si="33"/>
        <v>0.62609999999999999</v>
      </c>
      <c r="M115" s="1031">
        <f t="shared" si="33"/>
        <v>0.62609999999999999</v>
      </c>
    </row>
    <row r="116" spans="1:13" ht="12.75">
      <c r="A116" s="1029" t="s">
        <v>901</v>
      </c>
      <c r="B116" s="1030">
        <f>ROUND(0.949-0.012*B113,4)</f>
        <v>0.90029999999999999</v>
      </c>
      <c r="C116" s="1030">
        <f>B116</f>
        <v>0.90029999999999999</v>
      </c>
      <c r="D116" s="1030">
        <f>ROUND(0.8567-0.013*B113,4)</f>
        <v>0.80389999999999995</v>
      </c>
      <c r="E116" s="1030">
        <f t="shared" ref="E116:H117" si="34">D116</f>
        <v>0.80389999999999995</v>
      </c>
      <c r="F116" s="1030">
        <f t="shared" si="34"/>
        <v>0.80389999999999995</v>
      </c>
      <c r="G116" s="1030">
        <f t="shared" si="34"/>
        <v>0.80389999999999995</v>
      </c>
      <c r="H116" s="1030">
        <f t="shared" si="34"/>
        <v>0.80389999999999995</v>
      </c>
      <c r="I116" s="1030">
        <f>ROUND(0.7694-0.014*B113,4)</f>
        <v>0.71260000000000001</v>
      </c>
      <c r="J116" s="1030">
        <f t="shared" si="33"/>
        <v>0.71260000000000001</v>
      </c>
      <c r="K116" s="1030">
        <f t="shared" si="33"/>
        <v>0.71260000000000001</v>
      </c>
      <c r="L116" s="1030">
        <f t="shared" si="33"/>
        <v>0.71260000000000001</v>
      </c>
      <c r="M116" s="1031">
        <f t="shared" si="33"/>
        <v>0.71260000000000001</v>
      </c>
    </row>
    <row r="117" spans="1:13" ht="12.75">
      <c r="A117" s="1032" t="s">
        <v>902</v>
      </c>
      <c r="B117" s="1030">
        <f>ROUND(0.8808-0.006*B113,4)</f>
        <v>0.85640000000000005</v>
      </c>
      <c r="C117" s="1030">
        <f>B117</f>
        <v>0.85640000000000005</v>
      </c>
      <c r="D117" s="1030">
        <f>ROUND(0.8748-0.008*B113,4)</f>
        <v>0.84230000000000005</v>
      </c>
      <c r="E117" s="1030">
        <f t="shared" si="34"/>
        <v>0.84230000000000005</v>
      </c>
      <c r="F117" s="1030">
        <f t="shared" si="34"/>
        <v>0.84230000000000005</v>
      </c>
      <c r="G117" s="1030">
        <f t="shared" si="34"/>
        <v>0.84230000000000005</v>
      </c>
      <c r="H117" s="1030">
        <f t="shared" si="34"/>
        <v>0.84230000000000005</v>
      </c>
      <c r="I117" s="1030">
        <f>ROUND(0.7412-0.0095*B113,4)</f>
        <v>0.7026</v>
      </c>
      <c r="J117" s="1030">
        <f t="shared" si="33"/>
        <v>0.7026</v>
      </c>
      <c r="K117" s="1030">
        <f t="shared" si="33"/>
        <v>0.7026</v>
      </c>
      <c r="L117" s="1030">
        <f t="shared" si="33"/>
        <v>0.7026</v>
      </c>
      <c r="M117" s="1031">
        <f t="shared" si="33"/>
        <v>0.7026</v>
      </c>
    </row>
    <row r="118" spans="1:13" ht="13.5" thickBot="1">
      <c r="A118" s="1033" t="s">
        <v>903</v>
      </c>
      <c r="B118" s="1034">
        <f>ROUND(0.7275-0.01*B113,4)</f>
        <v>0.68689999999999996</v>
      </c>
      <c r="C118" s="1034">
        <f>B118</f>
        <v>0.68689999999999996</v>
      </c>
      <c r="D118" s="1034">
        <f>ROUND(0.7043-0.012*B113,4)</f>
        <v>0.65559999999999996</v>
      </c>
      <c r="E118" s="1034">
        <f>D118</f>
        <v>0.65559999999999996</v>
      </c>
      <c r="F118" s="1034">
        <f>E118</f>
        <v>0.65559999999999996</v>
      </c>
      <c r="G118" s="1034">
        <f>ROUND(0.6299-0.0122*B113,4)</f>
        <v>0.58040000000000003</v>
      </c>
      <c r="H118" s="1034">
        <f>G118</f>
        <v>0.58040000000000003</v>
      </c>
      <c r="I118" s="1034">
        <f>ROUND(0.5667-0.0136*B113,4)</f>
        <v>0.51149999999999995</v>
      </c>
      <c r="J118" s="1034">
        <f t="shared" si="33"/>
        <v>0.51149999999999995</v>
      </c>
      <c r="K118" s="1034">
        <f t="shared" si="33"/>
        <v>0.51149999999999995</v>
      </c>
      <c r="L118" s="1034">
        <f t="shared" si="33"/>
        <v>0.51149999999999995</v>
      </c>
      <c r="M118" s="1035">
        <f t="shared" si="33"/>
        <v>0.51149999999999995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4" priority="5" stopIfTrue="1" operator="notEqual">
      <formula>"——"</formula>
    </cfRule>
  </conditionalFormatting>
  <conditionalFormatting sqref="F58">
    <cfRule type="cellIs" dxfId="103" priority="4" stopIfTrue="1" operator="notEqual">
      <formula>"——"</formula>
    </cfRule>
  </conditionalFormatting>
  <conditionalFormatting sqref="F69">
    <cfRule type="cellIs" dxfId="102" priority="3" stopIfTrue="1" operator="notEqual">
      <formula>"——"</formula>
    </cfRule>
  </conditionalFormatting>
  <conditionalFormatting sqref="F80">
    <cfRule type="cellIs" dxfId="101" priority="2" stopIfTrue="1" operator="notEqual">
      <formula>"——"</formula>
    </cfRule>
  </conditionalFormatting>
  <conditionalFormatting sqref="H58:H66 H47:H55 H69:H77 H80:H87">
    <cfRule type="cellIs" dxfId="10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61" t="s">
        <v>1008</v>
      </c>
      <c r="B18" s="1154" t="s">
        <v>1447</v>
      </c>
      <c r="C18" s="1131" t="s">
        <v>1448</v>
      </c>
      <c r="D18" s="1132"/>
      <c r="E18" s="1154">
        <v>1</v>
      </c>
      <c r="F18" s="1133" t="s">
        <v>1449</v>
      </c>
      <c r="G18" s="1134"/>
      <c r="H18" s="1105"/>
      <c r="I18" s="1105"/>
    </row>
    <row r="19" spans="1:9" s="1600" customFormat="1" ht="19.5" customHeight="1">
      <c r="A19" s="3461"/>
      <c r="B19" s="3461" t="s">
        <v>1450</v>
      </c>
      <c r="C19" s="1131" t="s">
        <v>1451</v>
      </c>
      <c r="D19" s="1132"/>
      <c r="E19" s="1154">
        <v>0.9</v>
      </c>
      <c r="F19" s="1133" t="s">
        <v>1452</v>
      </c>
      <c r="G19" s="1134"/>
      <c r="H19" s="1105"/>
      <c r="I19" s="1105"/>
    </row>
    <row r="20" spans="1:9" s="1600" customFormat="1" ht="19.5" customHeight="1">
      <c r="A20" s="3461"/>
      <c r="B20" s="3461"/>
      <c r="C20" s="1131" t="s">
        <v>1453</v>
      </c>
      <c r="D20" s="1132"/>
      <c r="E20" s="1154">
        <v>1.1000000000000001</v>
      </c>
      <c r="F20" s="1133" t="s">
        <v>1454</v>
      </c>
      <c r="G20" s="1134"/>
      <c r="H20" s="1105"/>
      <c r="I20" s="1105"/>
    </row>
    <row r="21" spans="1:9" s="1600" customFormat="1" ht="19.5" customHeight="1">
      <c r="A21" s="3461"/>
      <c r="B21" s="3461"/>
      <c r="C21" s="1131" t="s">
        <v>1455</v>
      </c>
      <c r="D21" s="1132"/>
      <c r="E21" s="1154">
        <v>0.8</v>
      </c>
      <c r="F21" s="1133" t="s">
        <v>1456</v>
      </c>
      <c r="G21" s="1134"/>
      <c r="H21" s="1105"/>
      <c r="I21" s="1105"/>
    </row>
    <row r="22" spans="1:9" s="1600" customFormat="1" ht="19.5" customHeight="1">
      <c r="A22" s="3461"/>
      <c r="B22" s="3461"/>
      <c r="C22" s="1131" t="s">
        <v>1457</v>
      </c>
      <c r="D22" s="1132"/>
      <c r="E22" s="1154">
        <v>0.5</v>
      </c>
      <c r="F22" s="1133"/>
      <c r="G22" s="1134"/>
      <c r="H22" s="1105"/>
      <c r="I22" s="1105"/>
    </row>
    <row r="23" spans="1:9" s="1600" customFormat="1" ht="19.5" customHeight="1">
      <c r="A23" s="3461" t="s">
        <v>1030</v>
      </c>
      <c r="B23" s="1154" t="s">
        <v>1447</v>
      </c>
      <c r="C23" s="1131" t="s">
        <v>1458</v>
      </c>
      <c r="D23" s="1132"/>
      <c r="E23" s="1154">
        <v>1</v>
      </c>
      <c r="F23" s="1133" t="s">
        <v>1459</v>
      </c>
      <c r="G23" s="1134"/>
      <c r="H23" s="1105"/>
      <c r="I23" s="1105"/>
    </row>
    <row r="24" spans="1:9" s="1600" customFormat="1" ht="19.5" customHeight="1">
      <c r="A24" s="3461"/>
      <c r="B24" s="3461" t="s">
        <v>1450</v>
      </c>
      <c r="C24" s="1131" t="s">
        <v>1460</v>
      </c>
      <c r="D24" s="1132"/>
      <c r="E24" s="1154">
        <v>0.5</v>
      </c>
      <c r="F24" s="1133"/>
      <c r="G24" s="1134"/>
      <c r="H24" s="1105"/>
      <c r="I24" s="1105"/>
    </row>
    <row r="25" spans="1:9" s="1600" customFormat="1" ht="19.5" customHeight="1">
      <c r="A25" s="3461"/>
      <c r="B25" s="3461"/>
      <c r="C25" s="1131" t="s">
        <v>1461</v>
      </c>
      <c r="D25" s="1132"/>
      <c r="E25" s="1154">
        <v>1.1000000000000001</v>
      </c>
      <c r="F25" s="1133"/>
      <c r="G25" s="1134"/>
      <c r="H25" s="1105"/>
      <c r="I25" s="1105"/>
    </row>
    <row r="26" spans="1:9" s="1600" customFormat="1" ht="19.5" customHeight="1">
      <c r="A26" s="3461"/>
      <c r="B26" s="3461"/>
      <c r="C26" s="1131" t="s">
        <v>1462</v>
      </c>
      <c r="D26" s="1132"/>
      <c r="E26" s="1154">
        <v>1.1000000000000001</v>
      </c>
      <c r="F26" s="1133"/>
      <c r="G26" s="1134"/>
      <c r="H26" s="1105"/>
      <c r="I26" s="1105"/>
    </row>
    <row r="27" spans="1:9" s="1600" customFormat="1" ht="19.5" customHeight="1">
      <c r="A27" s="3461"/>
      <c r="B27" s="3461"/>
      <c r="C27" s="1131" t="s">
        <v>1463</v>
      </c>
      <c r="D27" s="1132"/>
      <c r="E27" s="1154">
        <v>0.9</v>
      </c>
      <c r="F27" s="1133" t="s">
        <v>1464</v>
      </c>
      <c r="G27" s="1134"/>
      <c r="H27" s="1105"/>
      <c r="I27" s="1105"/>
    </row>
    <row r="28" spans="1:9" s="1600" customFormat="1" ht="19.5" customHeight="1">
      <c r="A28" s="3461"/>
      <c r="B28" s="3461"/>
      <c r="C28" s="1131" t="s">
        <v>1465</v>
      </c>
      <c r="D28" s="1132"/>
      <c r="E28" s="1154">
        <v>0.9</v>
      </c>
      <c r="F28" s="1133" t="s">
        <v>1466</v>
      </c>
      <c r="G28" s="1134"/>
      <c r="H28" s="1105"/>
      <c r="I28" s="1105"/>
    </row>
    <row r="29" spans="1:9" s="1600" customFormat="1" ht="19.5" customHeight="1">
      <c r="A29" s="3461"/>
      <c r="B29" s="3461"/>
      <c r="C29" s="1131" t="s">
        <v>1467</v>
      </c>
      <c r="D29" s="1132"/>
      <c r="E29" s="1154">
        <v>0.9</v>
      </c>
      <c r="F29" s="1133" t="s">
        <v>1468</v>
      </c>
      <c r="G29" s="1134"/>
      <c r="H29" s="1105"/>
      <c r="I29" s="1105"/>
    </row>
    <row r="30" spans="1:9" s="1600" customFormat="1" ht="19.5" customHeight="1">
      <c r="A30" s="3461"/>
      <c r="B30" s="3461"/>
      <c r="C30" s="1131" t="s">
        <v>1469</v>
      </c>
      <c r="D30" s="1132"/>
      <c r="E30" s="1154">
        <v>0.9</v>
      </c>
      <c r="F30" s="1133" t="s">
        <v>1470</v>
      </c>
      <c r="G30" s="1134"/>
      <c r="H30" s="1105"/>
      <c r="I30" s="1105"/>
    </row>
    <row r="31" spans="1:9" s="1600" customFormat="1" ht="19.5" customHeight="1">
      <c r="A31" s="3461"/>
      <c r="B31" s="3461"/>
      <c r="C31" s="1131" t="s">
        <v>1471</v>
      </c>
      <c r="D31" s="1132"/>
      <c r="E31" s="1154">
        <v>0.8</v>
      </c>
      <c r="F31" s="1133" t="s">
        <v>1472</v>
      </c>
      <c r="G31" s="1134"/>
      <c r="H31" s="1105"/>
      <c r="I31" s="1105"/>
    </row>
    <row r="32" spans="1:9" s="1600" customFormat="1" ht="19.5" customHeight="1">
      <c r="A32" s="3461"/>
      <c r="B32" s="3461"/>
      <c r="C32" s="1131" t="s">
        <v>1473</v>
      </c>
      <c r="D32" s="1132"/>
      <c r="E32" s="1154">
        <v>0.8</v>
      </c>
      <c r="F32" s="1133" t="s">
        <v>1474</v>
      </c>
      <c r="G32" s="1134"/>
      <c r="H32" s="1105"/>
      <c r="I32" s="1105"/>
    </row>
    <row r="33" spans="1:9" s="1600" customFormat="1" ht="19.5" customHeight="1">
      <c r="A33" s="3461" t="s">
        <v>1475</v>
      </c>
      <c r="B33" s="1154" t="s">
        <v>1447</v>
      </c>
      <c r="C33" s="1131" t="s">
        <v>1476</v>
      </c>
      <c r="D33" s="1132"/>
      <c r="E33" s="1154">
        <v>1</v>
      </c>
      <c r="F33" s="1133" t="s">
        <v>1477</v>
      </c>
      <c r="G33" s="1134"/>
      <c r="H33" s="1105"/>
      <c r="I33" s="1105"/>
    </row>
    <row r="34" spans="1:9" s="1600" customFormat="1" ht="19.5" customHeight="1">
      <c r="A34" s="3461"/>
      <c r="B34" s="1154" t="s">
        <v>1450</v>
      </c>
      <c r="C34" s="1131" t="s">
        <v>1478</v>
      </c>
      <c r="D34" s="1132"/>
      <c r="E34" s="1154">
        <v>1.5</v>
      </c>
      <c r="F34" s="1133" t="s">
        <v>1479</v>
      </c>
      <c r="G34" s="1134"/>
      <c r="H34" s="1105"/>
      <c r="I34" s="1105"/>
    </row>
    <row r="35" spans="1:9" s="1600" customFormat="1" ht="19.5" customHeight="1">
      <c r="A35" s="3461" t="s">
        <v>1433</v>
      </c>
      <c r="B35" s="1154" t="s">
        <v>1447</v>
      </c>
      <c r="C35" s="1131" t="s">
        <v>1480</v>
      </c>
      <c r="D35" s="1132"/>
      <c r="E35" s="1154">
        <v>1</v>
      </c>
      <c r="F35" s="1133" t="s">
        <v>1481</v>
      </c>
      <c r="G35" s="1134"/>
      <c r="H35" s="1105"/>
      <c r="I35" s="1105"/>
    </row>
    <row r="36" spans="1:9" s="1600" customFormat="1" ht="19.5" customHeight="1">
      <c r="A36" s="3461"/>
      <c r="B36" s="3461" t="s">
        <v>1450</v>
      </c>
      <c r="C36" s="1131" t="s">
        <v>1482</v>
      </c>
      <c r="D36" s="1132"/>
      <c r="E36" s="1154">
        <v>1</v>
      </c>
      <c r="F36" s="1133" t="s">
        <v>1483</v>
      </c>
      <c r="G36" s="1134"/>
      <c r="H36" s="1105"/>
      <c r="I36" s="1105"/>
    </row>
    <row r="37" spans="1:9" s="1600" customFormat="1" ht="19.5" customHeight="1">
      <c r="A37" s="3461"/>
      <c r="B37" s="3461"/>
      <c r="C37" s="1131" t="s">
        <v>1484</v>
      </c>
      <c r="D37" s="1132"/>
      <c r="E37" s="1154">
        <v>1.5</v>
      </c>
      <c r="F37" s="1133" t="s">
        <v>1485</v>
      </c>
      <c r="G37" s="1134"/>
      <c r="H37" s="1105"/>
      <c r="I37" s="1105"/>
    </row>
    <row r="38" spans="1:9" s="1600" customFormat="1" ht="19.5" customHeight="1">
      <c r="A38" s="3461"/>
      <c r="B38" s="3461"/>
      <c r="C38" s="1131" t="s">
        <v>1486</v>
      </c>
      <c r="D38" s="1132"/>
      <c r="E38" s="1154">
        <v>1</v>
      </c>
      <c r="F38" s="1133" t="s">
        <v>1487</v>
      </c>
      <c r="G38" s="1134"/>
      <c r="H38" s="1105"/>
      <c r="I38" s="1105"/>
    </row>
    <row r="39" spans="1:9" s="1600" customFormat="1" ht="19.5" customHeight="1">
      <c r="A39" s="3461"/>
      <c r="B39" s="3461"/>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61" t="s">
        <v>1502</v>
      </c>
      <c r="C61" s="1068" t="s">
        <v>1503</v>
      </c>
      <c r="D61" s="1068" t="s">
        <v>1504</v>
      </c>
      <c r="E61" s="1139">
        <v>0.5</v>
      </c>
      <c r="F61" s="1154">
        <v>80</v>
      </c>
      <c r="H61" s="1105">
        <f>SUMIF(C59:C119,基准地价!C8,E59:E119)</f>
        <v>0</v>
      </c>
    </row>
    <row r="62" spans="1:8" s="1105" customFormat="1" ht="24">
      <c r="A62" s="1154">
        <v>2</v>
      </c>
      <c r="B62" s="3461"/>
      <c r="C62" s="1068" t="s">
        <v>1505</v>
      </c>
      <c r="D62" s="1068" t="s">
        <v>1506</v>
      </c>
      <c r="E62" s="1139">
        <v>0.5</v>
      </c>
      <c r="F62" s="1154">
        <v>80</v>
      </c>
    </row>
    <row r="63" spans="1:8" s="1105" customFormat="1" ht="36">
      <c r="A63" s="1154">
        <v>3</v>
      </c>
      <c r="B63" s="3461"/>
      <c r="C63" s="1068" t="s">
        <v>1507</v>
      </c>
      <c r="D63" s="1068" t="s">
        <v>1508</v>
      </c>
      <c r="E63" s="1139">
        <v>0.5</v>
      </c>
      <c r="F63" s="1154">
        <v>80</v>
      </c>
    </row>
    <row r="64" spans="1:8" s="1105" customFormat="1" ht="36">
      <c r="A64" s="1154">
        <v>4</v>
      </c>
      <c r="B64" s="3461"/>
      <c r="C64" s="1068" t="s">
        <v>1509</v>
      </c>
      <c r="D64" s="1068" t="s">
        <v>1510</v>
      </c>
      <c r="E64" s="1139">
        <v>0.4</v>
      </c>
      <c r="F64" s="1154">
        <v>60</v>
      </c>
    </row>
    <row r="65" spans="1:6" s="1105" customFormat="1" ht="36">
      <c r="A65" s="1154">
        <v>5</v>
      </c>
      <c r="B65" s="3461"/>
      <c r="C65" s="1068" t="s">
        <v>1511</v>
      </c>
      <c r="D65" s="1068" t="s">
        <v>1512</v>
      </c>
      <c r="E65" s="1139">
        <v>0.2</v>
      </c>
      <c r="F65" s="1154">
        <v>30</v>
      </c>
    </row>
    <row r="66" spans="1:6" s="1105" customFormat="1" ht="36">
      <c r="A66" s="1154">
        <v>6</v>
      </c>
      <c r="B66" s="3461"/>
      <c r="C66" s="1068" t="s">
        <v>1513</v>
      </c>
      <c r="D66" s="1068" t="s">
        <v>1514</v>
      </c>
      <c r="E66" s="1139">
        <v>0.3</v>
      </c>
      <c r="F66" s="1154">
        <v>50</v>
      </c>
    </row>
    <row r="67" spans="1:6" s="1105" customFormat="1" ht="36">
      <c r="A67" s="1154">
        <v>7</v>
      </c>
      <c r="B67" s="3461"/>
      <c r="C67" s="1068" t="s">
        <v>1515</v>
      </c>
      <c r="D67" s="1068" t="s">
        <v>1516</v>
      </c>
      <c r="E67" s="1139">
        <v>0.2</v>
      </c>
      <c r="F67" s="1154">
        <v>30</v>
      </c>
    </row>
    <row r="68" spans="1:6" s="1105" customFormat="1" ht="36">
      <c r="A68" s="1154">
        <v>8</v>
      </c>
      <c r="B68" s="3461"/>
      <c r="C68" s="1068" t="s">
        <v>1517</v>
      </c>
      <c r="D68" s="1068" t="s">
        <v>1518</v>
      </c>
      <c r="E68" s="1139">
        <v>0.2</v>
      </c>
      <c r="F68" s="1154">
        <v>30</v>
      </c>
    </row>
    <row r="69" spans="1:6" s="1105" customFormat="1" ht="36">
      <c r="A69" s="1154">
        <v>9</v>
      </c>
      <c r="B69" s="3461"/>
      <c r="C69" s="1068" t="s">
        <v>1519</v>
      </c>
      <c r="D69" s="1068" t="s">
        <v>1520</v>
      </c>
      <c r="E69" s="1139">
        <v>0.2</v>
      </c>
      <c r="F69" s="1154">
        <v>30</v>
      </c>
    </row>
    <row r="70" spans="1:6" s="1105" customFormat="1" ht="48">
      <c r="A70" s="1154">
        <v>10</v>
      </c>
      <c r="B70" s="3461"/>
      <c r="C70" s="1068" t="s">
        <v>1521</v>
      </c>
      <c r="D70" s="1068" t="s">
        <v>1522</v>
      </c>
      <c r="E70" s="1139">
        <v>0.2</v>
      </c>
      <c r="F70" s="1154">
        <v>30</v>
      </c>
    </row>
    <row r="71" spans="1:6" s="1105" customFormat="1" ht="48">
      <c r="A71" s="1154">
        <v>11</v>
      </c>
      <c r="B71" s="3461"/>
      <c r="C71" s="1068" t="s">
        <v>1523</v>
      </c>
      <c r="D71" s="1068" t="s">
        <v>1524</v>
      </c>
      <c r="E71" s="1139">
        <v>0.2</v>
      </c>
      <c r="F71" s="1154">
        <v>30</v>
      </c>
    </row>
    <row r="72" spans="1:6" s="1105" customFormat="1" ht="36">
      <c r="A72" s="1154">
        <v>12</v>
      </c>
      <c r="B72" s="3461"/>
      <c r="C72" s="1068" t="s">
        <v>1525</v>
      </c>
      <c r="D72" s="1068" t="s">
        <v>1526</v>
      </c>
      <c r="E72" s="1139">
        <v>0.5</v>
      </c>
      <c r="F72" s="1154">
        <v>80</v>
      </c>
    </row>
    <row r="73" spans="1:6" s="1105" customFormat="1" ht="24">
      <c r="A73" s="1154">
        <v>13</v>
      </c>
      <c r="B73" s="3461"/>
      <c r="C73" s="1068" t="s">
        <v>1527</v>
      </c>
      <c r="D73" s="1068" t="s">
        <v>1528</v>
      </c>
      <c r="E73" s="1139">
        <v>0.4</v>
      </c>
      <c r="F73" s="1154">
        <v>60</v>
      </c>
    </row>
    <row r="74" spans="1:6" s="1105" customFormat="1" ht="24">
      <c r="A74" s="1154">
        <v>14</v>
      </c>
      <c r="B74" s="3461"/>
      <c r="C74" s="1068" t="s">
        <v>1529</v>
      </c>
      <c r="D74" s="1068" t="s">
        <v>1530</v>
      </c>
      <c r="E74" s="1139">
        <v>0.2</v>
      </c>
      <c r="F74" s="1154">
        <v>30</v>
      </c>
    </row>
    <row r="75" spans="1:6" s="1105" customFormat="1" ht="24">
      <c r="A75" s="1154">
        <v>15</v>
      </c>
      <c r="B75" s="3461"/>
      <c r="C75" s="1068" t="s">
        <v>1531</v>
      </c>
      <c r="D75" s="1068" t="s">
        <v>1532</v>
      </c>
      <c r="E75" s="1139">
        <v>0.2</v>
      </c>
      <c r="F75" s="1154">
        <v>30</v>
      </c>
    </row>
    <row r="76" spans="1:6" s="1105" customFormat="1" ht="24">
      <c r="A76" s="1154">
        <v>16</v>
      </c>
      <c r="B76" s="3461" t="s">
        <v>1533</v>
      </c>
      <c r="C76" s="1068" t="s">
        <v>1534</v>
      </c>
      <c r="D76" s="1068" t="s">
        <v>1535</v>
      </c>
      <c r="E76" s="1139">
        <v>0.5</v>
      </c>
      <c r="F76" s="1154">
        <v>80</v>
      </c>
    </row>
    <row r="77" spans="1:6" s="1105" customFormat="1" ht="24">
      <c r="A77" s="1154">
        <v>17</v>
      </c>
      <c r="B77" s="3461"/>
      <c r="C77" s="1068" t="s">
        <v>1536</v>
      </c>
      <c r="D77" s="1068" t="s">
        <v>1537</v>
      </c>
      <c r="E77" s="1139">
        <v>0.5</v>
      </c>
      <c r="F77" s="1154">
        <v>80</v>
      </c>
    </row>
    <row r="78" spans="1:6" s="1105" customFormat="1" ht="24">
      <c r="A78" s="1154">
        <v>18</v>
      </c>
      <c r="B78" s="3461"/>
      <c r="C78" s="1068" t="s">
        <v>1538</v>
      </c>
      <c r="D78" s="1068" t="s">
        <v>1539</v>
      </c>
      <c r="E78" s="1139">
        <v>0.2</v>
      </c>
      <c r="F78" s="1154">
        <v>30</v>
      </c>
    </row>
    <row r="79" spans="1:6" s="1105" customFormat="1" ht="24">
      <c r="A79" s="1154">
        <v>19</v>
      </c>
      <c r="B79" s="3461"/>
      <c r="C79" s="1068" t="s">
        <v>1540</v>
      </c>
      <c r="D79" s="1068" t="s">
        <v>1541</v>
      </c>
      <c r="E79" s="1139">
        <v>0.5</v>
      </c>
      <c r="F79" s="1154">
        <v>80</v>
      </c>
    </row>
    <row r="80" spans="1:6" s="1105" customFormat="1" ht="36">
      <c r="A80" s="1154">
        <v>20</v>
      </c>
      <c r="B80" s="3461"/>
      <c r="C80" s="1068" t="s">
        <v>1542</v>
      </c>
      <c r="D80" s="1068" t="s">
        <v>1543</v>
      </c>
      <c r="E80" s="1139">
        <v>0.2</v>
      </c>
      <c r="F80" s="1154">
        <v>30</v>
      </c>
    </row>
    <row r="81" spans="1:6" s="1105" customFormat="1" ht="36">
      <c r="A81" s="1154">
        <v>21</v>
      </c>
      <c r="B81" s="3461"/>
      <c r="C81" s="1068" t="s">
        <v>1544</v>
      </c>
      <c r="D81" s="1068" t="s">
        <v>1545</v>
      </c>
      <c r="E81" s="1139">
        <v>0.2</v>
      </c>
      <c r="F81" s="1154">
        <v>30</v>
      </c>
    </row>
    <row r="82" spans="1:6" s="1105" customFormat="1" ht="48">
      <c r="A82" s="1154">
        <v>22</v>
      </c>
      <c r="B82" s="3461"/>
      <c r="C82" s="1068" t="s">
        <v>1546</v>
      </c>
      <c r="D82" s="1068" t="s">
        <v>1547</v>
      </c>
      <c r="E82" s="1139">
        <v>0.2</v>
      </c>
      <c r="F82" s="1154">
        <v>30</v>
      </c>
    </row>
    <row r="83" spans="1:6" s="1105" customFormat="1" ht="48">
      <c r="A83" s="1154">
        <v>23</v>
      </c>
      <c r="B83" s="3461"/>
      <c r="C83" s="1068" t="s">
        <v>1548</v>
      </c>
      <c r="D83" s="1068" t="s">
        <v>1549</v>
      </c>
      <c r="E83" s="1139">
        <v>0.2</v>
      </c>
      <c r="F83" s="1154">
        <v>30</v>
      </c>
    </row>
    <row r="84" spans="1:6" s="1105" customFormat="1" ht="36">
      <c r="A84" s="1154">
        <v>24</v>
      </c>
      <c r="B84" s="3461"/>
      <c r="C84" s="1068" t="s">
        <v>1550</v>
      </c>
      <c r="D84" s="1068" t="s">
        <v>1551</v>
      </c>
      <c r="E84" s="1139">
        <v>0.2</v>
      </c>
      <c r="F84" s="1154">
        <v>30</v>
      </c>
    </row>
    <row r="85" spans="1:6" s="1105" customFormat="1" ht="36">
      <c r="A85" s="1154">
        <v>25</v>
      </c>
      <c r="B85" s="3461"/>
      <c r="C85" s="1068" t="s">
        <v>1552</v>
      </c>
      <c r="D85" s="1068" t="s">
        <v>1553</v>
      </c>
      <c r="E85" s="1139">
        <v>0.5</v>
      </c>
      <c r="F85" s="1154">
        <v>80</v>
      </c>
    </row>
    <row r="86" spans="1:6" s="1105" customFormat="1" ht="36">
      <c r="A86" s="1154">
        <v>26</v>
      </c>
      <c r="B86" s="3461"/>
      <c r="C86" s="1068" t="s">
        <v>1554</v>
      </c>
      <c r="D86" s="1068" t="s">
        <v>1555</v>
      </c>
      <c r="E86" s="1139">
        <v>0.2</v>
      </c>
      <c r="F86" s="1154">
        <v>30</v>
      </c>
    </row>
    <row r="87" spans="1:6" s="1105" customFormat="1" ht="36">
      <c r="A87" s="1154">
        <v>27</v>
      </c>
      <c r="B87" s="3461"/>
      <c r="C87" s="1068" t="s">
        <v>1556</v>
      </c>
      <c r="D87" s="1068" t="s">
        <v>1557</v>
      </c>
      <c r="E87" s="1139">
        <v>0.2</v>
      </c>
      <c r="F87" s="1154">
        <v>30</v>
      </c>
    </row>
    <row r="88" spans="1:6" s="1105" customFormat="1" ht="36">
      <c r="A88" s="1154">
        <v>28</v>
      </c>
      <c r="B88" s="3461"/>
      <c r="C88" s="1068" t="s">
        <v>1558</v>
      </c>
      <c r="D88" s="1068" t="s">
        <v>1559</v>
      </c>
      <c r="E88" s="1139">
        <v>0.2</v>
      </c>
      <c r="F88" s="1154">
        <v>30</v>
      </c>
    </row>
    <row r="89" spans="1:6" s="1105" customFormat="1" ht="24">
      <c r="A89" s="1154">
        <v>29</v>
      </c>
      <c r="B89" s="3461"/>
      <c r="C89" s="1068" t="s">
        <v>1560</v>
      </c>
      <c r="D89" s="1068" t="s">
        <v>1561</v>
      </c>
      <c r="E89" s="1139">
        <v>0.2</v>
      </c>
      <c r="F89" s="1154">
        <v>30</v>
      </c>
    </row>
    <row r="90" spans="1:6" s="1105" customFormat="1" ht="24">
      <c r="A90" s="1154">
        <v>30</v>
      </c>
      <c r="B90" s="3461"/>
      <c r="C90" s="1068" t="s">
        <v>1562</v>
      </c>
      <c r="D90" s="1068" t="s">
        <v>1563</v>
      </c>
      <c r="E90" s="1139">
        <v>0.2</v>
      </c>
      <c r="F90" s="1154">
        <v>30</v>
      </c>
    </row>
    <row r="91" spans="1:6" s="1105" customFormat="1" ht="36">
      <c r="A91" s="1154">
        <v>31</v>
      </c>
      <c r="B91" s="3461"/>
      <c r="C91" s="1068" t="s">
        <v>1564</v>
      </c>
      <c r="D91" s="1068" t="s">
        <v>1565</v>
      </c>
      <c r="E91" s="1139">
        <v>0.2</v>
      </c>
      <c r="F91" s="1154">
        <v>30</v>
      </c>
    </row>
    <row r="92" spans="1:6" s="1105" customFormat="1" ht="24">
      <c r="A92" s="1154">
        <v>32</v>
      </c>
      <c r="B92" s="3461" t="s">
        <v>1566</v>
      </c>
      <c r="C92" s="1154" t="s">
        <v>1567</v>
      </c>
      <c r="D92" s="1068" t="s">
        <v>1568</v>
      </c>
      <c r="E92" s="1139">
        <v>0.2</v>
      </c>
      <c r="F92" s="1154">
        <v>30</v>
      </c>
    </row>
    <row r="93" spans="1:6" s="1105" customFormat="1" ht="36">
      <c r="A93" s="1154">
        <v>33</v>
      </c>
      <c r="B93" s="3461"/>
      <c r="C93" s="1154" t="s">
        <v>1569</v>
      </c>
      <c r="D93" s="1068" t="s">
        <v>1570</v>
      </c>
      <c r="E93" s="1139">
        <v>0.2</v>
      </c>
      <c r="F93" s="1154">
        <v>30</v>
      </c>
    </row>
    <row r="94" spans="1:6" s="1105" customFormat="1" ht="48">
      <c r="A94" s="1154">
        <v>34</v>
      </c>
      <c r="B94" s="3461"/>
      <c r="C94" s="1154" t="s">
        <v>1571</v>
      </c>
      <c r="D94" s="1068" t="s">
        <v>1572</v>
      </c>
      <c r="E94" s="1139">
        <v>0.2</v>
      </c>
      <c r="F94" s="1154">
        <v>30</v>
      </c>
    </row>
    <row r="95" spans="1:6" s="1105" customFormat="1" ht="36">
      <c r="A95" s="1154">
        <v>35</v>
      </c>
      <c r="B95" s="3461"/>
      <c r="C95" s="1154" t="s">
        <v>1573</v>
      </c>
      <c r="D95" s="1068" t="s">
        <v>1574</v>
      </c>
      <c r="E95" s="1139">
        <v>0.2</v>
      </c>
      <c r="F95" s="1154">
        <v>30</v>
      </c>
    </row>
    <row r="96" spans="1:6" s="1105" customFormat="1" ht="48">
      <c r="A96" s="1154">
        <v>36</v>
      </c>
      <c r="B96" s="3461"/>
      <c r="C96" s="1068" t="s">
        <v>1575</v>
      </c>
      <c r="D96" s="1068" t="s">
        <v>1576</v>
      </c>
      <c r="E96" s="1139">
        <v>0.2</v>
      </c>
      <c r="F96" s="1154">
        <v>30</v>
      </c>
    </row>
    <row r="97" spans="1:6" s="1105" customFormat="1" ht="36">
      <c r="A97" s="1154">
        <v>37</v>
      </c>
      <c r="B97" s="3461"/>
      <c r="C97" s="1154" t="s">
        <v>1577</v>
      </c>
      <c r="D97" s="1068" t="s">
        <v>1578</v>
      </c>
      <c r="E97" s="1139">
        <v>0.2</v>
      </c>
      <c r="F97" s="1154">
        <v>30</v>
      </c>
    </row>
    <row r="98" spans="1:6" s="1105" customFormat="1" ht="36">
      <c r="A98" s="1154">
        <v>38</v>
      </c>
      <c r="B98" s="3461"/>
      <c r="C98" s="1154" t="s">
        <v>1579</v>
      </c>
      <c r="D98" s="1068" t="s">
        <v>1580</v>
      </c>
      <c r="E98" s="1139">
        <v>0.2</v>
      </c>
      <c r="F98" s="1154">
        <v>30</v>
      </c>
    </row>
    <row r="99" spans="1:6" s="1105" customFormat="1" ht="36">
      <c r="A99" s="1154">
        <v>39</v>
      </c>
      <c r="B99" s="3461" t="s">
        <v>1581</v>
      </c>
      <c r="C99" s="1154" t="s">
        <v>1582</v>
      </c>
      <c r="D99" s="1068" t="s">
        <v>1583</v>
      </c>
      <c r="E99" s="1139">
        <v>0.3</v>
      </c>
      <c r="F99" s="1154">
        <v>50</v>
      </c>
    </row>
    <row r="100" spans="1:6" s="1105" customFormat="1" ht="24">
      <c r="A100" s="1154">
        <v>40</v>
      </c>
      <c r="B100" s="3461"/>
      <c r="C100" s="1154" t="s">
        <v>1584</v>
      </c>
      <c r="D100" s="1068" t="s">
        <v>1585</v>
      </c>
      <c r="E100" s="1139">
        <v>0.2</v>
      </c>
      <c r="F100" s="1154">
        <v>30</v>
      </c>
    </row>
    <row r="101" spans="1:6" s="1105" customFormat="1" ht="36">
      <c r="A101" s="1154">
        <v>41</v>
      </c>
      <c r="B101" s="346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61" t="s">
        <v>1596</v>
      </c>
      <c r="C105" s="1154" t="s">
        <v>1597</v>
      </c>
      <c r="D105" s="1068" t="s">
        <v>1598</v>
      </c>
      <c r="E105" s="1139">
        <v>0.2</v>
      </c>
      <c r="F105" s="1154">
        <v>30</v>
      </c>
    </row>
    <row r="106" spans="1:6" s="1105" customFormat="1" ht="36">
      <c r="A106" s="1154">
        <v>46</v>
      </c>
      <c r="B106" s="3461"/>
      <c r="C106" s="1154" t="s">
        <v>1599</v>
      </c>
      <c r="D106" s="1068" t="s">
        <v>1600</v>
      </c>
      <c r="E106" s="1139">
        <v>0.2</v>
      </c>
      <c r="F106" s="1154">
        <v>30</v>
      </c>
    </row>
    <row r="107" spans="1:6" s="1105" customFormat="1" ht="36">
      <c r="A107" s="1154">
        <v>47</v>
      </c>
      <c r="B107" s="3461" t="s">
        <v>1601</v>
      </c>
      <c r="C107" s="1154" t="s">
        <v>1602</v>
      </c>
      <c r="D107" s="1068" t="s">
        <v>1603</v>
      </c>
      <c r="E107" s="1139">
        <v>0.3</v>
      </c>
      <c r="F107" s="1154">
        <v>50</v>
      </c>
    </row>
    <row r="108" spans="1:6" s="1105" customFormat="1" ht="36">
      <c r="A108" s="1154">
        <v>48</v>
      </c>
      <c r="B108" s="346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61" t="s">
        <v>1612</v>
      </c>
      <c r="C111" s="1154" t="s">
        <v>1613</v>
      </c>
      <c r="D111" s="1068" t="s">
        <v>1614</v>
      </c>
      <c r="E111" s="1139">
        <v>0.2</v>
      </c>
      <c r="F111" s="1154">
        <v>30</v>
      </c>
    </row>
    <row r="112" spans="1:6" s="1105" customFormat="1" ht="24">
      <c r="A112" s="1154">
        <v>52</v>
      </c>
      <c r="B112" s="3461"/>
      <c r="C112" s="1154" t="s">
        <v>1615</v>
      </c>
      <c r="D112" s="1068" t="s">
        <v>1616</v>
      </c>
      <c r="E112" s="1139">
        <v>0.2</v>
      </c>
      <c r="F112" s="1154">
        <v>30</v>
      </c>
    </row>
    <row r="113" spans="1:14" s="1105" customFormat="1" ht="24">
      <c r="A113" s="1154">
        <v>53</v>
      </c>
      <c r="B113" s="346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61" t="s">
        <v>1625</v>
      </c>
      <c r="C116" s="1154" t="s">
        <v>1626</v>
      </c>
      <c r="D116" s="1068" t="s">
        <v>1627</v>
      </c>
      <c r="E116" s="1139">
        <v>0.2</v>
      </c>
      <c r="F116" s="1154">
        <v>30</v>
      </c>
    </row>
    <row r="117" spans="1:14" ht="36">
      <c r="A117" s="1154">
        <v>57</v>
      </c>
      <c r="B117" s="346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60" t="s">
        <v>1634</v>
      </c>
      <c r="B121" s="3460"/>
      <c r="C121" s="3460"/>
      <c r="D121" s="3460"/>
      <c r="E121" s="3460"/>
      <c r="F121" s="3460"/>
      <c r="G121" s="3460"/>
      <c r="H121" s="3460"/>
      <c r="I121" s="3460"/>
      <c r="J121" s="346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5" t="s">
        <v>1040</v>
      </c>
      <c r="B1" s="3465"/>
      <c r="C1" s="3465"/>
      <c r="D1" s="3465"/>
      <c r="E1" s="3465"/>
      <c r="F1" s="3465"/>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66" t="s">
        <v>1053</v>
      </c>
      <c r="B2" s="3466"/>
      <c r="C2" s="3466"/>
      <c r="D2" s="3466"/>
      <c r="E2" s="3466"/>
      <c r="F2" s="3466"/>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67"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68"/>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69" t="s">
        <v>2079</v>
      </c>
      <c r="B1" s="3469"/>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1097</v>
      </c>
      <c r="B6" s="1859" t="s">
        <v>2088</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2089</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2090</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2091</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2092</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2093</v>
      </c>
      <c r="C72" s="1869"/>
      <c r="D72" s="1869"/>
      <c r="E72" s="1869"/>
      <c r="F72" s="1861">
        <v>0.05</v>
      </c>
    </row>
    <row r="73" spans="1:6" ht="14.25" thickBot="1">
      <c r="A73" s="1855" t="s">
        <v>925</v>
      </c>
      <c r="B73" s="1859" t="s">
        <v>2094</v>
      </c>
      <c r="C73" s="1869"/>
      <c r="D73" s="1869"/>
      <c r="E73" s="1869"/>
      <c r="F73" s="1861">
        <v>0.05</v>
      </c>
    </row>
    <row r="74" spans="1:6" ht="14.25" thickBot="1">
      <c r="A74" s="1855" t="s">
        <v>925</v>
      </c>
      <c r="B74" s="1859" t="s">
        <v>2095</v>
      </c>
      <c r="C74" s="1869"/>
      <c r="D74" s="1869"/>
      <c r="E74" s="1869"/>
      <c r="F74" s="1861">
        <v>0.05</v>
      </c>
    </row>
    <row r="75" spans="1:6" ht="14.25" thickBot="1">
      <c r="A75" s="1863" t="s">
        <v>925</v>
      </c>
      <c r="B75" s="1870" t="s">
        <v>2096</v>
      </c>
      <c r="C75" s="1866"/>
      <c r="D75" s="1866"/>
      <c r="E75" s="1866"/>
      <c r="F75" s="1871">
        <v>0.05</v>
      </c>
    </row>
    <row r="76" spans="1:6" ht="14.25" thickBot="1">
      <c r="A76" s="1855" t="s">
        <v>1408</v>
      </c>
      <c r="B76" s="1856" t="s">
        <v>2097</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2098</v>
      </c>
      <c r="C102" s="1869"/>
      <c r="D102" s="1869"/>
      <c r="E102" s="1869"/>
      <c r="F102" s="1861">
        <v>0.05</v>
      </c>
    </row>
    <row r="103" spans="1:6" ht="24.75" thickBot="1">
      <c r="A103" s="1855" t="s">
        <v>1408</v>
      </c>
      <c r="B103" s="1859" t="s">
        <v>2099</v>
      </c>
      <c r="C103" s="1869"/>
      <c r="D103" s="1869"/>
      <c r="E103" s="1869"/>
      <c r="F103" s="1861">
        <v>0.05</v>
      </c>
    </row>
    <row r="104" spans="1:6" ht="14.25" thickBot="1">
      <c r="A104" s="1855" t="s">
        <v>1408</v>
      </c>
      <c r="B104" s="1859" t="s">
        <v>2100</v>
      </c>
      <c r="C104" s="1869"/>
      <c r="D104" s="1869"/>
      <c r="E104" s="1869"/>
      <c r="F104" s="1861">
        <v>0.05</v>
      </c>
    </row>
    <row r="105" spans="1:6" ht="14.25" thickBot="1">
      <c r="A105" s="1855" t="s">
        <v>1408</v>
      </c>
      <c r="B105" s="1859" t="s">
        <v>2101</v>
      </c>
      <c r="C105" s="1869"/>
      <c r="D105" s="1869"/>
      <c r="E105" s="1869"/>
      <c r="F105" s="1861">
        <v>0.05</v>
      </c>
    </row>
    <row r="106" spans="1:6" ht="14.25" thickBot="1">
      <c r="A106" s="1855" t="s">
        <v>1408</v>
      </c>
      <c r="B106" s="1859" t="s">
        <v>2102</v>
      </c>
      <c r="C106" s="1869"/>
      <c r="D106" s="1869"/>
      <c r="E106" s="1869"/>
      <c r="F106" s="1861">
        <v>0.05</v>
      </c>
    </row>
    <row r="107" spans="1:6" ht="24.75" thickBot="1">
      <c r="A107" s="1855" t="s">
        <v>1408</v>
      </c>
      <c r="B107" s="1859" t="s">
        <v>2103</v>
      </c>
      <c r="C107" s="1869"/>
      <c r="D107" s="1869"/>
      <c r="E107" s="1869"/>
      <c r="F107" s="1861">
        <v>0.05</v>
      </c>
    </row>
    <row r="108" spans="1:6" ht="24.75" thickBot="1">
      <c r="A108" s="1855" t="s">
        <v>1408</v>
      </c>
      <c r="B108" s="1859" t="s">
        <v>2104</v>
      </c>
      <c r="C108" s="1869"/>
      <c r="D108" s="1869"/>
      <c r="E108" s="1869"/>
      <c r="F108" s="1861">
        <v>0.05</v>
      </c>
    </row>
    <row r="109" spans="1:6" ht="24.75" thickBot="1">
      <c r="A109" s="1863" t="s">
        <v>1408</v>
      </c>
      <c r="B109" s="1870" t="s">
        <v>2105</v>
      </c>
      <c r="C109" s="1866"/>
      <c r="D109" s="1866"/>
      <c r="E109" s="1866"/>
      <c r="F109" s="1871">
        <v>0.05</v>
      </c>
    </row>
    <row r="110" spans="1:6" ht="14.25" thickBot="1">
      <c r="A110" s="1855" t="s">
        <v>1410</v>
      </c>
      <c r="B110" s="1856" t="s">
        <v>2106</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2107</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2108</v>
      </c>
      <c r="C138" s="1860">
        <v>0.105</v>
      </c>
      <c r="D138" s="1860">
        <v>0.125</v>
      </c>
      <c r="E138" s="1860">
        <v>0.112</v>
      </c>
      <c r="F138" s="1868"/>
    </row>
    <row r="139" spans="1:6" ht="14.25" thickBot="1">
      <c r="A139" s="1855" t="s">
        <v>1410</v>
      </c>
      <c r="B139" s="1859" t="s">
        <v>2109</v>
      </c>
      <c r="C139" s="1860">
        <v>0.127</v>
      </c>
      <c r="D139" s="1860">
        <v>0.127</v>
      </c>
      <c r="E139" s="1860">
        <v>0.122</v>
      </c>
      <c r="F139" s="1861">
        <v>0.13</v>
      </c>
    </row>
    <row r="140" spans="1:6" ht="14.25" thickBot="1">
      <c r="A140" s="1855" t="s">
        <v>1410</v>
      </c>
      <c r="B140" s="1859" t="s">
        <v>2110</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2111</v>
      </c>
      <c r="C144" s="1873">
        <v>0.126</v>
      </c>
      <c r="D144" s="1873">
        <v>0.126</v>
      </c>
      <c r="E144" s="1873">
        <v>0.121</v>
      </c>
      <c r="F144" s="1868"/>
    </row>
    <row r="145" spans="1:6" ht="14.25" thickBot="1">
      <c r="A145" s="1863" t="s">
        <v>1410</v>
      </c>
      <c r="B145" s="1874" t="s">
        <v>2112</v>
      </c>
      <c r="C145" s="1875"/>
      <c r="D145" s="1875"/>
      <c r="E145" s="1875"/>
      <c r="F145" s="1876">
        <v>0.05</v>
      </c>
    </row>
    <row r="146" spans="1:6" ht="24.75" thickBot="1">
      <c r="A146" s="1877" t="s">
        <v>1410</v>
      </c>
      <c r="B146" s="1862" t="s">
        <v>2113</v>
      </c>
      <c r="C146" s="1869"/>
      <c r="D146" s="1869"/>
      <c r="E146" s="1869"/>
      <c r="F146" s="1878">
        <v>0.05</v>
      </c>
    </row>
    <row r="147" spans="1:6" ht="24.75" thickBot="1">
      <c r="A147" s="1855" t="s">
        <v>1410</v>
      </c>
      <c r="B147" s="1859" t="s">
        <v>2114</v>
      </c>
      <c r="C147" s="1869"/>
      <c r="D147" s="1869"/>
      <c r="E147" s="1869"/>
      <c r="F147" s="1861">
        <v>0.05</v>
      </c>
    </row>
    <row r="148" spans="1:6" ht="24.75" thickBot="1">
      <c r="A148" s="1855" t="s">
        <v>1410</v>
      </c>
      <c r="B148" s="1859" t="s">
        <v>2115</v>
      </c>
      <c r="C148" s="1869"/>
      <c r="D148" s="1869"/>
      <c r="E148" s="1869"/>
      <c r="F148" s="1861">
        <v>0.05</v>
      </c>
    </row>
    <row r="149" spans="1:6" ht="24.75" thickBot="1">
      <c r="A149" s="1855" t="s">
        <v>1410</v>
      </c>
      <c r="B149" s="1859" t="s">
        <v>2116</v>
      </c>
      <c r="C149" s="1869"/>
      <c r="D149" s="1869"/>
      <c r="E149" s="1869"/>
      <c r="F149" s="1861">
        <v>0.05</v>
      </c>
    </row>
    <row r="150" spans="1:6" ht="24.75" thickBot="1">
      <c r="A150" s="1855" t="s">
        <v>1410</v>
      </c>
      <c r="B150" s="1859" t="s">
        <v>2117</v>
      </c>
      <c r="C150" s="1869"/>
      <c r="D150" s="1869"/>
      <c r="E150" s="1869"/>
      <c r="F150" s="1861">
        <v>0.05</v>
      </c>
    </row>
    <row r="151" spans="1:6" ht="24.75" thickBot="1">
      <c r="A151" s="1855" t="s">
        <v>1410</v>
      </c>
      <c r="B151" s="1859" t="s">
        <v>2118</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2119</v>
      </c>
      <c r="C153" s="1869"/>
      <c r="D153" s="1869"/>
      <c r="E153" s="1869"/>
      <c r="F153" s="1861">
        <v>0.05</v>
      </c>
    </row>
    <row r="154" spans="1:6" ht="14.25" thickBot="1">
      <c r="A154" s="1855" t="s">
        <v>1410</v>
      </c>
      <c r="B154" s="1859" t="s">
        <v>2120</v>
      </c>
      <c r="C154" s="1869"/>
      <c r="D154" s="1869"/>
      <c r="E154" s="1869"/>
      <c r="F154" s="1861">
        <v>0.05</v>
      </c>
    </row>
    <row r="155" spans="1:6" ht="24.75" thickBot="1">
      <c r="A155" s="1855" t="s">
        <v>1410</v>
      </c>
      <c r="B155" s="1859" t="s">
        <v>2121</v>
      </c>
      <c r="C155" s="1869"/>
      <c r="D155" s="1869"/>
      <c r="E155" s="1869"/>
      <c r="F155" s="1861">
        <v>0.05</v>
      </c>
    </row>
    <row r="156" spans="1:6" ht="24.75" thickBot="1">
      <c r="A156" s="1855" t="s">
        <v>1410</v>
      </c>
      <c r="B156" s="1859" t="s">
        <v>2122</v>
      </c>
      <c r="C156" s="1869"/>
      <c r="D156" s="1869"/>
      <c r="E156" s="1869"/>
      <c r="F156" s="1861">
        <v>0.05</v>
      </c>
    </row>
    <row r="157" spans="1:6" ht="14.25" thickBot="1">
      <c r="A157" s="1863" t="s">
        <v>1410</v>
      </c>
      <c r="B157" s="1870" t="s">
        <v>2123</v>
      </c>
      <c r="C157" s="1866"/>
      <c r="D157" s="1866"/>
      <c r="E157" s="1866"/>
      <c r="F157" s="1871">
        <v>0.05</v>
      </c>
    </row>
    <row r="158" spans="1:6" ht="14.25" thickBot="1">
      <c r="A158" s="1855" t="s">
        <v>1412</v>
      </c>
      <c r="B158" s="1856" t="s">
        <v>2124</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2125</v>
      </c>
      <c r="C171" s="1860">
        <v>0.127</v>
      </c>
      <c r="D171" s="1860">
        <v>0.126</v>
      </c>
      <c r="E171" s="1860">
        <v>0.126</v>
      </c>
      <c r="F171" s="1861">
        <v>0.11799999999999999</v>
      </c>
    </row>
    <row r="172" spans="1:6" ht="14.25" thickBot="1">
      <c r="A172" s="1855" t="s">
        <v>1412</v>
      </c>
      <c r="B172" s="1859" t="s">
        <v>2126</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2127</v>
      </c>
      <c r="C174" s="1860">
        <v>0.13</v>
      </c>
      <c r="D174" s="1860">
        <v>0.13</v>
      </c>
      <c r="E174" s="1860">
        <v>0.13</v>
      </c>
      <c r="F174" s="1861">
        <v>0.13</v>
      </c>
    </row>
    <row r="175" spans="1:6" ht="14.25" thickBot="1">
      <c r="A175" s="1855" t="s">
        <v>1412</v>
      </c>
      <c r="B175" s="1859" t="s">
        <v>2128</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2129</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2130</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2131</v>
      </c>
      <c r="C185" s="1860">
        <v>0.127</v>
      </c>
      <c r="D185" s="1860">
        <v>0.127</v>
      </c>
      <c r="E185" s="1860">
        <v>0.128</v>
      </c>
      <c r="F185" s="1861">
        <v>0.13</v>
      </c>
    </row>
    <row r="186" spans="1:6" ht="24.75" thickBot="1">
      <c r="A186" s="1855" t="s">
        <v>1412</v>
      </c>
      <c r="B186" s="1859" t="s">
        <v>2132</v>
      </c>
      <c r="C186" s="1869"/>
      <c r="D186" s="1869"/>
      <c r="E186" s="1869"/>
      <c r="F186" s="1861">
        <v>0.05</v>
      </c>
    </row>
    <row r="187" spans="1:6" ht="14.25" thickBot="1">
      <c r="A187" s="1855" t="s">
        <v>1412</v>
      </c>
      <c r="B187" s="1859" t="s">
        <v>2133</v>
      </c>
      <c r="C187" s="1869"/>
      <c r="D187" s="1869"/>
      <c r="E187" s="1869"/>
      <c r="F187" s="1861">
        <v>0.05</v>
      </c>
    </row>
    <row r="188" spans="1:6" ht="14.25" thickBot="1">
      <c r="A188" s="1855" t="s">
        <v>1412</v>
      </c>
      <c r="B188" s="1859" t="s">
        <v>2134</v>
      </c>
      <c r="C188" s="1869"/>
      <c r="D188" s="1869"/>
      <c r="E188" s="1869"/>
      <c r="F188" s="1861">
        <v>0.05</v>
      </c>
    </row>
    <row r="189" spans="1:6" ht="24.75" thickBot="1">
      <c r="A189" s="1855" t="s">
        <v>1412</v>
      </c>
      <c r="B189" s="1859" t="s">
        <v>2135</v>
      </c>
      <c r="C189" s="1869"/>
      <c r="D189" s="1869"/>
      <c r="E189" s="1869"/>
      <c r="F189" s="1861">
        <v>0.05</v>
      </c>
    </row>
    <row r="190" spans="1:6" ht="24.75" thickBot="1">
      <c r="A190" s="1855" t="s">
        <v>1412</v>
      </c>
      <c r="B190" s="1859" t="s">
        <v>2136</v>
      </c>
      <c r="C190" s="1869"/>
      <c r="D190" s="1869"/>
      <c r="E190" s="1869"/>
      <c r="F190" s="1861">
        <v>0.05</v>
      </c>
    </row>
    <row r="191" spans="1:6" ht="24.75" thickBot="1">
      <c r="A191" s="1855" t="s">
        <v>1412</v>
      </c>
      <c r="B191" s="1859" t="s">
        <v>2137</v>
      </c>
      <c r="C191" s="1869"/>
      <c r="D191" s="1869"/>
      <c r="E191" s="1869"/>
      <c r="F191" s="1861">
        <v>0.05</v>
      </c>
    </row>
    <row r="192" spans="1:6" ht="24.75" thickBot="1">
      <c r="A192" s="1855" t="s">
        <v>1412</v>
      </c>
      <c r="B192" s="1859" t="s">
        <v>2138</v>
      </c>
      <c r="C192" s="1869"/>
      <c r="D192" s="1869"/>
      <c r="E192" s="1869"/>
      <c r="F192" s="1861">
        <v>0.05</v>
      </c>
    </row>
    <row r="193" spans="1:6" ht="24.75" thickBot="1">
      <c r="A193" s="1855" t="s">
        <v>1412</v>
      </c>
      <c r="B193" s="1859" t="s">
        <v>2139</v>
      </c>
      <c r="C193" s="1869"/>
      <c r="D193" s="1869"/>
      <c r="E193" s="1869"/>
      <c r="F193" s="1861">
        <v>0.05</v>
      </c>
    </row>
    <row r="194" spans="1:6" ht="24.75" thickBot="1">
      <c r="A194" s="1855" t="s">
        <v>1412</v>
      </c>
      <c r="B194" s="1859" t="s">
        <v>2140</v>
      </c>
      <c r="C194" s="1869"/>
      <c r="D194" s="1869"/>
      <c r="E194" s="1869"/>
      <c r="F194" s="1861">
        <v>0.05</v>
      </c>
    </row>
    <row r="195" spans="1:6" ht="14.25" thickBot="1">
      <c r="A195" s="1855" t="s">
        <v>1412</v>
      </c>
      <c r="B195" s="1859" t="s">
        <v>2141</v>
      </c>
      <c r="C195" s="1869"/>
      <c r="D195" s="1869"/>
      <c r="E195" s="1869"/>
      <c r="F195" s="1861">
        <v>0.05</v>
      </c>
    </row>
    <row r="196" spans="1:6" ht="24.75" thickBot="1">
      <c r="A196" s="1855" t="s">
        <v>1412</v>
      </c>
      <c r="B196" s="1859" t="s">
        <v>2142</v>
      </c>
      <c r="C196" s="1869"/>
      <c r="D196" s="1869"/>
      <c r="E196" s="1869"/>
      <c r="F196" s="1861">
        <v>0.05</v>
      </c>
    </row>
    <row r="197" spans="1:6" ht="24.75" thickBot="1">
      <c r="A197" s="1855" t="s">
        <v>1412</v>
      </c>
      <c r="B197" s="1859" t="s">
        <v>2143</v>
      </c>
      <c r="C197" s="1869"/>
      <c r="D197" s="1869"/>
      <c r="E197" s="1869"/>
      <c r="F197" s="1861">
        <v>0.05</v>
      </c>
    </row>
    <row r="198" spans="1:6" ht="24.75" thickBot="1">
      <c r="A198" s="1855" t="s">
        <v>1412</v>
      </c>
      <c r="B198" s="1859" t="s">
        <v>2144</v>
      </c>
      <c r="C198" s="1869"/>
      <c r="D198" s="1869"/>
      <c r="E198" s="1869"/>
      <c r="F198" s="1861">
        <v>0.05</v>
      </c>
    </row>
    <row r="199" spans="1:6" ht="24.75" thickBot="1">
      <c r="A199" s="1855" t="s">
        <v>1412</v>
      </c>
      <c r="B199" s="1859" t="s">
        <v>2145</v>
      </c>
      <c r="C199" s="1869"/>
      <c r="D199" s="1869"/>
      <c r="E199" s="1869"/>
      <c r="F199" s="1861">
        <v>0.05</v>
      </c>
    </row>
    <row r="200" spans="1:6" ht="24.75" thickBot="1">
      <c r="A200" s="1855" t="s">
        <v>1412</v>
      </c>
      <c r="B200" s="1859" t="s">
        <v>2146</v>
      </c>
      <c r="C200" s="1869"/>
      <c r="D200" s="1869"/>
      <c r="E200" s="1869"/>
      <c r="F200" s="1861">
        <v>0.05</v>
      </c>
    </row>
    <row r="201" spans="1:6" ht="24.75" thickBot="1">
      <c r="A201" s="1855" t="s">
        <v>1412</v>
      </c>
      <c r="B201" s="1859" t="s">
        <v>2147</v>
      </c>
      <c r="C201" s="1869"/>
      <c r="D201" s="1869"/>
      <c r="E201" s="1869"/>
      <c r="F201" s="1861">
        <v>0.05</v>
      </c>
    </row>
    <row r="202" spans="1:6" ht="24.75" thickBot="1">
      <c r="A202" s="1855" t="s">
        <v>1412</v>
      </c>
      <c r="B202" s="1859" t="s">
        <v>2148</v>
      </c>
      <c r="C202" s="1869"/>
      <c r="D202" s="1869"/>
      <c r="E202" s="1869"/>
      <c r="F202" s="1861">
        <v>0.05</v>
      </c>
    </row>
    <row r="203" spans="1:6" ht="24.75" thickBot="1">
      <c r="A203" s="1855" t="s">
        <v>1412</v>
      </c>
      <c r="B203" s="1859" t="s">
        <v>2149</v>
      </c>
      <c r="C203" s="1869"/>
      <c r="D203" s="1869"/>
      <c r="E203" s="1869"/>
      <c r="F203" s="1861">
        <v>0.05</v>
      </c>
    </row>
    <row r="204" spans="1:6" ht="14.25" thickBot="1">
      <c r="A204" s="1855" t="s">
        <v>1412</v>
      </c>
      <c r="B204" s="1859" t="s">
        <v>2150</v>
      </c>
      <c r="C204" s="1869"/>
      <c r="D204" s="1869"/>
      <c r="E204" s="1869"/>
      <c r="F204" s="1861">
        <v>0.05</v>
      </c>
    </row>
    <row r="205" spans="1:6" ht="14.25" thickBot="1">
      <c r="A205" s="1863" t="s">
        <v>1412</v>
      </c>
      <c r="B205" s="1870" t="s">
        <v>2151</v>
      </c>
      <c r="C205" s="1866"/>
      <c r="D205" s="1866"/>
      <c r="E205" s="1866"/>
      <c r="F205" s="1871">
        <v>0.05</v>
      </c>
    </row>
    <row r="206" spans="1:6" ht="14.25" thickBot="1">
      <c r="A206" s="1855" t="s">
        <v>1414</v>
      </c>
      <c r="B206" s="1856" t="s">
        <v>2152</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2153</v>
      </c>
      <c r="C210" s="1860">
        <v>0.15</v>
      </c>
      <c r="D210" s="1860">
        <v>0.15</v>
      </c>
      <c r="E210" s="1860">
        <v>0.15</v>
      </c>
      <c r="F210" s="1861">
        <v>0.13800000000000001</v>
      </c>
    </row>
    <row r="211" spans="1:6" ht="14.25" thickBot="1">
      <c r="A211" s="1855" t="s">
        <v>1414</v>
      </c>
      <c r="B211" s="1859" t="s">
        <v>2154</v>
      </c>
      <c r="C211" s="1860">
        <v>0.13700000000000001</v>
      </c>
      <c r="D211" s="1860">
        <v>0.13500000000000001</v>
      </c>
      <c r="E211" s="1860">
        <v>0.13600000000000001</v>
      </c>
      <c r="F211" s="1861">
        <v>0.1</v>
      </c>
    </row>
    <row r="212" spans="1:6" ht="14.25" thickBot="1">
      <c r="A212" s="1855" t="s">
        <v>1414</v>
      </c>
      <c r="B212" s="1859" t="s">
        <v>2155</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2156</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2157</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2158</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2159</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2160</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2161</v>
      </c>
      <c r="C231" s="1860">
        <v>0.128</v>
      </c>
      <c r="D231" s="1860">
        <v>0.125</v>
      </c>
      <c r="E231" s="1860">
        <v>0.13200000000000001</v>
      </c>
      <c r="F231" s="1868"/>
    </row>
    <row r="232" spans="1:6" ht="14.25" thickBot="1">
      <c r="A232" s="1855" t="s">
        <v>1414</v>
      </c>
      <c r="B232" s="1859" t="s">
        <v>2162</v>
      </c>
      <c r="C232" s="1860">
        <v>0.14499999999999999</v>
      </c>
      <c r="D232" s="1860">
        <v>0.14399999999999999</v>
      </c>
      <c r="E232" s="1860">
        <v>0.14599999999999999</v>
      </c>
      <c r="F232" s="1861">
        <v>0.13800000000000001</v>
      </c>
    </row>
    <row r="233" spans="1:6" ht="14.25" thickBot="1">
      <c r="A233" s="1855" t="s">
        <v>1414</v>
      </c>
      <c r="B233" s="1859" t="s">
        <v>2163</v>
      </c>
      <c r="C233" s="1860">
        <v>0.14499999999999999</v>
      </c>
      <c r="D233" s="1860">
        <v>0.14299999999999999</v>
      </c>
      <c r="E233" s="1860">
        <v>0.14199999999999999</v>
      </c>
      <c r="F233" s="1868"/>
    </row>
    <row r="234" spans="1:6" ht="14.25" thickBot="1">
      <c r="A234" s="1855" t="s">
        <v>1414</v>
      </c>
      <c r="B234" s="1859" t="s">
        <v>2164</v>
      </c>
      <c r="C234" s="1860">
        <v>0.14000000000000001</v>
      </c>
      <c r="D234" s="1860">
        <v>0.14000000000000001</v>
      </c>
      <c r="E234" s="1860">
        <v>0.14399999999999999</v>
      </c>
      <c r="F234" s="1868"/>
    </row>
    <row r="235" spans="1:6" ht="14.25" thickBot="1">
      <c r="A235" s="1855" t="s">
        <v>1414</v>
      </c>
      <c r="B235" s="1859" t="s">
        <v>2165</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2166</v>
      </c>
      <c r="C237" s="1869"/>
      <c r="D237" s="1869"/>
      <c r="E237" s="1869"/>
      <c r="F237" s="1861">
        <v>0.05</v>
      </c>
    </row>
    <row r="238" spans="1:6" ht="24.75" thickBot="1">
      <c r="A238" s="1855" t="s">
        <v>1414</v>
      </c>
      <c r="B238" s="1859" t="s">
        <v>2167</v>
      </c>
      <c r="C238" s="1869"/>
      <c r="D238" s="1869"/>
      <c r="E238" s="1869"/>
      <c r="F238" s="1861">
        <v>0.05</v>
      </c>
    </row>
    <row r="239" spans="1:6" ht="24.75" thickBot="1">
      <c r="A239" s="1855" t="s">
        <v>1414</v>
      </c>
      <c r="B239" s="1859" t="s">
        <v>2168</v>
      </c>
      <c r="C239" s="1869"/>
      <c r="D239" s="1869"/>
      <c r="E239" s="1869"/>
      <c r="F239" s="1861">
        <v>0.05</v>
      </c>
    </row>
    <row r="240" spans="1:6" ht="24.75" thickBot="1">
      <c r="A240" s="1855" t="s">
        <v>1414</v>
      </c>
      <c r="B240" s="1859" t="s">
        <v>2169</v>
      </c>
      <c r="C240" s="1869"/>
      <c r="D240" s="1869"/>
      <c r="E240" s="1869"/>
      <c r="F240" s="1861">
        <v>0.05</v>
      </c>
    </row>
    <row r="241" spans="1:6" ht="24.75" thickBot="1">
      <c r="A241" s="1855" t="s">
        <v>1414</v>
      </c>
      <c r="B241" s="1859" t="s">
        <v>2170</v>
      </c>
      <c r="C241" s="1869"/>
      <c r="D241" s="1869"/>
      <c r="E241" s="1869"/>
      <c r="F241" s="1861">
        <v>0.05</v>
      </c>
    </row>
    <row r="242" spans="1:6" ht="24.75" thickBot="1">
      <c r="A242" s="1855" t="s">
        <v>1414</v>
      </c>
      <c r="B242" s="1859" t="s">
        <v>2171</v>
      </c>
      <c r="C242" s="1869"/>
      <c r="D242" s="1869"/>
      <c r="E242" s="1869"/>
      <c r="F242" s="1861">
        <v>0.05</v>
      </c>
    </row>
    <row r="243" spans="1:6" ht="24.75" thickBot="1">
      <c r="A243" s="1855" t="s">
        <v>1414</v>
      </c>
      <c r="B243" s="1859" t="s">
        <v>2172</v>
      </c>
      <c r="C243" s="1869"/>
      <c r="D243" s="1869"/>
      <c r="E243" s="1869"/>
      <c r="F243" s="1861">
        <v>0.05</v>
      </c>
    </row>
    <row r="244" spans="1:6" ht="24.75" thickBot="1">
      <c r="A244" s="1863" t="s">
        <v>1414</v>
      </c>
      <c r="B244" s="1870" t="s">
        <v>2173</v>
      </c>
      <c r="C244" s="1866"/>
      <c r="D244" s="1866"/>
      <c r="E244" s="1866"/>
      <c r="F244" s="1871">
        <v>0.05</v>
      </c>
    </row>
    <row r="245" spans="1:6" ht="14.25" thickBot="1">
      <c r="A245" s="1855" t="s">
        <v>1416</v>
      </c>
      <c r="B245" s="1856" t="s">
        <v>2174</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2175</v>
      </c>
      <c r="C247" s="1860">
        <v>0.15</v>
      </c>
      <c r="D247" s="1860">
        <v>0.15</v>
      </c>
      <c r="E247" s="1860">
        <v>0.15</v>
      </c>
      <c r="F247" s="1861">
        <v>0.15</v>
      </c>
    </row>
    <row r="248" spans="1:6" ht="14.25" thickBot="1">
      <c r="A248" s="1855" t="s">
        <v>1416</v>
      </c>
      <c r="B248" s="1859" t="s">
        <v>2176</v>
      </c>
      <c r="C248" s="1860">
        <v>0.15</v>
      </c>
      <c r="D248" s="1860">
        <v>0.15</v>
      </c>
      <c r="E248" s="1860">
        <v>0.15</v>
      </c>
      <c r="F248" s="1861">
        <v>0.14000000000000001</v>
      </c>
    </row>
    <row r="249" spans="1:6" ht="14.25" thickBot="1">
      <c r="A249" s="1855" t="s">
        <v>1416</v>
      </c>
      <c r="B249" s="1859" t="s">
        <v>2177</v>
      </c>
      <c r="C249" s="1860">
        <v>0.15</v>
      </c>
      <c r="D249" s="1860">
        <v>0.14899999999999999</v>
      </c>
      <c r="E249" s="1860">
        <v>0.15</v>
      </c>
      <c r="F249" s="1861">
        <v>0.1</v>
      </c>
    </row>
    <row r="250" spans="1:6" ht="14.25" thickBot="1">
      <c r="A250" s="1855" t="s">
        <v>1416</v>
      </c>
      <c r="B250" s="1859" t="s">
        <v>2178</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2179</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2180</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2181</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2182</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2183</v>
      </c>
      <c r="C273" s="1860">
        <v>0.14199999999999999</v>
      </c>
      <c r="D273" s="1860">
        <v>0.14299999999999999</v>
      </c>
      <c r="E273" s="1860">
        <v>0.15</v>
      </c>
      <c r="F273" s="1861">
        <v>0.1</v>
      </c>
    </row>
    <row r="274" spans="1:6" ht="14.25" thickBot="1">
      <c r="A274" s="1855" t="s">
        <v>1416</v>
      </c>
      <c r="B274" s="1859" t="s">
        <v>2184</v>
      </c>
      <c r="C274" s="1860">
        <v>0.14799999999999999</v>
      </c>
      <c r="D274" s="1860">
        <v>0.14799999999999999</v>
      </c>
      <c r="E274" s="1860">
        <v>0.15</v>
      </c>
      <c r="F274" s="1861">
        <v>6.7000000000000004E-2</v>
      </c>
    </row>
    <row r="275" spans="1:6" ht="14.25" thickBot="1">
      <c r="A275" s="1855" t="s">
        <v>1416</v>
      </c>
      <c r="B275" s="1859" t="s">
        <v>2185</v>
      </c>
      <c r="C275" s="1860">
        <v>0.15</v>
      </c>
      <c r="D275" s="1860">
        <v>0.15</v>
      </c>
      <c r="E275" s="1860">
        <v>0.15</v>
      </c>
      <c r="F275" s="1861">
        <v>0.15</v>
      </c>
    </row>
    <row r="276" spans="1:6" ht="14.25" thickBot="1">
      <c r="A276" s="1855" t="s">
        <v>1416</v>
      </c>
      <c r="B276" s="1859" t="s">
        <v>2186</v>
      </c>
      <c r="C276" s="1860">
        <v>0.14499999999999999</v>
      </c>
      <c r="D276" s="1860">
        <v>0.14299999999999999</v>
      </c>
      <c r="E276" s="1860">
        <v>0.15</v>
      </c>
      <c r="F276" s="1861">
        <v>5.8999999999999997E-2</v>
      </c>
    </row>
    <row r="277" spans="1:6" ht="14.25" thickBot="1">
      <c r="A277" s="1855" t="s">
        <v>1416</v>
      </c>
      <c r="B277" s="1859" t="s">
        <v>2187</v>
      </c>
      <c r="C277" s="1860">
        <v>0.15</v>
      </c>
      <c r="D277" s="1860">
        <v>0.15</v>
      </c>
      <c r="E277" s="1860">
        <v>0.15</v>
      </c>
      <c r="F277" s="1861">
        <v>0.121</v>
      </c>
    </row>
    <row r="278" spans="1:6" ht="14.25" thickBot="1">
      <c r="A278" s="1855" t="s">
        <v>1416</v>
      </c>
      <c r="B278" s="1859" t="s">
        <v>2188</v>
      </c>
      <c r="C278" s="1860">
        <v>0.15</v>
      </c>
      <c r="D278" s="1860">
        <v>0.15</v>
      </c>
      <c r="E278" s="1860">
        <v>0.15</v>
      </c>
      <c r="F278" s="1861">
        <v>0.13800000000000001</v>
      </c>
    </row>
    <row r="279" spans="1:6" ht="24.75" thickBot="1">
      <c r="A279" s="1855" t="s">
        <v>1416</v>
      </c>
      <c r="B279" s="1859" t="s">
        <v>2189</v>
      </c>
      <c r="C279" s="1869"/>
      <c r="D279" s="1869"/>
      <c r="E279" s="1869"/>
      <c r="F279" s="1861">
        <v>0.05</v>
      </c>
    </row>
    <row r="280" spans="1:6" ht="24.75" thickBot="1">
      <c r="A280" s="1855" t="s">
        <v>1416</v>
      </c>
      <c r="B280" s="1859" t="s">
        <v>2190</v>
      </c>
      <c r="C280" s="1869"/>
      <c r="D280" s="1869"/>
      <c r="E280" s="1869"/>
      <c r="F280" s="1861">
        <v>0.05</v>
      </c>
    </row>
    <row r="281" spans="1:6" ht="24.75" thickBot="1">
      <c r="A281" s="1855" t="s">
        <v>1416</v>
      </c>
      <c r="B281" s="1859" t="s">
        <v>2191</v>
      </c>
      <c r="C281" s="1869"/>
      <c r="D281" s="1869"/>
      <c r="E281" s="1869"/>
      <c r="F281" s="1861">
        <v>0.05</v>
      </c>
    </row>
    <row r="282" spans="1:6" ht="24.75" thickBot="1">
      <c r="A282" s="1855" t="s">
        <v>1416</v>
      </c>
      <c r="B282" s="1859" t="s">
        <v>2192</v>
      </c>
      <c r="C282" s="1869"/>
      <c r="D282" s="1869"/>
      <c r="E282" s="1869"/>
      <c r="F282" s="1861">
        <v>0.05</v>
      </c>
    </row>
    <row r="283" spans="1:6" ht="24.75" thickBot="1">
      <c r="A283" s="1855" t="s">
        <v>1416</v>
      </c>
      <c r="B283" s="1859" t="s">
        <v>2193</v>
      </c>
      <c r="C283" s="1869"/>
      <c r="D283" s="1869"/>
      <c r="E283" s="1869"/>
      <c r="F283" s="1861">
        <v>0.05</v>
      </c>
    </row>
    <row r="284" spans="1:6" ht="24.75" thickBot="1">
      <c r="A284" s="1855" t="s">
        <v>1416</v>
      </c>
      <c r="B284" s="1859" t="s">
        <v>2194</v>
      </c>
      <c r="C284" s="1869"/>
      <c r="D284" s="1869"/>
      <c r="E284" s="1869"/>
      <c r="F284" s="1861">
        <v>0.05</v>
      </c>
    </row>
    <row r="285" spans="1:6" ht="24.75" thickBot="1">
      <c r="A285" s="1855" t="s">
        <v>1416</v>
      </c>
      <c r="B285" s="1859" t="s">
        <v>2195</v>
      </c>
      <c r="C285" s="1869"/>
      <c r="D285" s="1869"/>
      <c r="E285" s="1869"/>
      <c r="F285" s="1861">
        <v>0.05</v>
      </c>
    </row>
    <row r="286" spans="1:6" ht="24.75" thickBot="1">
      <c r="A286" s="1855" t="s">
        <v>1416</v>
      </c>
      <c r="B286" s="1859" t="s">
        <v>2196</v>
      </c>
      <c r="C286" s="1869"/>
      <c r="D286" s="1869"/>
      <c r="E286" s="1869"/>
      <c r="F286" s="1861">
        <v>0.05</v>
      </c>
    </row>
    <row r="287" spans="1:6" ht="24.75" thickBot="1">
      <c r="A287" s="1855" t="s">
        <v>1416</v>
      </c>
      <c r="B287" s="1859" t="s">
        <v>2197</v>
      </c>
      <c r="C287" s="1869"/>
      <c r="D287" s="1869"/>
      <c r="E287" s="1869"/>
      <c r="F287" s="1861">
        <v>0.05</v>
      </c>
    </row>
    <row r="288" spans="1:6" ht="24.75" thickBot="1">
      <c r="A288" s="1855" t="s">
        <v>1416</v>
      </c>
      <c r="B288" s="1859" t="s">
        <v>2198</v>
      </c>
      <c r="C288" s="1869"/>
      <c r="D288" s="1869"/>
      <c r="E288" s="1869"/>
      <c r="F288" s="1861">
        <v>0.05</v>
      </c>
    </row>
    <row r="289" spans="1:6" ht="24.75" thickBot="1">
      <c r="A289" s="1863" t="s">
        <v>1416</v>
      </c>
      <c r="B289" s="1870" t="s">
        <v>2199</v>
      </c>
      <c r="C289" s="1866"/>
      <c r="D289" s="1866"/>
      <c r="E289" s="1866"/>
      <c r="F289" s="1871">
        <v>0.05</v>
      </c>
    </row>
    <row r="290" spans="1:6" ht="14.25" thickBot="1">
      <c r="A290" s="1855" t="s">
        <v>1420</v>
      </c>
      <c r="B290" s="1856" t="s">
        <v>2200</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2201</v>
      </c>
      <c r="C292" s="1860">
        <v>0.15</v>
      </c>
      <c r="D292" s="1860">
        <v>0.15</v>
      </c>
      <c r="E292" s="1860">
        <v>0.15</v>
      </c>
      <c r="F292" s="1861">
        <v>0.14699999999999999</v>
      </c>
    </row>
    <row r="293" spans="1:6" ht="14.25" thickBot="1">
      <c r="A293" s="1855" t="s">
        <v>1420</v>
      </c>
      <c r="B293" s="1859" t="s">
        <v>2202</v>
      </c>
      <c r="C293" s="1869"/>
      <c r="D293" s="1869"/>
      <c r="E293" s="1869"/>
      <c r="F293" s="1861">
        <v>0.1</v>
      </c>
    </row>
    <row r="294" spans="1:6" ht="14.25" thickBot="1">
      <c r="A294" s="1855" t="s">
        <v>1420</v>
      </c>
      <c r="B294" s="1859" t="s">
        <v>2203</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2204</v>
      </c>
      <c r="C296" s="1860">
        <v>0.15</v>
      </c>
      <c r="D296" s="1860">
        <v>0.15</v>
      </c>
      <c r="E296" s="1860">
        <v>0.15</v>
      </c>
      <c r="F296" s="1861">
        <v>0.15</v>
      </c>
    </row>
    <row r="297" spans="1:6" ht="14.25" thickBot="1">
      <c r="A297" s="1855" t="s">
        <v>1420</v>
      </c>
      <c r="B297" s="1859" t="s">
        <v>2205</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2206</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2207</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2208</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2209</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2210</v>
      </c>
      <c r="C310" s="1860">
        <v>0.15</v>
      </c>
      <c r="D310" s="1860">
        <v>0.15</v>
      </c>
      <c r="E310" s="1860">
        <v>0.15</v>
      </c>
      <c r="F310" s="1861">
        <v>0.13700000000000001</v>
      </c>
    </row>
    <row r="311" spans="1:6" ht="14.25" thickBot="1">
      <c r="A311" s="1855" t="s">
        <v>1420</v>
      </c>
      <c r="B311" s="1859" t="s">
        <v>2211</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2212</v>
      </c>
      <c r="C313" s="1860">
        <v>0.15</v>
      </c>
      <c r="D313" s="1860">
        <v>0.15</v>
      </c>
      <c r="E313" s="1860">
        <v>0.15</v>
      </c>
      <c r="F313" s="1861">
        <v>0.15</v>
      </c>
    </row>
    <row r="314" spans="1:6" ht="24.75" thickBot="1">
      <c r="A314" s="1855" t="s">
        <v>1420</v>
      </c>
      <c r="B314" s="1859" t="s">
        <v>2213</v>
      </c>
      <c r="C314" s="1869"/>
      <c r="D314" s="1869"/>
      <c r="E314" s="1869"/>
      <c r="F314" s="1861">
        <v>0.05</v>
      </c>
    </row>
    <row r="315" spans="1:6" ht="24.75" thickBot="1">
      <c r="A315" s="1855" t="s">
        <v>1420</v>
      </c>
      <c r="B315" s="1859" t="s">
        <v>2214</v>
      </c>
      <c r="C315" s="1869"/>
      <c r="D315" s="1869"/>
      <c r="E315" s="1869"/>
      <c r="F315" s="1861">
        <v>0.05</v>
      </c>
    </row>
    <row r="316" spans="1:6" ht="24.75" thickBot="1">
      <c r="A316" s="1863" t="s">
        <v>1420</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1108</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1177</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1197</v>
      </c>
      <c r="C328" s="1860">
        <v>0.15</v>
      </c>
      <c r="D328" s="1860">
        <v>0.15</v>
      </c>
      <c r="E328" s="1860">
        <v>0.15</v>
      </c>
      <c r="F328" s="1861">
        <v>0.14099999999999999</v>
      </c>
    </row>
    <row r="329" spans="1:6" ht="14.25" thickBot="1">
      <c r="A329" s="1855" t="s">
        <v>2216</v>
      </c>
      <c r="B329" s="1859" t="s">
        <v>1207</v>
      </c>
      <c r="C329" s="1860">
        <v>0.15</v>
      </c>
      <c r="D329" s="1860">
        <v>0.15</v>
      </c>
      <c r="E329" s="1860">
        <v>0.15</v>
      </c>
      <c r="F329" s="1861">
        <v>0.15</v>
      </c>
    </row>
    <row r="330" spans="1:6" ht="14.25" thickBot="1">
      <c r="A330" s="1855" t="s">
        <v>2216</v>
      </c>
      <c r="B330" s="1859" t="s">
        <v>1217</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1237</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1257</v>
      </c>
      <c r="C334" s="1860">
        <v>0.15</v>
      </c>
      <c r="D334" s="1860">
        <v>0.15</v>
      </c>
      <c r="E334" s="1860">
        <v>0.15</v>
      </c>
      <c r="F334" s="1861">
        <v>0.15</v>
      </c>
    </row>
    <row r="335" spans="1:6" ht="14.25" thickBot="1">
      <c r="A335" s="1855" t="s">
        <v>2216</v>
      </c>
      <c r="B335" s="1859" t="s">
        <v>1267</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1285</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2948</v>
      </c>
      <c r="B1" s="3133"/>
      <c r="C1" s="3133"/>
      <c r="D1" s="3133"/>
      <c r="E1" s="3133"/>
      <c r="F1" s="3133"/>
    </row>
    <row r="2" spans="1:6" ht="14.25">
      <c r="A2" s="3134" t="s">
        <v>2943</v>
      </c>
      <c r="B2" s="3135" t="e">
        <f ca="1">SUMIF(B7:B14,"&lt;&gt;#ref!",B7:B14)</f>
        <v>#DIV/0!</v>
      </c>
      <c r="C2" s="3134" t="s">
        <v>2944</v>
      </c>
      <c r="D2" s="3133"/>
      <c r="E2" s="3133"/>
      <c r="F2" s="3133"/>
    </row>
    <row r="3" spans="1:6" ht="14.25">
      <c r="A3" s="3134" t="s">
        <v>2978</v>
      </c>
      <c r="B3" s="3135" t="e">
        <f ca="1">ROUND(B2*10000/E3,0)</f>
        <v>#DIV/0!</v>
      </c>
      <c r="C3" s="3134" t="s">
        <v>2078</v>
      </c>
      <c r="D3" s="3134" t="s">
        <v>2945</v>
      </c>
      <c r="E3" s="3135">
        <f ca="1">SUMIF(E7:E14,"&lt;&gt;#ref!",E7:E14)</f>
        <v>0</v>
      </c>
      <c r="F3" s="3133"/>
    </row>
    <row r="4" spans="1:6" ht="14.25">
      <c r="A4" s="3134" t="s">
        <v>2952</v>
      </c>
      <c r="B4" s="3135" t="e">
        <f ca="1">ROUND(B2*10000/E4,0)</f>
        <v>#DIV/0!</v>
      </c>
      <c r="C4" s="3134" t="s">
        <v>2078</v>
      </c>
      <c r="D4" s="3134" t="s">
        <v>2953</v>
      </c>
      <c r="E4" s="3135">
        <f ca="1">SUMIF(F7:F14,"&lt;&gt;#ref!",F7:F14)</f>
        <v>0</v>
      </c>
      <c r="F4" s="3133"/>
    </row>
    <row r="5" spans="1:6" ht="14.25">
      <c r="A5" s="3136"/>
      <c r="B5" s="1881"/>
      <c r="C5" s="1881"/>
      <c r="D5" s="1881"/>
      <c r="E5" s="1881"/>
      <c r="F5" s="3133"/>
    </row>
    <row r="6" spans="1:6" ht="28.5">
      <c r="A6" s="3137" t="s">
        <v>2949</v>
      </c>
      <c r="B6" s="3134" t="s">
        <v>2946</v>
      </c>
      <c r="C6" s="3135"/>
      <c r="D6" s="1881"/>
      <c r="E6" s="3134" t="s">
        <v>2947</v>
      </c>
      <c r="F6" s="3134" t="s">
        <v>2951</v>
      </c>
    </row>
    <row r="7" spans="1:6" ht="14.25">
      <c r="A7" s="260" t="s">
        <v>2950</v>
      </c>
      <c r="B7" s="3138" t="e">
        <f ca="1">SUMIF(INDIRECT("'"&amp;A7&amp;"'"&amp;"!A:A"),"总价",INDIRECT("'"&amp;A7&amp;"'"&amp;"!B:B"))</f>
        <v>#DIV/0!</v>
      </c>
      <c r="C7" s="3134" t="s">
        <v>2944</v>
      </c>
      <c r="D7" s="1881"/>
      <c r="E7" s="3139">
        <f ca="1">SUMIF(INDIRECT("'"&amp;A7&amp;"'"&amp;"!C:C"),"建筑面积",INDIRECT("'"&amp;A7&amp;"'"&amp;"!D:D"))</f>
        <v>0</v>
      </c>
      <c r="F7" s="3139">
        <f ca="1">SUMIF(INDIRECT("'"&amp;A7&amp;"'"&amp;"!E:E"),"土地面积",INDIRECT("'"&amp;A7&amp;"'"&amp;"!F:F"))</f>
        <v>0</v>
      </c>
    </row>
    <row r="8" spans="1:6" ht="14.25">
      <c r="A8" s="260"/>
      <c r="B8" s="3138" t="e">
        <f t="shared" ref="B8:B14" ca="1" si="0">SUMIF(INDIRECT("'"&amp;A8&amp;"'"&amp;"!A:A"),"总价",INDIRECT("'"&amp;A8&amp;"'"&amp;"!B:B"))</f>
        <v>#REF!</v>
      </c>
      <c r="C8" s="3134" t="s">
        <v>2944</v>
      </c>
      <c r="D8" s="1881"/>
      <c r="E8" s="3139" t="e">
        <f t="shared" ref="E8:E14" ca="1" si="1">SUMIF(INDIRECT("'"&amp;A8&amp;"'"&amp;"!C:C"),"建筑面积",INDIRECT("'"&amp;A8&amp;"'"&amp;"!D:D"))</f>
        <v>#REF!</v>
      </c>
      <c r="F8" s="3139" t="e">
        <f t="shared" ref="F8:F14" ca="1" si="2">SUMIF(INDIRECT("'"&amp;A8&amp;"'"&amp;"!E:E"),"土地面积",INDIRECT("'"&amp;A8&amp;"'"&amp;"!F:F"))</f>
        <v>#REF!</v>
      </c>
    </row>
    <row r="9" spans="1:6" ht="14.25">
      <c r="A9" s="260"/>
      <c r="B9" s="3138" t="e">
        <f t="shared" ca="1" si="0"/>
        <v>#REF!</v>
      </c>
      <c r="C9" s="3134" t="s">
        <v>2944</v>
      </c>
      <c r="D9" s="1881"/>
      <c r="E9" s="3139" t="e">
        <f t="shared" ca="1" si="1"/>
        <v>#REF!</v>
      </c>
      <c r="F9" s="3139" t="e">
        <f t="shared" ca="1" si="2"/>
        <v>#REF!</v>
      </c>
    </row>
    <row r="10" spans="1:6" ht="14.25">
      <c r="A10" s="260"/>
      <c r="B10" s="3138" t="e">
        <f t="shared" ca="1" si="0"/>
        <v>#REF!</v>
      </c>
      <c r="C10" s="3134" t="s">
        <v>2944</v>
      </c>
      <c r="D10" s="1881"/>
      <c r="E10" s="3139" t="e">
        <f t="shared" ca="1" si="1"/>
        <v>#REF!</v>
      </c>
      <c r="F10" s="3139" t="e">
        <f t="shared" ca="1" si="2"/>
        <v>#REF!</v>
      </c>
    </row>
    <row r="11" spans="1:6" ht="14.25">
      <c r="A11" s="260"/>
      <c r="B11" s="3138" t="e">
        <f t="shared" ca="1" si="0"/>
        <v>#REF!</v>
      </c>
      <c r="C11" s="3134" t="s">
        <v>2944</v>
      </c>
      <c r="D11" s="1881"/>
      <c r="E11" s="3139" t="e">
        <f t="shared" ca="1" si="1"/>
        <v>#REF!</v>
      </c>
      <c r="F11" s="3139" t="e">
        <f t="shared" ca="1" si="2"/>
        <v>#REF!</v>
      </c>
    </row>
    <row r="12" spans="1:6" ht="14.25">
      <c r="A12" s="260"/>
      <c r="B12" s="3138" t="e">
        <f t="shared" ca="1" si="0"/>
        <v>#REF!</v>
      </c>
      <c r="C12" s="3134" t="s">
        <v>2944</v>
      </c>
      <c r="D12" s="1881"/>
      <c r="E12" s="3139" t="e">
        <f t="shared" ca="1" si="1"/>
        <v>#REF!</v>
      </c>
      <c r="F12" s="3139" t="e">
        <f t="shared" ca="1" si="2"/>
        <v>#REF!</v>
      </c>
    </row>
    <row r="13" spans="1:6" ht="14.25">
      <c r="A13" s="260"/>
      <c r="B13" s="3138" t="e">
        <f t="shared" ca="1" si="0"/>
        <v>#REF!</v>
      </c>
      <c r="C13" s="3134" t="s">
        <v>2944</v>
      </c>
      <c r="D13" s="1881"/>
      <c r="E13" s="3139" t="e">
        <f t="shared" ca="1" si="1"/>
        <v>#REF!</v>
      </c>
      <c r="F13" s="3139" t="e">
        <f t="shared" ca="1" si="2"/>
        <v>#REF!</v>
      </c>
    </row>
    <row r="14" spans="1:6" ht="14.25">
      <c r="A14" s="3132"/>
      <c r="B14" s="3138" t="e">
        <f t="shared" ca="1" si="0"/>
        <v>#REF!</v>
      </c>
      <c r="C14" s="3134" t="s">
        <v>2944</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2374</v>
      </c>
      <c r="F1" s="2412">
        <f ca="1">J54</f>
        <v>0</v>
      </c>
      <c r="G1" s="774">
        <f>MATCH(C1,'数据-取费表'!A6:A16,0)+5</f>
        <v>9</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1687</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2458</v>
      </c>
      <c r="C7" s="53">
        <f ca="1">C8+C12+C14</f>
        <v>0</v>
      </c>
      <c r="D7" s="2520" t="s">
        <v>2461</v>
      </c>
      <c r="E7" s="2514"/>
      <c r="F7" s="2515"/>
      <c r="G7" s="1593"/>
      <c r="H7" s="781">
        <v>1</v>
      </c>
      <c r="I7" s="782" t="s">
        <v>2458</v>
      </c>
      <c r="J7" s="53">
        <f ca="1">J8+J12+J14</f>
        <v>0</v>
      </c>
      <c r="K7" s="2520" t="s">
        <v>2461</v>
      </c>
      <c r="L7" s="2514"/>
      <c r="M7" s="2515"/>
    </row>
    <row r="8" spans="1:25" ht="18" customHeight="1">
      <c r="A8" s="1831" t="s">
        <v>1825</v>
      </c>
      <c r="B8" s="3471" t="s">
        <v>2463</v>
      </c>
      <c r="C8" s="1826">
        <f ca="1">ROUND(F8*F10*F9*(1-F11)/10000,0)</f>
        <v>0</v>
      </c>
      <c r="D8" s="1823" t="s">
        <v>2534</v>
      </c>
      <c r="E8" s="61" t="s">
        <v>637</v>
      </c>
      <c r="F8" s="785">
        <f ca="1">INDIRECT("'数据-取费表'!u"&amp;$G$1)</f>
        <v>0</v>
      </c>
      <c r="G8" s="1593"/>
      <c r="H8" s="2528" t="s">
        <v>1825</v>
      </c>
      <c r="I8" s="3471" t="s">
        <v>2463</v>
      </c>
      <c r="J8" s="783">
        <f ca="1">ROUND(M8*M10*M9*(1-M11)/10000,0)</f>
        <v>0</v>
      </c>
      <c r="K8" s="341" t="s">
        <v>2534</v>
      </c>
      <c r="L8" s="784" t="s">
        <v>1739</v>
      </c>
      <c r="M8" s="785">
        <f ca="1">INDIRECT("'数据-取费表'!z"&amp;$G$1)</f>
        <v>0</v>
      </c>
    </row>
    <row r="9" spans="1:25" ht="18" customHeight="1">
      <c r="A9" s="2524"/>
      <c r="B9" s="3472"/>
      <c r="C9" s="1827"/>
      <c r="D9" s="1824"/>
      <c r="E9" s="61" t="s">
        <v>638</v>
      </c>
      <c r="F9" s="785">
        <f ca="1">IF(INDIRECT("'数据-取费表'!ah"&amp;$G$1)="",INDIRECT("'数据-取费表'!k"&amp;$G$1),INDIRECT("'数据-取费表'!ah"&amp;$G$1))</f>
        <v>0</v>
      </c>
      <c r="G9" s="1593"/>
      <c r="H9" s="2513"/>
      <c r="I9" s="3472"/>
      <c r="J9" s="788"/>
      <c r="K9" s="789"/>
      <c r="L9" s="784" t="s">
        <v>1740</v>
      </c>
      <c r="M9" s="785">
        <f ca="1">F9</f>
        <v>0</v>
      </c>
    </row>
    <row r="10" spans="1:25" ht="18" customHeight="1">
      <c r="A10" s="2517"/>
      <c r="B10" s="3473"/>
      <c r="C10" s="1827"/>
      <c r="D10" s="1824"/>
      <c r="E10" s="61" t="s">
        <v>639</v>
      </c>
      <c r="F10" s="785">
        <f ca="1">INDIRECT("'数据-取费表'!ai"&amp;$G$1)</f>
        <v>0</v>
      </c>
      <c r="G10" s="1593"/>
      <c r="H10" s="2513"/>
      <c r="I10" s="3473"/>
      <c r="J10" s="788"/>
      <c r="K10" s="789"/>
      <c r="L10" s="784" t="s">
        <v>1741</v>
      </c>
      <c r="M10" s="785">
        <f ca="1">INDIRECT("'数据-取费表'!ai"&amp;$G$1)</f>
        <v>0</v>
      </c>
    </row>
    <row r="11" spans="1:25" ht="18" customHeight="1">
      <c r="A11" s="786"/>
      <c r="B11" s="3474"/>
      <c r="C11" s="1827"/>
      <c r="D11" s="1824"/>
      <c r="E11" s="61" t="s">
        <v>640</v>
      </c>
      <c r="F11" s="794">
        <f ca="1">INDIRECT("'数据-取费表'!w"&amp;$G$1)</f>
        <v>0</v>
      </c>
      <c r="G11" s="1593"/>
      <c r="H11" s="2529"/>
      <c r="I11" s="3473"/>
      <c r="J11" s="788"/>
      <c r="K11" s="789"/>
      <c r="L11" s="795" t="s">
        <v>1742</v>
      </c>
      <c r="M11" s="796">
        <f ca="1">INDIRECT("'数据-取费表'!ab"&amp;$G$1)</f>
        <v>0</v>
      </c>
    </row>
    <row r="12" spans="1:25" ht="18" customHeight="1">
      <c r="A12" s="1831" t="s">
        <v>1826</v>
      </c>
      <c r="B12" s="2518" t="s">
        <v>2459</v>
      </c>
      <c r="C12" s="799">
        <f ca="1">ROUND(IF(F12="押一",C8/12*F13,IF(F12="押二",C8/12*2*F13,IF(F12="押三",C8/12*3*F13,C13*F13))),0)</f>
        <v>0</v>
      </c>
      <c r="D12" s="2525" t="s">
        <v>2973</v>
      </c>
      <c r="E12" s="2522" t="s">
        <v>2464</v>
      </c>
      <c r="F12" s="2645"/>
      <c r="G12" s="1593"/>
      <c r="H12" s="2585" t="s">
        <v>1826</v>
      </c>
      <c r="I12" s="2590" t="s">
        <v>2459</v>
      </c>
      <c r="J12" s="783">
        <f ca="1">ROUND(IF(M12="押一",J8/12*M13,IF(M12="押二",J8/12*2*M13,IF(M12="押三",J8/12*3*M13,J13*M13))),0)</f>
        <v>0</v>
      </c>
      <c r="K12" s="2525" t="s">
        <v>2973</v>
      </c>
      <c r="L12" s="2522" t="s">
        <v>2464</v>
      </c>
      <c r="M12" s="2645"/>
    </row>
    <row r="13" spans="1:25" ht="18" customHeight="1">
      <c r="A13" s="790"/>
      <c r="B13" s="2519" t="s">
        <v>2573</v>
      </c>
      <c r="C13" s="2523"/>
      <c r="D13" s="789"/>
      <c r="E13" s="2522" t="s">
        <v>2456</v>
      </c>
      <c r="F13" s="796">
        <f ca="1">'数据-取费表'!B39</f>
        <v>1.4999999999999999E-2</v>
      </c>
      <c r="G13" s="1593"/>
      <c r="H13" s="2586"/>
      <c r="I13" s="2519" t="s">
        <v>2573</v>
      </c>
      <c r="J13" s="2523"/>
      <c r="K13" s="2587"/>
      <c r="L13" s="2522" t="s">
        <v>2456</v>
      </c>
      <c r="M13" s="2516">
        <f ca="1">'数据-取费表'!B39</f>
        <v>1.4999999999999999E-2</v>
      </c>
    </row>
    <row r="14" spans="1:25" ht="18" customHeight="1" thickBot="1">
      <c r="A14" s="2561" t="s">
        <v>2467</v>
      </c>
      <c r="B14" s="2562" t="s">
        <v>2460</v>
      </c>
      <c r="C14" s="2563"/>
      <c r="D14" s="2564"/>
      <c r="E14" s="2565"/>
      <c r="F14" s="2566"/>
      <c r="G14" s="1593"/>
      <c r="H14" s="2575" t="s">
        <v>2467</v>
      </c>
      <c r="I14" s="2588" t="s">
        <v>2460</v>
      </c>
      <c r="J14" s="2589"/>
      <c r="K14" s="2564"/>
      <c r="L14" s="2565"/>
      <c r="M14" s="2578"/>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79" t="s">
        <v>646</v>
      </c>
      <c r="E16" s="1980"/>
      <c r="F16" s="805"/>
      <c r="G16" s="1593"/>
      <c r="H16" s="803" t="s">
        <v>2069</v>
      </c>
      <c r="I16" s="2231" t="s">
        <v>2825</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8</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0.03</v>
      </c>
      <c r="G23" s="1594"/>
      <c r="H23" s="1834"/>
      <c r="I23" s="1825"/>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96" t="str">
        <f>IF(F25&lt;=1,"单利计息。","复利计息。")&amp;"建造成本、管理费用、销售费用产生的利息。"</f>
        <v>复利计息。建造成本、管理费用、销售费用产生的利息。</v>
      </c>
      <c r="E24" s="1982"/>
      <c r="F24" s="56"/>
      <c r="G24" s="1593"/>
      <c r="H24" s="1832" t="s">
        <v>2070</v>
      </c>
      <c r="I24" s="784" t="s">
        <v>676</v>
      </c>
      <c r="J24" s="53">
        <f ca="1">ROUND(J16*M24,0)</f>
        <v>0</v>
      </c>
      <c r="K24" s="1977" t="s">
        <v>677</v>
      </c>
      <c r="L24" s="784" t="s">
        <v>649</v>
      </c>
      <c r="M24" s="817">
        <f ca="1">INDIRECT("'数据-取费表'!Ak"&amp;$G$1)</f>
        <v>0</v>
      </c>
    </row>
    <row r="25" spans="1:25" s="2064" customFormat="1" ht="18" customHeight="1">
      <c r="A25" s="803" t="s">
        <v>1876</v>
      </c>
      <c r="B25" s="784" t="s">
        <v>2437</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1.4E-3</v>
      </c>
      <c r="D26" s="2595"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3"/>
      <c r="H27" s="797" t="s">
        <v>1829</v>
      </c>
      <c r="I27" s="3035" t="s">
        <v>2822</v>
      </c>
      <c r="J27" s="799">
        <f ca="1">J7-J18</f>
        <v>0</v>
      </c>
      <c r="K27" s="1979" t="s">
        <v>700</v>
      </c>
      <c r="L27" s="1981"/>
      <c r="M27" s="820"/>
    </row>
    <row r="28" spans="1:25" ht="18" customHeight="1">
      <c r="A28" s="803" t="s">
        <v>1876</v>
      </c>
      <c r="B28" s="784" t="s">
        <v>2438</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2823</v>
      </c>
      <c r="C31" s="2568">
        <f ca="1">ROUND((C21+C22+C25+C28)/(1-F23-C26-C29-C30),0)</f>
        <v>0</v>
      </c>
      <c r="D31" s="2569"/>
      <c r="E31" s="2570"/>
      <c r="F31" s="2571"/>
      <c r="G31" s="1594"/>
      <c r="H31" s="823" t="s">
        <v>1873</v>
      </c>
      <c r="I31" s="3036" t="s">
        <v>2824</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689</v>
      </c>
      <c r="C32" s="792">
        <f ca="1">ROUND(C33+C38+C39+C40,0)</f>
        <v>0</v>
      </c>
      <c r="D32" s="1822" t="s">
        <v>652</v>
      </c>
      <c r="E32" s="2511"/>
      <c r="F32" s="2515"/>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8</v>
      </c>
      <c r="G36" s="2062"/>
      <c r="H36" s="2065"/>
      <c r="I36" s="3470"/>
      <c r="J36" s="2079"/>
      <c r="K36" s="2080"/>
      <c r="L36" s="2079"/>
      <c r="M36" s="2079"/>
    </row>
    <row r="37" spans="1:18" ht="18" customHeight="1">
      <c r="A37" s="815"/>
      <c r="B37" s="793"/>
      <c r="C37" s="69"/>
      <c r="D37" s="816"/>
      <c r="E37" s="784" t="s">
        <v>674</v>
      </c>
      <c r="F37" s="785">
        <f ca="1">INDIRECT("'数据-取费表'!r"&amp;$G$1)</f>
        <v>0</v>
      </c>
      <c r="G37" s="2062"/>
      <c r="H37" s="2065"/>
      <c r="I37" s="3470"/>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1880</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30">
        <v>4</v>
      </c>
      <c r="B41" s="1828"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152" t="s">
        <v>2961</v>
      </c>
      <c r="F43" s="3153">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61">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54" t="s">
        <v>2964</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2342</v>
      </c>
      <c r="J47" s="2379"/>
      <c r="K47" s="2380"/>
      <c r="L47" s="2381" t="str">
        <f ca="1">IF(M48="住宅",0,IF(L49&gt;J52,L61,J61))</f>
        <v>0</v>
      </c>
      <c r="O47" s="2418" t="s">
        <v>2410</v>
      </c>
      <c r="P47" s="1593"/>
      <c r="Q47" s="1605"/>
      <c r="R47" s="1593"/>
    </row>
    <row r="48" spans="1:18" s="2059" customFormat="1" ht="18" customHeight="1" thickBot="1">
      <c r="A48" s="2084"/>
      <c r="C48" s="2087"/>
      <c r="D48" s="2088"/>
      <c r="E48" s="2088"/>
      <c r="F48" s="2089"/>
      <c r="G48" s="2090"/>
      <c r="I48" s="2382" t="s">
        <v>2343</v>
      </c>
      <c r="J48" s="2387"/>
      <c r="K48" s="2388" t="s">
        <v>2349</v>
      </c>
      <c r="L48" s="2389">
        <f ca="1">INDIRECT("'数据-取费表'!d"&amp;$G$1)</f>
        <v>0</v>
      </c>
      <c r="M48" s="3149" t="str">
        <f>IF(ISNUMBER(FIND("住宅",C1)),"住宅","非住宅")</f>
        <v>非住宅</v>
      </c>
      <c r="O48" s="2419" t="s">
        <v>2375</v>
      </c>
      <c r="P48" s="2420" t="s">
        <v>2376</v>
      </c>
      <c r="Q48" s="2421" t="s">
        <v>2377</v>
      </c>
      <c r="R48" s="2420" t="s">
        <v>2378</v>
      </c>
    </row>
    <row r="49" spans="1:18" s="2059" customFormat="1" ht="18" customHeight="1" thickBot="1">
      <c r="A49" s="2084"/>
      <c r="D49" s="2091"/>
      <c r="E49" s="2092"/>
      <c r="F49" s="2089"/>
      <c r="G49" s="2090"/>
      <c r="H49" s="2093"/>
      <c r="I49" s="2383" t="s">
        <v>2344</v>
      </c>
      <c r="J49" s="2390"/>
      <c r="K49" s="2391" t="s">
        <v>2351</v>
      </c>
      <c r="L49" s="2392">
        <f ca="1">INDIRECT("'数据-取费表'!f"&amp;$G$1)</f>
        <v>0</v>
      </c>
      <c r="O49" s="2422" t="s">
        <v>2379</v>
      </c>
      <c r="P49" s="2423" t="s">
        <v>2405</v>
      </c>
      <c r="Q49" s="2424">
        <f ca="1">C41+J31</f>
        <v>0</v>
      </c>
      <c r="R49" s="2423" t="s">
        <v>2380</v>
      </c>
    </row>
    <row r="50" spans="1:18" s="2059" customFormat="1" ht="18" customHeight="1" thickBot="1">
      <c r="A50" s="2084"/>
      <c r="D50" s="2094"/>
      <c r="E50" s="2094"/>
      <c r="F50" s="2088"/>
      <c r="G50" s="2095"/>
      <c r="H50" s="2093"/>
      <c r="I50" s="2383" t="s">
        <v>2345</v>
      </c>
      <c r="J50" s="2393"/>
      <c r="K50" s="2394" t="s">
        <v>2352</v>
      </c>
      <c r="L50" s="2395"/>
      <c r="O50" s="2422" t="s">
        <v>2381</v>
      </c>
      <c r="P50" s="2423" t="s">
        <v>2406</v>
      </c>
      <c r="Q50" s="2424" t="str">
        <f ca="1">J61</f>
        <v>0</v>
      </c>
      <c r="R50" s="2423" t="s">
        <v>2382</v>
      </c>
    </row>
    <row r="51" spans="1:18" s="2059" customFormat="1" ht="18" customHeight="1" thickBot="1">
      <c r="A51" s="2096"/>
      <c r="D51" s="2094"/>
      <c r="E51" s="2094"/>
      <c r="F51" s="2085"/>
      <c r="H51" s="2093"/>
      <c r="I51" s="2383" t="s">
        <v>2346</v>
      </c>
      <c r="J51" s="2396">
        <f>SUMPRODUCT((I64:I66=J48)*(J63:L63=J49)*(J64:L66))</f>
        <v>0</v>
      </c>
      <c r="K51" s="2394" t="s">
        <v>2353</v>
      </c>
      <c r="L51" s="2395"/>
      <c r="O51" s="2425" t="s">
        <v>2383</v>
      </c>
      <c r="P51" s="2423" t="s">
        <v>2407</v>
      </c>
      <c r="Q51" s="2424">
        <f ca="1">C31</f>
        <v>0</v>
      </c>
      <c r="R51" s="2423" t="s">
        <v>2380</v>
      </c>
    </row>
    <row r="52" spans="1:18" s="2059" customFormat="1" ht="18" customHeight="1" thickBot="1">
      <c r="A52" s="2096"/>
      <c r="F52" s="2085"/>
      <c r="I52" s="2384" t="s">
        <v>2347</v>
      </c>
      <c r="J52" s="2397">
        <f>IF(J50="",J51,J50+J51-YEAR('数据-取费表'!B3))</f>
        <v>0</v>
      </c>
      <c r="K52" s="2383" t="s">
        <v>2354</v>
      </c>
      <c r="L52" s="2398">
        <f ca="1">ROUND(-PV(INDIRECT("'数据-取费表'!h"&amp;$G$1),L49,(C40-C14*J36),0),0)</f>
        <v>0</v>
      </c>
      <c r="O52" s="2425" t="s">
        <v>2384</v>
      </c>
      <c r="P52" s="2423" t="s">
        <v>2385</v>
      </c>
      <c r="Q52" s="2426" t="e">
        <f ca="1">J59</f>
        <v>#VALUE!</v>
      </c>
      <c r="R52" s="2427"/>
    </row>
    <row r="53" spans="1:18" s="2059" customFormat="1" ht="18" customHeight="1" thickBot="1">
      <c r="A53" s="2096"/>
      <c r="F53" s="2085"/>
      <c r="I53" s="2385" t="s">
        <v>2421</v>
      </c>
      <c r="J53" s="2399"/>
      <c r="K53" s="2385" t="s">
        <v>2420</v>
      </c>
      <c r="L53" s="2399"/>
      <c r="O53" s="2425" t="s">
        <v>2386</v>
      </c>
      <c r="P53" s="2423" t="s">
        <v>2387</v>
      </c>
      <c r="Q53" s="2426">
        <f>J53</f>
        <v>0</v>
      </c>
      <c r="R53" s="2427"/>
    </row>
    <row r="54" spans="1:18" s="2059" customFormat="1" ht="43.5" thickBot="1">
      <c r="A54" s="2096"/>
      <c r="I54" s="2386" t="s">
        <v>2348</v>
      </c>
      <c r="J54" s="2400">
        <f ca="1">IF(M48="住宅",J52,IF(J52&gt;L49,L49-'数据-取费表'!B25,J52))</f>
        <v>0</v>
      </c>
      <c r="K54" s="3475"/>
      <c r="L54" s="3476"/>
      <c r="O54" s="2425" t="s">
        <v>2388</v>
      </c>
      <c r="P54" s="2423" t="s">
        <v>2389</v>
      </c>
      <c r="Q54" s="2424">
        <f ca="1">J54</f>
        <v>0</v>
      </c>
      <c r="R54" s="2423" t="s">
        <v>2390</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2391</v>
      </c>
      <c r="P55" s="2423" t="s">
        <v>2408</v>
      </c>
      <c r="Q55" s="2424">
        <f ca="1">Q49+Q50</f>
        <v>0</v>
      </c>
      <c r="R55" s="2427" t="s">
        <v>2392</v>
      </c>
    </row>
    <row r="56" spans="1:18" s="2059" customFormat="1" ht="16.5" thickBot="1">
      <c r="A56" s="2096"/>
      <c r="B56" s="2097"/>
      <c r="C56" s="2097"/>
      <c r="I56" s="3126" t="s">
        <v>2355</v>
      </c>
      <c r="J56" s="3150" t="e">
        <f ca="1">ROUND(IF(J48="钢混",J58/J51,1-(1-2%)*(J51-J58)/J51),3)</f>
        <v>#VALUE!</v>
      </c>
      <c r="K56" s="2401" t="s">
        <v>2356</v>
      </c>
      <c r="L56" s="2402"/>
      <c r="O56" s="2428" t="s">
        <v>2411</v>
      </c>
      <c r="P56" s="1593"/>
      <c r="Q56" s="1605"/>
      <c r="R56" s="1593"/>
    </row>
    <row r="57" spans="1:18" s="2059" customFormat="1" ht="43.5" thickBot="1">
      <c r="A57" s="2096"/>
      <c r="B57" s="2097"/>
      <c r="C57" s="2097"/>
      <c r="I57" s="2403" t="s">
        <v>2357</v>
      </c>
      <c r="J57" s="3149" t="s">
        <v>1679</v>
      </c>
      <c r="K57" s="2383" t="s">
        <v>2362</v>
      </c>
      <c r="L57" s="2392">
        <f ca="1">IF(L49&lt;J52,"——",L49-J52)</f>
        <v>0</v>
      </c>
      <c r="O57" s="2419" t="s">
        <v>2375</v>
      </c>
      <c r="P57" s="2420" t="s">
        <v>2376</v>
      </c>
      <c r="Q57" s="2421" t="s">
        <v>2377</v>
      </c>
      <c r="R57" s="2420" t="s">
        <v>2378</v>
      </c>
    </row>
    <row r="58" spans="1:18" s="2059" customFormat="1" ht="29.25" thickBot="1">
      <c r="A58" s="2096"/>
      <c r="B58" s="2097"/>
      <c r="C58" s="2097"/>
      <c r="I58" s="2404" t="s">
        <v>2358</v>
      </c>
      <c r="J58" s="2406" t="str">
        <f ca="1">IF(OR(M48="住宅",J52&lt;L49,J57="是"),"——",J52-L49)</f>
        <v>——</v>
      </c>
      <c r="K58" s="2383" t="s">
        <v>2363</v>
      </c>
      <c r="L58" s="2392">
        <f ca="1">IF(L49&lt;J52,"——",IF(L56="比较法",L50,IF(L56="基准地价",L51,L52)))</f>
        <v>0</v>
      </c>
      <c r="O58" s="2422" t="s">
        <v>2379</v>
      </c>
      <c r="P58" s="2423" t="s">
        <v>2405</v>
      </c>
      <c r="Q58" s="2424">
        <f ca="1">C41+J31</f>
        <v>0</v>
      </c>
      <c r="R58" s="2423" t="s">
        <v>2380</v>
      </c>
    </row>
    <row r="59" spans="1:18" s="2059" customFormat="1" ht="29.25" thickBot="1">
      <c r="A59" s="2096"/>
      <c r="B59" s="2097"/>
      <c r="C59" s="2097"/>
      <c r="I59" s="2404" t="s">
        <v>2359</v>
      </c>
      <c r="J59" s="3151" t="e">
        <f ca="1">IF(J56&lt;0.4,0.4,J56)</f>
        <v>#VALUE!</v>
      </c>
      <c r="K59" s="2383" t="s">
        <v>2364</v>
      </c>
      <c r="L59" s="2392">
        <f ca="1">IF(ISERROR(POWER(1+L53,L48-L49)*(POWER(1+L53,L49)-1)/(POWER(1+L53,L48)-1)),0,POWER(1+L53,L48-L49)*(POWER(1+L53,L49)-1)/(POWER(1+L53,L48)-1))</f>
        <v>0</v>
      </c>
      <c r="O59" s="2422" t="s">
        <v>2381</v>
      </c>
      <c r="P59" s="2423" t="s">
        <v>2412</v>
      </c>
      <c r="Q59" s="2424" t="e">
        <f ca="1">L61</f>
        <v>#DIV/0!</v>
      </c>
      <c r="R59" s="2427" t="s">
        <v>2414</v>
      </c>
    </row>
    <row r="60" spans="1:18" s="2059" customFormat="1" ht="29.25" thickBot="1">
      <c r="A60" s="2096"/>
      <c r="B60" s="2097"/>
      <c r="C60" s="2097"/>
      <c r="I60" s="2404" t="s">
        <v>2360</v>
      </c>
      <c r="J60" s="2406" t="str">
        <f ca="1">IF(OR(M48="住宅",J52&lt;L49,J57="是"),"——",ROUND(C30*J59,0))</f>
        <v>——</v>
      </c>
      <c r="K60" s="2383" t="s">
        <v>2365</v>
      </c>
      <c r="L60" s="2392">
        <f ca="1">IF(ISERROR(POWER(1+L53,L48-J52)*(POWER(1+L53,J52)-1)/(POWER(1+L53,L48)-1)),0,POWER(1+L53,L48-J52)*(POWER(1+L53,J52)-1)/(POWER(1+L53,L48)-1))</f>
        <v>0</v>
      </c>
      <c r="O60" s="2425" t="s">
        <v>2383</v>
      </c>
      <c r="P60" s="2423" t="s">
        <v>2413</v>
      </c>
      <c r="Q60" s="2424">
        <f>IF(L56="比较法",L50,IF(L56="基准地价",L51,0))</f>
        <v>0</v>
      </c>
      <c r="R60" s="2423" t="s">
        <v>2380</v>
      </c>
    </row>
    <row r="61" spans="1:18" s="2059" customFormat="1" ht="15.75" thickBot="1">
      <c r="A61" s="2096"/>
      <c r="B61" s="2097"/>
      <c r="C61" s="2097"/>
      <c r="I61" s="2405" t="s">
        <v>2361</v>
      </c>
      <c r="J61" s="2407" t="str">
        <f ca="1">IF(OR(M48="住宅",J52&lt;L49,J57="是"),"0",ROUND(J60/(1+J53)^J54,0))</f>
        <v>0</v>
      </c>
      <c r="K61" s="2408" t="s">
        <v>2366</v>
      </c>
      <c r="L61" s="2407" t="e">
        <f ca="1">IF(OR(M48="住宅",L49&lt;J52),0,ROUND(L58*(L59/L60-1),0))</f>
        <v>#DIV/0!</v>
      </c>
      <c r="O61" s="2425" t="s">
        <v>2384</v>
      </c>
      <c r="P61" s="2423" t="s">
        <v>2393</v>
      </c>
      <c r="Q61" s="2426">
        <f>L53</f>
        <v>0</v>
      </c>
      <c r="R61" s="2427"/>
    </row>
    <row r="62" spans="1:18" s="2059" customFormat="1" ht="20.25" thickBot="1">
      <c r="A62" s="2096"/>
      <c r="B62" s="2097"/>
      <c r="C62" s="2097"/>
      <c r="K62" s="2086"/>
      <c r="O62" s="2425" t="s">
        <v>2386</v>
      </c>
      <c r="P62" s="2423" t="s">
        <v>2394</v>
      </c>
      <c r="Q62" s="2424">
        <f ca="1">L59</f>
        <v>0</v>
      </c>
      <c r="R62" s="2427" t="s">
        <v>2395</v>
      </c>
    </row>
    <row r="63" spans="1:18" s="2059" customFormat="1" ht="20.25" thickBot="1">
      <c r="A63" s="2096"/>
      <c r="B63" s="2097"/>
      <c r="C63" s="2097"/>
      <c r="I63" s="2409" t="s">
        <v>2367</v>
      </c>
      <c r="J63" s="2410" t="s">
        <v>2368</v>
      </c>
      <c r="K63" s="2410" t="s">
        <v>2369</v>
      </c>
      <c r="L63" s="2410" t="s">
        <v>2350</v>
      </c>
      <c r="M63" s="3128" t="s">
        <v>2941</v>
      </c>
      <c r="O63" s="2425" t="s">
        <v>2388</v>
      </c>
      <c r="P63" s="2423" t="s">
        <v>2396</v>
      </c>
      <c r="Q63" s="2424">
        <f ca="1">L60</f>
        <v>0</v>
      </c>
      <c r="R63" s="2427" t="s">
        <v>2397</v>
      </c>
    </row>
    <row r="64" spans="1:18" s="2059" customFormat="1" ht="15.75" thickBot="1">
      <c r="A64" s="2096"/>
      <c r="B64" s="2097"/>
      <c r="C64" s="2097"/>
      <c r="I64" s="2409" t="s">
        <v>2370</v>
      </c>
      <c r="J64" s="2410">
        <v>70</v>
      </c>
      <c r="K64" s="2410">
        <v>50</v>
      </c>
      <c r="L64" s="2410">
        <v>80</v>
      </c>
      <c r="M64" s="3129">
        <v>0.02</v>
      </c>
      <c r="O64" s="2422" t="s">
        <v>2391</v>
      </c>
      <c r="P64" s="2423" t="s">
        <v>2408</v>
      </c>
      <c r="Q64" s="2424" t="e">
        <f ca="1">Q58+Q59</f>
        <v>#DIV/0!</v>
      </c>
      <c r="R64" s="2427" t="s">
        <v>2392</v>
      </c>
    </row>
    <row r="65" spans="1:18" s="2059" customFormat="1" ht="16.5" thickBot="1">
      <c r="A65" s="2096"/>
      <c r="B65" s="2097"/>
      <c r="C65" s="2097"/>
      <c r="I65" s="2409" t="s">
        <v>2371</v>
      </c>
      <c r="J65" s="2410">
        <v>50</v>
      </c>
      <c r="K65" s="2410">
        <v>35</v>
      </c>
      <c r="L65" s="2410">
        <v>60</v>
      </c>
      <c r="M65" s="3130">
        <v>0</v>
      </c>
      <c r="O65" s="2428" t="s">
        <v>2415</v>
      </c>
      <c r="P65" s="1593"/>
      <c r="Q65" s="1605"/>
      <c r="R65" s="1593"/>
    </row>
    <row r="66" spans="1:18" s="2059" customFormat="1" ht="15.75" thickBot="1">
      <c r="A66" s="2096"/>
      <c r="B66" s="2097"/>
      <c r="C66" s="2097"/>
      <c r="I66" s="2409" t="s">
        <v>2372</v>
      </c>
      <c r="J66" s="2410">
        <v>40</v>
      </c>
      <c r="K66" s="2410">
        <v>30</v>
      </c>
      <c r="L66" s="2410">
        <v>50</v>
      </c>
      <c r="M66" s="3129">
        <v>0.02</v>
      </c>
      <c r="O66" s="2419" t="s">
        <v>2375</v>
      </c>
      <c r="P66" s="2420" t="s">
        <v>2376</v>
      </c>
      <c r="Q66" s="2421" t="s">
        <v>2377</v>
      </c>
      <c r="R66" s="2420" t="s">
        <v>2378</v>
      </c>
    </row>
    <row r="67" spans="1:18" s="2059" customFormat="1" ht="15.75" thickBot="1">
      <c r="A67" s="2096"/>
      <c r="B67" s="2097"/>
      <c r="C67" s="2097"/>
      <c r="K67" s="2086"/>
      <c r="O67" s="2422" t="s">
        <v>2379</v>
      </c>
      <c r="P67" s="2423" t="s">
        <v>2405</v>
      </c>
      <c r="Q67" s="2424">
        <f ca="1">C41+J31</f>
        <v>0</v>
      </c>
      <c r="R67" s="2423" t="s">
        <v>2380</v>
      </c>
    </row>
    <row r="68" spans="1:18" s="2059" customFormat="1" ht="20.25" thickBot="1">
      <c r="A68" s="2096"/>
      <c r="B68" s="2097"/>
      <c r="C68" s="2097"/>
      <c r="K68" s="2086"/>
      <c r="O68" s="2422" t="s">
        <v>2381</v>
      </c>
      <c r="P68" s="2423" t="s">
        <v>2412</v>
      </c>
      <c r="Q68" s="2424" t="e">
        <f ca="1">L61</f>
        <v>#DIV/0!</v>
      </c>
      <c r="R68" s="2427" t="s">
        <v>2414</v>
      </c>
    </row>
    <row r="69" spans="1:18" s="2059" customFormat="1" ht="21.75" thickBot="1">
      <c r="A69" s="2096"/>
      <c r="B69" s="2097"/>
      <c r="C69" s="2097"/>
      <c r="K69" s="2086"/>
      <c r="O69" s="2425" t="s">
        <v>2383</v>
      </c>
      <c r="P69" s="2423" t="s">
        <v>2413</v>
      </c>
      <c r="Q69" s="2429">
        <f ca="1">L52</f>
        <v>0</v>
      </c>
      <c r="R69" s="2430" t="s">
        <v>2416</v>
      </c>
    </row>
    <row r="70" spans="1:18" s="2059" customFormat="1" ht="20.25" thickBot="1">
      <c r="A70" s="2096"/>
      <c r="B70" s="2097"/>
      <c r="C70" s="2097"/>
      <c r="K70" s="2086"/>
      <c r="O70" s="2425" t="s">
        <v>2384</v>
      </c>
      <c r="P70" s="2431" t="s">
        <v>2398</v>
      </c>
      <c r="Q70" s="2424">
        <f ca="1">ROUND(Q71-Q72*Q73,0)</f>
        <v>0</v>
      </c>
      <c r="R70" s="2427"/>
    </row>
    <row r="71" spans="1:18" s="2059" customFormat="1" ht="15.75" thickBot="1">
      <c r="A71" s="2096"/>
      <c r="B71" s="2097"/>
      <c r="C71" s="2097"/>
      <c r="K71" s="2086"/>
      <c r="O71" s="2425" t="s">
        <v>2399</v>
      </c>
      <c r="P71" s="2431" t="s">
        <v>2400</v>
      </c>
      <c r="Q71" s="2424">
        <f ca="1">C42</f>
        <v>0</v>
      </c>
      <c r="R71" s="2423" t="s">
        <v>2380</v>
      </c>
    </row>
    <row r="72" spans="1:18" s="2059" customFormat="1" ht="15.75" thickBot="1">
      <c r="A72" s="2096"/>
      <c r="B72" s="2097"/>
      <c r="C72" s="2097"/>
      <c r="K72" s="2086"/>
      <c r="O72" s="2425" t="s">
        <v>2401</v>
      </c>
      <c r="P72" s="2431" t="s">
        <v>2402</v>
      </c>
      <c r="Q72" s="2424">
        <f ca="1">C15</f>
        <v>0</v>
      </c>
      <c r="R72" s="2423" t="s">
        <v>2380</v>
      </c>
    </row>
    <row r="73" spans="1:18" s="2059" customFormat="1" ht="15.75" thickBot="1">
      <c r="A73" s="2096"/>
      <c r="B73" s="2097"/>
      <c r="C73" s="2097"/>
      <c r="K73" s="2086"/>
      <c r="O73" s="2425" t="s">
        <v>2403</v>
      </c>
      <c r="P73" s="2431" t="s">
        <v>2404</v>
      </c>
      <c r="Q73" s="2426">
        <f ca="1">F43</f>
        <v>0</v>
      </c>
      <c r="R73" s="2427"/>
    </row>
    <row r="74" spans="1:18" s="2059" customFormat="1" ht="15.75" thickBot="1">
      <c r="A74" s="2096"/>
      <c r="B74" s="2097"/>
      <c r="C74" s="2097"/>
      <c r="K74" s="2086"/>
      <c r="O74" s="2425" t="s">
        <v>2386</v>
      </c>
      <c r="P74" s="2423" t="s">
        <v>2393</v>
      </c>
      <c r="Q74" s="2426">
        <f>L53</f>
        <v>0</v>
      </c>
      <c r="R74" s="2427"/>
    </row>
    <row r="75" spans="1:18" s="2059" customFormat="1" ht="20.25" thickBot="1">
      <c r="A75" s="2096"/>
      <c r="B75" s="2097"/>
      <c r="C75" s="2097"/>
      <c r="K75" s="2086"/>
      <c r="O75" s="2425" t="s">
        <v>2388</v>
      </c>
      <c r="P75" s="2423" t="s">
        <v>2394</v>
      </c>
      <c r="Q75" s="2424">
        <f ca="1">L59</f>
        <v>0</v>
      </c>
      <c r="R75" s="2427" t="s">
        <v>2395</v>
      </c>
    </row>
    <row r="76" spans="1:18" s="2059" customFormat="1" ht="20.25" thickBot="1">
      <c r="A76" s="2096"/>
      <c r="B76" s="2097"/>
      <c r="C76" s="2097"/>
      <c r="K76" s="2086"/>
      <c r="O76" s="2425" t="s">
        <v>2417</v>
      </c>
      <c r="P76" s="2423" t="s">
        <v>2396</v>
      </c>
      <c r="Q76" s="2424">
        <f ca="1">L60</f>
        <v>0</v>
      </c>
      <c r="R76" s="2427" t="s">
        <v>2397</v>
      </c>
    </row>
    <row r="77" spans="1:18" s="2059" customFormat="1" ht="15.75" thickBot="1">
      <c r="A77" s="2096"/>
      <c r="B77" s="2097"/>
      <c r="C77" s="2097"/>
      <c r="K77" s="2086"/>
      <c r="O77" s="2422" t="s">
        <v>2391</v>
      </c>
      <c r="P77" s="2423" t="s">
        <v>2408</v>
      </c>
      <c r="Q77" s="2424" t="e">
        <f ca="1">Q67+Q68</f>
        <v>#DIV/0!</v>
      </c>
      <c r="R77" s="2427"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9" priority="6">
      <formula>$F$12="自定义"</formula>
    </cfRule>
  </conditionalFormatting>
  <conditionalFormatting sqref="J13">
    <cfRule type="expression" dxfId="98" priority="5">
      <formula>$M$10="自定义"</formula>
    </cfRule>
  </conditionalFormatting>
  <conditionalFormatting sqref="K56">
    <cfRule type="expression" dxfId="97" priority="3">
      <formula>$L$48&gt;$J$51</formula>
    </cfRule>
  </conditionalFormatting>
  <conditionalFormatting sqref="I56">
    <cfRule type="expression" dxfId="96" priority="4">
      <formula>$J$51&gt;$L$48</formula>
    </cfRule>
  </conditionalFormatting>
  <conditionalFormatting sqref="I61">
    <cfRule type="expression" dxfId="95" priority="2">
      <formula>$J$51&gt;$L$48</formula>
    </cfRule>
  </conditionalFormatting>
  <conditionalFormatting sqref="K61">
    <cfRule type="expression" dxfId="9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I6" sqref="I6:L6"/>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83" t="s">
        <v>2576</v>
      </c>
      <c r="C1" s="3483"/>
      <c r="D1" s="3483"/>
      <c r="E1" s="3483"/>
      <c r="F1" s="3483"/>
      <c r="G1" s="3482" t="s">
        <v>2577</v>
      </c>
      <c r="H1" s="3482"/>
      <c r="I1" s="3482"/>
      <c r="J1" s="3482"/>
      <c r="K1" s="3482"/>
      <c r="L1" s="3482"/>
      <c r="N1" s="3482" t="s">
        <v>2578</v>
      </c>
      <c r="O1" s="3482"/>
      <c r="P1" s="3482"/>
      <c r="Q1" s="3482"/>
      <c r="R1" s="2678"/>
      <c r="S1" s="3482" t="s">
        <v>2579</v>
      </c>
      <c r="T1" s="3482"/>
      <c r="U1" s="3482"/>
      <c r="V1" s="3482"/>
      <c r="X1" s="3481" t="s">
        <v>2639</v>
      </c>
      <c r="Y1" s="3482"/>
      <c r="Z1" s="3482"/>
      <c r="AA1" s="3482"/>
      <c r="AB1" s="3482"/>
      <c r="AD1" s="3481" t="s">
        <v>2643</v>
      </c>
      <c r="AE1" s="3482"/>
      <c r="AF1" s="3482"/>
      <c r="AG1" s="3482"/>
      <c r="AH1" s="3482"/>
    </row>
    <row r="2" spans="1:34" s="2780" customFormat="1" ht="14.25" thickBot="1">
      <c r="B2" s="2788" t="s">
        <v>2580</v>
      </c>
      <c r="C2" s="2788" t="s">
        <v>2641</v>
      </c>
      <c r="D2" s="2781" t="s">
        <v>1645</v>
      </c>
      <c r="E2" s="2781" t="s">
        <v>1952</v>
      </c>
      <c r="F2" s="2788" t="s">
        <v>2642</v>
      </c>
      <c r="G2" s="2784"/>
      <c r="H2" s="2783"/>
      <c r="I2" s="2788" t="s">
        <v>2955</v>
      </c>
      <c r="J2" s="2781" t="s">
        <v>2957</v>
      </c>
      <c r="K2" s="2781" t="s">
        <v>2958</v>
      </c>
      <c r="L2" s="2788" t="s">
        <v>2959</v>
      </c>
      <c r="N2" s="2788" t="s">
        <v>2580</v>
      </c>
      <c r="O2" s="2781" t="s">
        <v>2956</v>
      </c>
      <c r="P2" s="2781" t="s">
        <v>1952</v>
      </c>
      <c r="Q2" s="2788" t="s">
        <v>2642</v>
      </c>
      <c r="R2" s="2782"/>
      <c r="S2" s="2788" t="s">
        <v>2580</v>
      </c>
      <c r="T2" s="2781" t="s">
        <v>2956</v>
      </c>
      <c r="U2" s="2781" t="s">
        <v>1952</v>
      </c>
      <c r="V2" s="2788" t="s">
        <v>2642</v>
      </c>
      <c r="X2" s="2788" t="s">
        <v>2580</v>
      </c>
      <c r="Y2" s="2788" t="s">
        <v>2641</v>
      </c>
      <c r="Z2" s="2781" t="s">
        <v>1645</v>
      </c>
      <c r="AA2" s="2781" t="s">
        <v>1952</v>
      </c>
      <c r="AB2" s="2788" t="s">
        <v>2642</v>
      </c>
      <c r="AD2" s="2788" t="s">
        <v>2580</v>
      </c>
      <c r="AE2" s="2788" t="s">
        <v>2641</v>
      </c>
      <c r="AF2" s="2781" t="s">
        <v>1645</v>
      </c>
      <c r="AG2" s="2781" t="s">
        <v>1952</v>
      </c>
      <c r="AH2" s="2788" t="s">
        <v>2642</v>
      </c>
    </row>
    <row r="3" spans="1:34" s="3164" customFormat="1" ht="14.25">
      <c r="A3" s="3176" t="s">
        <v>2968</v>
      </c>
      <c r="B3" s="3165"/>
      <c r="C3" s="3165"/>
      <c r="D3" s="3166"/>
      <c r="E3" s="3166"/>
      <c r="F3" s="3165"/>
      <c r="G3" s="3167"/>
      <c r="H3" s="3168"/>
      <c r="I3" s="3175">
        <f>ROUND(AVERAGE($I7:$I22),2)</f>
        <v>2.4500000000000002</v>
      </c>
      <c r="J3" s="3175">
        <f>ROUND(AVERAGE($J7:$J22),2)</f>
        <v>1.65</v>
      </c>
      <c r="K3" s="3175">
        <f>ROUND(AVERAGE($K7:$K22),2)</f>
        <v>2.71</v>
      </c>
      <c r="L3" s="3175">
        <f>ROUND(AVERAGE($L7:$L22),2)</f>
        <v>1.39</v>
      </c>
      <c r="N3" s="3167"/>
      <c r="O3" s="3169"/>
      <c r="P3" s="3169"/>
      <c r="Q3" s="3169"/>
      <c r="R3" s="3169"/>
      <c r="S3" s="3167"/>
      <c r="T3" s="3169"/>
      <c r="U3" s="3169"/>
      <c r="V3" s="3169"/>
      <c r="W3" s="3172"/>
      <c r="X3" s="3170">
        <f>ROUND(SUMPRODUCT(PRODUCT(1+N3:N$21)),4)</f>
        <v>1.4517</v>
      </c>
      <c r="Y3" s="3170">
        <f>ROUND(SUMPRODUCT(PRODUCT(1+O3:O$21)),4)</f>
        <v>1.2928999999999999</v>
      </c>
      <c r="Z3" s="3170">
        <f t="shared" ref="Z3:Z19" si="0">Y3</f>
        <v>1.2928999999999999</v>
      </c>
      <c r="AA3" s="3170">
        <f>ROUND(SUMPRODUCT(PRODUCT(1+P3:P$21)),4)</f>
        <v>1.5068999999999999</v>
      </c>
      <c r="AB3" s="3170">
        <f>ROUND(SUMPRODUCT(PRODUCT(1+Q3:Q$21)),4)</f>
        <v>1.2557</v>
      </c>
      <c r="AD3" s="3171">
        <f>ROUND(AVERAGE(I3:I$22)/100,4)</f>
        <v>2.2800000000000001E-2</v>
      </c>
      <c r="AE3" s="3171">
        <f>ROUND(AVERAGE(J3:J$22)/100,4)</f>
        <v>1.5699999999999999E-2</v>
      </c>
      <c r="AF3" s="3171">
        <f t="shared" ref="AF3:AF20" si="1">AE3</f>
        <v>1.5699999999999999E-2</v>
      </c>
      <c r="AG3" s="3171">
        <f>ROUND(AVERAGE(K3:K$22)/100,4)</f>
        <v>2.5100000000000001E-2</v>
      </c>
      <c r="AH3" s="3171">
        <f>ROUND(AVERAGE(L3:L$22)/100,4)</f>
        <v>1.35E-2</v>
      </c>
    </row>
    <row r="4" spans="1:34" s="2773" customFormat="1" ht="14.25">
      <c r="B4" s="2774"/>
      <c r="C4" s="2774"/>
      <c r="D4" s="2775"/>
      <c r="E4" s="2775"/>
      <c r="F4" s="2774"/>
      <c r="G4" s="2779"/>
      <c r="H4" s="2776"/>
      <c r="I4" s="3157"/>
      <c r="J4" s="3157"/>
      <c r="K4" s="3157"/>
      <c r="L4" s="3157"/>
      <c r="N4" s="2779"/>
      <c r="O4" s="2777"/>
      <c r="P4" s="2777"/>
      <c r="Q4" s="2777"/>
      <c r="R4" s="2777"/>
      <c r="S4" s="2779"/>
      <c r="T4" s="2777"/>
      <c r="U4" s="2777"/>
      <c r="V4" s="2777"/>
      <c r="W4" s="3173"/>
      <c r="X4" s="2778"/>
      <c r="Y4" s="2778"/>
      <c r="Z4" s="2778"/>
      <c r="AA4" s="2778"/>
      <c r="AB4" s="2778"/>
      <c r="AD4" s="2698"/>
      <c r="AE4" s="2698"/>
      <c r="AF4" s="2698"/>
      <c r="AG4" s="2698"/>
      <c r="AH4" s="2698"/>
    </row>
    <row r="5" spans="1:34" s="3143" customFormat="1">
      <c r="A5" s="3141" t="s">
        <v>2975</v>
      </c>
      <c r="B5" s="2819">
        <f>B6*(1+N5)</f>
        <v>446.46299999999997</v>
      </c>
      <c r="C5" s="2819">
        <f>C6*(1+O5)</f>
        <v>333.27840000000003</v>
      </c>
      <c r="D5" s="2819">
        <f>C5</f>
        <v>333.27840000000003</v>
      </c>
      <c r="E5" s="2819">
        <f>E6*(1+P5)</f>
        <v>637.28279999999995</v>
      </c>
      <c r="F5" s="2819">
        <f>F6*(1+Q5)</f>
        <v>288.68830000000003</v>
      </c>
      <c r="G5" s="2779">
        <v>2018</v>
      </c>
      <c r="H5" s="3142">
        <v>2</v>
      </c>
      <c r="I5" s="3158">
        <v>0</v>
      </c>
      <c r="J5" s="3158">
        <v>0</v>
      </c>
      <c r="K5" s="3158">
        <v>0</v>
      </c>
      <c r="L5" s="3158">
        <v>0</v>
      </c>
      <c r="N5" s="2786">
        <f>I5/100</f>
        <v>0</v>
      </c>
      <c r="O5" s="2786">
        <f>J5/100</f>
        <v>0</v>
      </c>
      <c r="P5" s="2786">
        <f>K5/100</f>
        <v>0</v>
      </c>
      <c r="Q5" s="2786">
        <f>L5/100</f>
        <v>0</v>
      </c>
      <c r="R5" s="3144"/>
      <c r="S5" s="3145"/>
      <c r="T5" s="3144"/>
      <c r="U5" s="3144"/>
      <c r="V5" s="3144"/>
      <c r="W5" s="3174" t="s">
        <v>2969</v>
      </c>
      <c r="X5" s="3146">
        <f>ROUND(SUMPRODUCT(PRODUCT(1+N5:N$21)),4)</f>
        <v>1.4517</v>
      </c>
      <c r="Y5" s="3146">
        <f>ROUND(SUMPRODUCT(PRODUCT(1+O5:O$21)),4)</f>
        <v>1.2928999999999999</v>
      </c>
      <c r="Z5" s="3146">
        <f>Y5</f>
        <v>1.2928999999999999</v>
      </c>
      <c r="AA5" s="3146">
        <f>ROUND(SUMPRODUCT(PRODUCT(1+P5:P$21)),4)</f>
        <v>1.5068999999999999</v>
      </c>
      <c r="AB5" s="3146">
        <f>ROUND(SUMPRODUCT(PRODUCT(1+Q5:Q$21)),4)</f>
        <v>1.2557</v>
      </c>
      <c r="AD5" s="3147">
        <f>ROUND(AVERAGE(I5:I$22)/100,4)</f>
        <v>2.2700000000000001E-2</v>
      </c>
      <c r="AE5" s="3147">
        <f>ROUND(AVERAGE(J5:J$22)/100,4)</f>
        <v>1.5699999999999999E-2</v>
      </c>
      <c r="AF5" s="3147">
        <f>AE5</f>
        <v>1.5699999999999999E-2</v>
      </c>
      <c r="AG5" s="3147">
        <f>ROUND(AVERAGE(K5:K$22)/100,4)</f>
        <v>2.5000000000000001E-2</v>
      </c>
      <c r="AH5" s="3147">
        <f>ROUND(AVERAGE(L5:L$22)/100,4)</f>
        <v>1.35E-2</v>
      </c>
    </row>
    <row r="6" spans="1:34" s="2785" customFormat="1" ht="13.5" thickBot="1">
      <c r="A6" s="2679" t="s">
        <v>2976</v>
      </c>
      <c r="B6" s="2693">
        <f>B7*(1+N6)</f>
        <v>446.46299999999997</v>
      </c>
      <c r="C6" s="2693">
        <f>C7*(1+O6)</f>
        <v>333.27840000000003</v>
      </c>
      <c r="D6" s="2693">
        <f t="shared" ref="D6:D11" si="2">C6</f>
        <v>333.27840000000003</v>
      </c>
      <c r="E6" s="2693">
        <f>E7*(1+P6)</f>
        <v>637.28279999999995</v>
      </c>
      <c r="F6" s="2693">
        <f>F7*(1+Q6)</f>
        <v>288.68830000000003</v>
      </c>
      <c r="G6" s="3163">
        <v>2018</v>
      </c>
      <c r="H6" s="2683">
        <v>1</v>
      </c>
      <c r="I6" s="2683">
        <v>1.7</v>
      </c>
      <c r="J6" s="2683">
        <v>1.92</v>
      </c>
      <c r="K6" s="2683">
        <v>1.64</v>
      </c>
      <c r="L6" s="2694">
        <v>2.0099999999999998</v>
      </c>
      <c r="M6" s="2687"/>
      <c r="N6" s="2688">
        <f t="shared" ref="N6:N11" si="3">I6/100</f>
        <v>1.7000000000000001E-2</v>
      </c>
      <c r="O6" s="2689">
        <f t="shared" ref="O6:Q10" si="4">J6/100</f>
        <v>1.9199999999999998E-2</v>
      </c>
      <c r="P6" s="2689">
        <f t="shared" si="4"/>
        <v>1.6399999999999998E-2</v>
      </c>
      <c r="Q6" s="2689">
        <f t="shared" si="4"/>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Y6</f>
        <v>1.2928999999999999</v>
      </c>
      <c r="AA6" s="2778">
        <f>ROUND(SUMPRODUCT(PRODUCT(1+P6:P$21)),4)</f>
        <v>1.5068999999999999</v>
      </c>
      <c r="AB6" s="2778">
        <f>ROUND(SUMPRODUCT(PRODUCT(1+Q6:Q$21)),4)</f>
        <v>1.2557</v>
      </c>
      <c r="AC6" s="2687"/>
      <c r="AD6" s="2698">
        <f>ROUND(AVERAGE(I6:I$22)/100,4)</f>
        <v>2.4E-2</v>
      </c>
      <c r="AE6" s="2698">
        <f>ROUND(AVERAGE(J6:J$22)/100,4)</f>
        <v>1.66E-2</v>
      </c>
      <c r="AF6" s="2698">
        <f>AE6</f>
        <v>1.66E-2</v>
      </c>
      <c r="AG6" s="2698">
        <f>ROUND(AVERAGE(K6:K$22)/100,4)</f>
        <v>2.6499999999999999E-2</v>
      </c>
      <c r="AH6" s="2698">
        <f>ROUND(AVERAGE(L6:L$22)/100,4)</f>
        <v>1.43E-2</v>
      </c>
    </row>
    <row r="7" spans="1:34">
      <c r="A7" s="2679" t="s">
        <v>2966</v>
      </c>
      <c r="B7" s="3178">
        <v>439</v>
      </c>
      <c r="C7" s="3178">
        <v>327</v>
      </c>
      <c r="D7" s="3178">
        <f t="shared" si="2"/>
        <v>327</v>
      </c>
      <c r="E7" s="3178">
        <v>627</v>
      </c>
      <c r="F7" s="3179">
        <v>283</v>
      </c>
      <c r="G7" s="3161">
        <v>2017</v>
      </c>
      <c r="H7" s="2680">
        <v>4</v>
      </c>
      <c r="I7" s="2680">
        <v>1.71</v>
      </c>
      <c r="J7" s="2680">
        <v>1.78</v>
      </c>
      <c r="K7" s="2680">
        <v>1.71</v>
      </c>
      <c r="L7" s="2681">
        <v>1.43</v>
      </c>
      <c r="N7" s="2688">
        <f t="shared" si="3"/>
        <v>1.7100000000000001E-2</v>
      </c>
      <c r="O7" s="2689">
        <f t="shared" si="4"/>
        <v>1.78E-2</v>
      </c>
      <c r="P7" s="2689">
        <f t="shared" si="4"/>
        <v>1.7100000000000001E-2</v>
      </c>
      <c r="Q7" s="2689">
        <f t="shared" si="4"/>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2970</v>
      </c>
      <c r="B8" s="2693">
        <f t="shared" ref="B8:C10" si="5">B9*(1+N8)</f>
        <v>431.80730811680002</v>
      </c>
      <c r="C8" s="2693">
        <f t="shared" si="5"/>
        <v>320.57880516480003</v>
      </c>
      <c r="D8" s="2693">
        <f t="shared" si="2"/>
        <v>320.57880516480003</v>
      </c>
      <c r="E8" s="2693">
        <f t="shared" ref="E8:F10" si="6">E9*(1+P8)</f>
        <v>615.96110553196797</v>
      </c>
      <c r="F8" s="2693">
        <f t="shared" si="6"/>
        <v>279.46777300108801</v>
      </c>
      <c r="G8" s="3163"/>
      <c r="H8" s="2683">
        <v>3</v>
      </c>
      <c r="I8" s="2683">
        <v>2.98</v>
      </c>
      <c r="J8" s="2683">
        <v>2.11</v>
      </c>
      <c r="K8" s="2683">
        <v>3.24</v>
      </c>
      <c r="L8" s="2694">
        <v>1.72</v>
      </c>
      <c r="M8" s="2687"/>
      <c r="N8" s="2688">
        <f t="shared" si="3"/>
        <v>2.98E-2</v>
      </c>
      <c r="O8" s="2689">
        <f t="shared" si="4"/>
        <v>2.1099999999999997E-2</v>
      </c>
      <c r="P8" s="2689">
        <f t="shared" si="4"/>
        <v>3.2400000000000005E-2</v>
      </c>
      <c r="Q8" s="2689">
        <f t="shared" si="4"/>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2581</v>
      </c>
      <c r="B9" s="2693">
        <f t="shared" si="5"/>
        <v>419.31181600000002</v>
      </c>
      <c r="C9" s="2693">
        <f t="shared" si="5"/>
        <v>313.95436800000004</v>
      </c>
      <c r="D9" s="2693">
        <f t="shared" si="2"/>
        <v>313.95436800000004</v>
      </c>
      <c r="E9" s="2693">
        <f t="shared" si="6"/>
        <v>596.63028431999999</v>
      </c>
      <c r="F9" s="2693">
        <f t="shared" si="6"/>
        <v>274.74220703999998</v>
      </c>
      <c r="G9" s="3162"/>
      <c r="H9" s="2684">
        <v>2</v>
      </c>
      <c r="I9" s="2684">
        <v>3.4</v>
      </c>
      <c r="J9" s="2684">
        <v>2</v>
      </c>
      <c r="K9" s="2684">
        <v>3.82</v>
      </c>
      <c r="L9" s="2695">
        <v>1.68</v>
      </c>
      <c r="N9" s="2688">
        <f t="shared" si="3"/>
        <v>3.4000000000000002E-2</v>
      </c>
      <c r="O9" s="2689">
        <f t="shared" si="4"/>
        <v>0.02</v>
      </c>
      <c r="P9" s="2689">
        <f t="shared" si="4"/>
        <v>3.8199999999999998E-2</v>
      </c>
      <c r="Q9" s="2689">
        <f t="shared" si="4"/>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2582</v>
      </c>
      <c r="B10" s="2693">
        <f t="shared" si="5"/>
        <v>405.524</v>
      </c>
      <c r="C10" s="2693">
        <f t="shared" si="5"/>
        <v>307.79840000000002</v>
      </c>
      <c r="D10" s="2693">
        <f t="shared" si="2"/>
        <v>307.79840000000002</v>
      </c>
      <c r="E10" s="2693">
        <f t="shared" si="6"/>
        <v>574.67759999999998</v>
      </c>
      <c r="F10" s="2693">
        <f t="shared" si="6"/>
        <v>270.20280000000002</v>
      </c>
      <c r="G10" s="3163"/>
      <c r="H10" s="2683">
        <v>1</v>
      </c>
      <c r="I10" s="2683">
        <v>3.45</v>
      </c>
      <c r="J10" s="2683">
        <v>1.92</v>
      </c>
      <c r="K10" s="2683">
        <v>3.92</v>
      </c>
      <c r="L10" s="2694">
        <v>1.58</v>
      </c>
      <c r="M10" s="2687"/>
      <c r="N10" s="2688">
        <f t="shared" si="3"/>
        <v>3.4500000000000003E-2</v>
      </c>
      <c r="O10" s="2689">
        <f t="shared" si="4"/>
        <v>1.9199999999999998E-2</v>
      </c>
      <c r="P10" s="2689">
        <f t="shared" si="4"/>
        <v>3.9199999999999999E-2</v>
      </c>
      <c r="Q10" s="2689">
        <f t="shared" si="4"/>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2"/>
        <v>302</v>
      </c>
      <c r="E11" s="2685">
        <v>553</v>
      </c>
      <c r="F11" s="2686">
        <v>266</v>
      </c>
      <c r="G11" s="3480">
        <v>2016</v>
      </c>
      <c r="H11" s="2680">
        <v>4</v>
      </c>
      <c r="I11" s="2680">
        <v>4.5599999999999996</v>
      </c>
      <c r="J11" s="2680">
        <v>2.15</v>
      </c>
      <c r="K11" s="2680">
        <v>5.32</v>
      </c>
      <c r="L11" s="2681">
        <v>1.57</v>
      </c>
      <c r="N11" s="2688">
        <f t="shared" si="3"/>
        <v>4.5599999999999995E-2</v>
      </c>
      <c r="O11" s="2689">
        <f t="shared" ref="O11:Q26" si="7">J11/100</f>
        <v>2.1499999999999998E-2</v>
      </c>
      <c r="P11" s="2689">
        <f t="shared" si="7"/>
        <v>5.3200000000000004E-2</v>
      </c>
      <c r="Q11" s="2689">
        <f t="shared" si="7"/>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8">B11/(1+N11)</f>
        <v>374.90436113236416</v>
      </c>
      <c r="C12" s="2693">
        <f t="shared" si="8"/>
        <v>295.64366128242779</v>
      </c>
      <c r="D12" s="2693">
        <f t="shared" ref="D12:D71" si="9">C12</f>
        <v>295.64366128242779</v>
      </c>
      <c r="E12" s="2693">
        <f t="shared" ref="E12:F14" si="10">E11/(1+P11)</f>
        <v>525.06646410938095</v>
      </c>
      <c r="F12" s="2693">
        <f t="shared" si="10"/>
        <v>261.88835286009646</v>
      </c>
      <c r="G12" s="3478"/>
      <c r="H12" s="2683">
        <v>3</v>
      </c>
      <c r="I12" s="2683">
        <v>4.12</v>
      </c>
      <c r="J12" s="2683">
        <v>2</v>
      </c>
      <c r="K12" s="2683">
        <v>4.79</v>
      </c>
      <c r="L12" s="2694">
        <v>1.97</v>
      </c>
      <c r="N12" s="2688">
        <f t="shared" ref="N12:Q46" si="11">I12/100</f>
        <v>4.1200000000000001E-2</v>
      </c>
      <c r="O12" s="2689">
        <f t="shared" si="7"/>
        <v>0.02</v>
      </c>
      <c r="P12" s="2689">
        <f t="shared" si="7"/>
        <v>4.7899999999999998E-2</v>
      </c>
      <c r="Q12" s="2689">
        <f t="shared" si="7"/>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8"/>
        <v>360.06949782209392</v>
      </c>
      <c r="C13" s="2693">
        <f t="shared" si="8"/>
        <v>289.84672674747821</v>
      </c>
      <c r="D13" s="2693">
        <f t="shared" si="9"/>
        <v>289.84672674747821</v>
      </c>
      <c r="E13" s="2693">
        <f t="shared" si="10"/>
        <v>501.06543001181495</v>
      </c>
      <c r="F13" s="2693">
        <f t="shared" si="10"/>
        <v>256.82882500744967</v>
      </c>
      <c r="G13" s="3478"/>
      <c r="H13" s="2684">
        <v>2</v>
      </c>
      <c r="I13" s="2684">
        <v>3.85</v>
      </c>
      <c r="J13" s="2684">
        <v>1.95</v>
      </c>
      <c r="K13" s="2684">
        <v>4.4800000000000004</v>
      </c>
      <c r="L13" s="2695">
        <v>1.41</v>
      </c>
      <c r="N13" s="2688">
        <f t="shared" si="11"/>
        <v>3.85E-2</v>
      </c>
      <c r="O13" s="2689">
        <f t="shared" si="7"/>
        <v>1.95E-2</v>
      </c>
      <c r="P13" s="2689">
        <f t="shared" si="7"/>
        <v>4.4800000000000006E-2</v>
      </c>
      <c r="Q13" s="2689">
        <f t="shared" si="7"/>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8"/>
        <v>346.720748986128</v>
      </c>
      <c r="C14" s="2693">
        <f t="shared" si="8"/>
        <v>284.30282172386285</v>
      </c>
      <c r="D14" s="2693">
        <f t="shared" si="9"/>
        <v>284.30282172386285</v>
      </c>
      <c r="E14" s="2693">
        <f t="shared" si="10"/>
        <v>479.58023546306947</v>
      </c>
      <c r="F14" s="2693">
        <f t="shared" si="10"/>
        <v>253.25788877571213</v>
      </c>
      <c r="G14" s="3479"/>
      <c r="H14" s="2683">
        <v>1</v>
      </c>
      <c r="I14" s="2683">
        <v>4.09</v>
      </c>
      <c r="J14" s="2683">
        <v>2.93</v>
      </c>
      <c r="K14" s="2683">
        <v>4.54</v>
      </c>
      <c r="L14" s="2694">
        <v>1.48</v>
      </c>
      <c r="N14" s="2688">
        <f t="shared" si="11"/>
        <v>4.0899999999999999E-2</v>
      </c>
      <c r="O14" s="2689">
        <f t="shared" si="7"/>
        <v>2.9300000000000003E-2</v>
      </c>
      <c r="P14" s="2689">
        <f t="shared" si="7"/>
        <v>4.5400000000000003E-2</v>
      </c>
      <c r="Q14" s="2689">
        <f t="shared" si="7"/>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9"/>
        <v>277</v>
      </c>
      <c r="E15" s="2685">
        <v>459</v>
      </c>
      <c r="F15" s="2686">
        <v>249</v>
      </c>
      <c r="G15" s="3477">
        <v>2015</v>
      </c>
      <c r="H15" s="2699">
        <v>4</v>
      </c>
      <c r="I15" s="2699">
        <v>1.63</v>
      </c>
      <c r="J15" s="2699">
        <v>1.1100000000000001</v>
      </c>
      <c r="K15" s="2699">
        <v>1.77</v>
      </c>
      <c r="L15" s="2700">
        <v>1.89</v>
      </c>
      <c r="N15" s="2701">
        <f t="shared" si="11"/>
        <v>1.6299999999999999E-2</v>
      </c>
      <c r="O15" s="2702">
        <f t="shared" si="7"/>
        <v>1.11E-2</v>
      </c>
      <c r="P15" s="2702">
        <f t="shared" si="7"/>
        <v>1.77E-2</v>
      </c>
      <c r="Q15" s="2702">
        <f t="shared" si="7"/>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12">B15/(1+N15)</f>
        <v>327.65915576109415</v>
      </c>
      <c r="C16" s="2693">
        <f t="shared" si="12"/>
        <v>273.95905449510434</v>
      </c>
      <c r="D16" s="2693">
        <f t="shared" si="9"/>
        <v>273.95905449510434</v>
      </c>
      <c r="E16" s="2693">
        <f t="shared" ref="E16:F18" si="13">E15/(1+P15)</f>
        <v>451.01699911565294</v>
      </c>
      <c r="F16" s="2693">
        <f t="shared" si="13"/>
        <v>244.38119540681129</v>
      </c>
      <c r="G16" s="3478"/>
      <c r="H16" s="2704">
        <v>3</v>
      </c>
      <c r="I16" s="2704">
        <v>1.65</v>
      </c>
      <c r="J16" s="2704">
        <v>0.92</v>
      </c>
      <c r="K16" s="2704">
        <v>1.88</v>
      </c>
      <c r="L16" s="2705">
        <v>1.26</v>
      </c>
      <c r="N16" s="2688">
        <f t="shared" si="11"/>
        <v>1.6500000000000001E-2</v>
      </c>
      <c r="O16" s="2706">
        <f t="shared" si="7"/>
        <v>9.1999999999999998E-3</v>
      </c>
      <c r="P16" s="2706">
        <f t="shared" si="7"/>
        <v>1.8799999999999997E-2</v>
      </c>
      <c r="Q16" s="2706">
        <f t="shared" si="7"/>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12"/>
        <v>322.34053690220776</v>
      </c>
      <c r="C17" s="2693">
        <f t="shared" si="12"/>
        <v>271.46160770422546</v>
      </c>
      <c r="D17" s="2693">
        <f t="shared" si="9"/>
        <v>271.46160770422546</v>
      </c>
      <c r="E17" s="2693">
        <f t="shared" si="13"/>
        <v>442.69434542172456</v>
      </c>
      <c r="F17" s="2693">
        <f t="shared" si="13"/>
        <v>241.34030753190925</v>
      </c>
      <c r="G17" s="3478"/>
      <c r="H17" s="2684">
        <v>2</v>
      </c>
      <c r="I17" s="2684">
        <v>0.77</v>
      </c>
      <c r="J17" s="2684">
        <v>0.69</v>
      </c>
      <c r="K17" s="2684">
        <v>0.8</v>
      </c>
      <c r="L17" s="2695">
        <v>0.88</v>
      </c>
      <c r="N17" s="2688">
        <f t="shared" si="11"/>
        <v>7.7000000000000002E-3</v>
      </c>
      <c r="O17" s="2706">
        <f t="shared" si="7"/>
        <v>6.8999999999999999E-3</v>
      </c>
      <c r="P17" s="2706">
        <f t="shared" si="7"/>
        <v>8.0000000000000002E-3</v>
      </c>
      <c r="Q17" s="2706">
        <f t="shared" si="7"/>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12"/>
        <v>319.87748030386797</v>
      </c>
      <c r="C18" s="2693">
        <f t="shared" si="12"/>
        <v>269.60135833173649</v>
      </c>
      <c r="D18" s="2693">
        <f t="shared" si="9"/>
        <v>269.60135833173649</v>
      </c>
      <c r="E18" s="2693">
        <f t="shared" si="13"/>
        <v>439.18089823583784</v>
      </c>
      <c r="F18" s="2693">
        <f t="shared" si="13"/>
        <v>239.23503918706311</v>
      </c>
      <c r="G18" s="3479"/>
      <c r="H18" s="2683">
        <v>1</v>
      </c>
      <c r="I18" s="2683">
        <v>0.51</v>
      </c>
      <c r="J18" s="2683">
        <v>0.54</v>
      </c>
      <c r="K18" s="2683">
        <v>0.48</v>
      </c>
      <c r="L18" s="2694">
        <v>0.93</v>
      </c>
      <c r="N18" s="2696">
        <f t="shared" si="11"/>
        <v>5.1000000000000004E-3</v>
      </c>
      <c r="O18" s="2697">
        <f t="shared" si="7"/>
        <v>5.4000000000000003E-3</v>
      </c>
      <c r="P18" s="2697">
        <f t="shared" si="7"/>
        <v>4.7999999999999996E-3</v>
      </c>
      <c r="Q18" s="2697">
        <f t="shared" si="7"/>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9"/>
        <v>268</v>
      </c>
      <c r="E19" s="2707">
        <v>437</v>
      </c>
      <c r="F19" s="2708">
        <v>237</v>
      </c>
      <c r="G19" s="3477">
        <v>2014</v>
      </c>
      <c r="H19" s="2699">
        <v>4</v>
      </c>
      <c r="I19" s="2699">
        <v>0.21</v>
      </c>
      <c r="J19" s="2699">
        <v>0.41</v>
      </c>
      <c r="K19" s="2699">
        <v>0.12</v>
      </c>
      <c r="L19" s="2700">
        <v>0.89</v>
      </c>
      <c r="N19" s="2688">
        <f t="shared" si="11"/>
        <v>2.0999999999999999E-3</v>
      </c>
      <c r="O19" s="2689">
        <f t="shared" si="7"/>
        <v>4.0999999999999995E-3</v>
      </c>
      <c r="P19" s="2689">
        <f t="shared" si="7"/>
        <v>1.1999999999999999E-3</v>
      </c>
      <c r="Q19" s="2689">
        <f t="shared" si="7"/>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14">B19/(1+N19)</f>
        <v>317.33359944117353</v>
      </c>
      <c r="C20" s="2693">
        <f t="shared" si="14"/>
        <v>266.90568668459315</v>
      </c>
      <c r="D20" s="2693">
        <f t="shared" si="9"/>
        <v>266.90568668459315</v>
      </c>
      <c r="E20" s="2693">
        <f t="shared" ref="E20:F22" si="15">E19/(1+P19)</f>
        <v>436.47622852576905</v>
      </c>
      <c r="F20" s="2693">
        <f t="shared" si="15"/>
        <v>234.90930716622066</v>
      </c>
      <c r="G20" s="3478"/>
      <c r="H20" s="2709">
        <v>3</v>
      </c>
      <c r="I20" s="2709">
        <v>0.83</v>
      </c>
      <c r="J20" s="2709">
        <v>1.47</v>
      </c>
      <c r="K20" s="2709">
        <v>0.65</v>
      </c>
      <c r="L20" s="2710">
        <v>0.72</v>
      </c>
      <c r="N20" s="2688">
        <f t="shared" si="11"/>
        <v>8.3000000000000001E-3</v>
      </c>
      <c r="O20" s="2689">
        <f t="shared" si="7"/>
        <v>1.47E-2</v>
      </c>
      <c r="P20" s="2689">
        <f t="shared" si="7"/>
        <v>6.5000000000000006E-3</v>
      </c>
      <c r="Q20" s="2689">
        <f t="shared" si="7"/>
        <v>7.1999999999999998E-3</v>
      </c>
      <c r="R20" s="2690"/>
      <c r="S20" s="2688"/>
      <c r="T20" s="2689"/>
      <c r="U20" s="2689"/>
      <c r="V20" s="2689"/>
      <c r="X20" s="2778">
        <f>ROUND(SUMPRODUCT(PRODUCT(1+N20:N$21)),4)</f>
        <v>1.0325</v>
      </c>
      <c r="Y20" s="2778">
        <f>ROUND(SUMPRODUCT(PRODUCT(1+O20:O$21)),4)</f>
        <v>1.0353000000000001</v>
      </c>
      <c r="Z20" s="2778">
        <f>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14"/>
        <v>314.72141172386546</v>
      </c>
      <c r="C21" s="2693">
        <f t="shared" si="14"/>
        <v>263.03901319069001</v>
      </c>
      <c r="D21" s="2693">
        <f t="shared" si="9"/>
        <v>263.03901319069001</v>
      </c>
      <c r="E21" s="2693">
        <f t="shared" si="15"/>
        <v>433.65745506782821</v>
      </c>
      <c r="F21" s="2693">
        <f t="shared" si="15"/>
        <v>233.23005080045735</v>
      </c>
      <c r="G21" s="3478"/>
      <c r="H21" s="2699">
        <v>2</v>
      </c>
      <c r="I21" s="2699">
        <v>2.4</v>
      </c>
      <c r="J21" s="2699">
        <v>2.0299999999999998</v>
      </c>
      <c r="K21" s="2699">
        <v>2.59</v>
      </c>
      <c r="L21" s="2700">
        <v>1.52</v>
      </c>
      <c r="N21" s="2688">
        <f t="shared" si="11"/>
        <v>2.4E-2</v>
      </c>
      <c r="O21" s="2689">
        <f t="shared" si="7"/>
        <v>2.0299999999999999E-2</v>
      </c>
      <c r="P21" s="2689">
        <f t="shared" si="7"/>
        <v>2.5899999999999999E-2</v>
      </c>
      <c r="Q21" s="2689">
        <f t="shared" si="7"/>
        <v>1.52E-2</v>
      </c>
      <c r="R21" s="2690"/>
      <c r="S21" s="2688"/>
      <c r="T21" s="2689"/>
      <c r="U21" s="2689"/>
      <c r="V21" s="2689"/>
      <c r="X21" s="2778">
        <f>1+N21</f>
        <v>1.024</v>
      </c>
      <c r="Y21" s="2778">
        <f>1+O21</f>
        <v>1.0203</v>
      </c>
      <c r="Z21" s="2778">
        <f>Y21</f>
        <v>1.0203</v>
      </c>
      <c r="AA21" s="2778">
        <f>1+P21</f>
        <v>1.0259</v>
      </c>
      <c r="AB21" s="2778">
        <f>1+Q21</f>
        <v>1.0152000000000001</v>
      </c>
      <c r="AD21" s="2698">
        <f>ROUND(AVERAGE(I21:I$22)/100,4)</f>
        <v>2.69E-2</v>
      </c>
      <c r="AE21" s="2698">
        <f>ROUND(AVERAGE(J21:J$22)/100,4)</f>
        <v>2.1899999999999999E-2</v>
      </c>
      <c r="AF21" s="2698">
        <f>AE21</f>
        <v>2.1899999999999999E-2</v>
      </c>
      <c r="AG21" s="2698">
        <f>ROUND(AVERAGE(K21:K$22)/100,4)</f>
        <v>2.9399999999999999E-2</v>
      </c>
      <c r="AH21" s="2698">
        <f>ROUND(AVERAGE(L21:L$22)/100,4)</f>
        <v>1.44E-2</v>
      </c>
    </row>
    <row r="22" spans="1:34" s="2715" customFormat="1" ht="13.5" thickBot="1">
      <c r="A22" s="2711" t="s">
        <v>961</v>
      </c>
      <c r="B22" s="2712">
        <f t="shared" si="14"/>
        <v>307.34512863658733</v>
      </c>
      <c r="C22" s="2712">
        <f t="shared" si="14"/>
        <v>257.80556031626975</v>
      </c>
      <c r="D22" s="2712">
        <f t="shared" si="9"/>
        <v>257.80556031626975</v>
      </c>
      <c r="E22" s="2712">
        <f t="shared" si="15"/>
        <v>422.70928459677179</v>
      </c>
      <c r="F22" s="2712">
        <f t="shared" si="15"/>
        <v>229.73803270336617</v>
      </c>
      <c r="G22" s="3479"/>
      <c r="H22" s="2713">
        <v>1</v>
      </c>
      <c r="I22" s="2713">
        <v>2.97</v>
      </c>
      <c r="J22" s="2713">
        <v>2.34</v>
      </c>
      <c r="K22" s="2713">
        <v>3.28</v>
      </c>
      <c r="L22" s="2714">
        <v>1.36</v>
      </c>
      <c r="N22" s="2716">
        <f t="shared" si="11"/>
        <v>2.9700000000000001E-2</v>
      </c>
      <c r="O22" s="2717">
        <f t="shared" si="7"/>
        <v>2.3399999999999997E-2</v>
      </c>
      <c r="P22" s="2717">
        <f t="shared" si="7"/>
        <v>3.2799999999999996E-2</v>
      </c>
      <c r="Q22" s="2717">
        <f t="shared" si="7"/>
        <v>1.3600000000000001E-2</v>
      </c>
      <c r="R22" s="2718"/>
      <c r="S22" s="2719">
        <f>B22/B23-1</f>
        <v>2.7910129219355539E-2</v>
      </c>
      <c r="T22" s="2720">
        <f>C22/C23-1</f>
        <v>2.3037937762975247E-2</v>
      </c>
      <c r="U22" s="2720">
        <f>E22/E23-1</f>
        <v>3.3519033243940788E-2</v>
      </c>
      <c r="V22" s="2720">
        <f>F22/F23-1</f>
        <v>1.2061818076502862E-2</v>
      </c>
      <c r="W22" s="2787" t="s">
        <v>2640</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2583</v>
      </c>
      <c r="B23" s="2685">
        <v>299</v>
      </c>
      <c r="C23" s="2685">
        <v>252</v>
      </c>
      <c r="D23" s="2685">
        <f t="shared" si="9"/>
        <v>252</v>
      </c>
      <c r="E23" s="2685">
        <v>409</v>
      </c>
      <c r="F23" s="2686">
        <v>227</v>
      </c>
      <c r="G23" s="3484">
        <v>2013</v>
      </c>
      <c r="H23" s="2721">
        <v>4</v>
      </c>
      <c r="I23" s="2721">
        <v>1.83</v>
      </c>
      <c r="J23" s="2721">
        <v>1.68</v>
      </c>
      <c r="K23" s="2721">
        <v>1.97</v>
      </c>
      <c r="L23" s="2722">
        <v>0.87</v>
      </c>
      <c r="N23" s="2701">
        <f t="shared" si="11"/>
        <v>1.83E-2</v>
      </c>
      <c r="O23" s="2702">
        <f t="shared" si="7"/>
        <v>1.6799999999999999E-2</v>
      </c>
      <c r="P23" s="2702">
        <f t="shared" si="7"/>
        <v>1.9699999999999999E-2</v>
      </c>
      <c r="Q23" s="2702">
        <f t="shared" si="7"/>
        <v>8.6999999999999994E-3</v>
      </c>
      <c r="R23" s="2690"/>
      <c r="S23" s="2691"/>
      <c r="T23" s="2692"/>
      <c r="U23" s="2692"/>
      <c r="V23" s="2692"/>
      <c r="X23" s="2692"/>
      <c r="Y23" s="2692"/>
      <c r="Z23" s="2692"/>
    </row>
    <row r="24" spans="1:34">
      <c r="A24" s="2679" t="s">
        <v>2584</v>
      </c>
      <c r="B24" s="2693">
        <f t="shared" ref="B24:C26" si="16">B23/(1+N23)</f>
        <v>293.62663262299913</v>
      </c>
      <c r="C24" s="2693">
        <f t="shared" si="16"/>
        <v>247.83634933123525</v>
      </c>
      <c r="D24" s="2693">
        <f t="shared" si="9"/>
        <v>247.83634933123525</v>
      </c>
      <c r="E24" s="2693">
        <f t="shared" ref="E24:F26" si="17">E23/(1+P23)</f>
        <v>401.09836226341076</v>
      </c>
      <c r="F24" s="2693">
        <f t="shared" si="17"/>
        <v>225.04213343908003</v>
      </c>
      <c r="G24" s="3485"/>
      <c r="H24" s="2704">
        <v>3</v>
      </c>
      <c r="I24" s="2704">
        <v>1.86</v>
      </c>
      <c r="J24" s="2704">
        <v>1.72</v>
      </c>
      <c r="K24" s="2704">
        <v>1.98</v>
      </c>
      <c r="L24" s="2705">
        <v>0.88</v>
      </c>
      <c r="N24" s="2688">
        <f t="shared" si="11"/>
        <v>1.8600000000000002E-2</v>
      </c>
      <c r="O24" s="2706">
        <f t="shared" si="7"/>
        <v>1.72E-2</v>
      </c>
      <c r="P24" s="2706">
        <f t="shared" si="7"/>
        <v>1.9799999999999998E-2</v>
      </c>
      <c r="Q24" s="2706">
        <f t="shared" si="7"/>
        <v>8.8000000000000005E-3</v>
      </c>
      <c r="R24" s="2690"/>
      <c r="S24" s="2688"/>
      <c r="T24" s="2689"/>
      <c r="U24" s="2689"/>
      <c r="V24" s="2689"/>
    </row>
    <row r="25" spans="1:34">
      <c r="A25" s="2679" t="s">
        <v>2585</v>
      </c>
      <c r="B25" s="2693">
        <f t="shared" si="16"/>
        <v>288.2649053828776</v>
      </c>
      <c r="C25" s="2693">
        <f t="shared" si="16"/>
        <v>243.64564425013293</v>
      </c>
      <c r="D25" s="2693">
        <f t="shared" si="9"/>
        <v>243.64564425013293</v>
      </c>
      <c r="E25" s="2693">
        <f t="shared" si="17"/>
        <v>393.31080825986544</v>
      </c>
      <c r="F25" s="2693">
        <f t="shared" si="17"/>
        <v>223.07903790551154</v>
      </c>
      <c r="G25" s="3485"/>
      <c r="H25" s="2684">
        <v>2</v>
      </c>
      <c r="I25" s="2684">
        <v>2.04</v>
      </c>
      <c r="J25" s="2684">
        <v>2.33</v>
      </c>
      <c r="K25" s="2684">
        <v>2.0699999999999998</v>
      </c>
      <c r="L25" s="2695">
        <v>0.69</v>
      </c>
      <c r="N25" s="2688">
        <f t="shared" si="11"/>
        <v>2.0400000000000001E-2</v>
      </c>
      <c r="O25" s="2706">
        <f t="shared" si="7"/>
        <v>2.3300000000000001E-2</v>
      </c>
      <c r="P25" s="2706">
        <f t="shared" si="7"/>
        <v>2.07E-2</v>
      </c>
      <c r="Q25" s="2706">
        <f t="shared" si="7"/>
        <v>6.8999999999999999E-3</v>
      </c>
      <c r="R25" s="2690"/>
      <c r="S25" s="2688"/>
      <c r="T25" s="2689"/>
      <c r="U25" s="2689"/>
      <c r="V25" s="2689"/>
      <c r="X25" s="2790"/>
      <c r="Y25" s="2792"/>
    </row>
    <row r="26" spans="1:34">
      <c r="A26" s="2679" t="s">
        <v>2586</v>
      </c>
      <c r="B26" s="2693">
        <f t="shared" si="16"/>
        <v>282.50186729015837</v>
      </c>
      <c r="C26" s="2693">
        <f t="shared" si="16"/>
        <v>238.09796174155468</v>
      </c>
      <c r="D26" s="2693">
        <f t="shared" si="9"/>
        <v>238.09796174155468</v>
      </c>
      <c r="E26" s="2693">
        <f t="shared" si="17"/>
        <v>385.33438646014054</v>
      </c>
      <c r="F26" s="2693">
        <f t="shared" si="17"/>
        <v>221.55034055567739</v>
      </c>
      <c r="G26" s="3486"/>
      <c r="H26" s="2683">
        <v>1</v>
      </c>
      <c r="I26" s="2683">
        <v>1.67</v>
      </c>
      <c r="J26" s="2683">
        <v>1.31</v>
      </c>
      <c r="K26" s="2683">
        <v>1.85</v>
      </c>
      <c r="L26" s="2694">
        <v>0.96</v>
      </c>
      <c r="N26" s="2696">
        <f t="shared" si="11"/>
        <v>1.67E-2</v>
      </c>
      <c r="O26" s="2697">
        <f t="shared" si="7"/>
        <v>1.3100000000000001E-2</v>
      </c>
      <c r="P26" s="2697">
        <f t="shared" si="7"/>
        <v>1.8500000000000003E-2</v>
      </c>
      <c r="Q26" s="2697">
        <f t="shared" si="7"/>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2587</v>
      </c>
      <c r="B27" s="2723">
        <v>278</v>
      </c>
      <c r="C27" s="2723">
        <v>234</v>
      </c>
      <c r="D27" s="2723">
        <f t="shared" si="9"/>
        <v>234</v>
      </c>
      <c r="E27" s="2723">
        <v>379</v>
      </c>
      <c r="F27" s="2724">
        <v>220</v>
      </c>
      <c r="G27" s="3477">
        <v>2012</v>
      </c>
      <c r="H27" s="2699">
        <v>4</v>
      </c>
      <c r="I27" s="2699">
        <v>0.91</v>
      </c>
      <c r="J27" s="2699">
        <v>0.68</v>
      </c>
      <c r="K27" s="2699">
        <v>0.98</v>
      </c>
      <c r="L27" s="2700">
        <v>0.9</v>
      </c>
      <c r="N27" s="2688">
        <f t="shared" si="11"/>
        <v>9.1000000000000004E-3</v>
      </c>
      <c r="O27" s="2689">
        <f t="shared" si="11"/>
        <v>6.8000000000000005E-3</v>
      </c>
      <c r="P27" s="2689">
        <f t="shared" si="11"/>
        <v>9.7999999999999997E-3</v>
      </c>
      <c r="Q27" s="2689">
        <f t="shared" si="11"/>
        <v>9.0000000000000011E-3</v>
      </c>
      <c r="R27" s="2690"/>
      <c r="S27" s="2691"/>
      <c r="T27" s="2692"/>
      <c r="U27" s="2692"/>
      <c r="V27" s="2692"/>
      <c r="X27" s="2692"/>
      <c r="Y27" s="2692"/>
      <c r="Z27" s="2692"/>
    </row>
    <row r="28" spans="1:34">
      <c r="A28" s="2679" t="s">
        <v>2588</v>
      </c>
      <c r="B28" s="2693">
        <f>B27/(1+N27)</f>
        <v>275.49301357645425</v>
      </c>
      <c r="C28" s="2693">
        <f>C27/(1+O27)</f>
        <v>232.41954707985698</v>
      </c>
      <c r="D28" s="2693">
        <f t="shared" si="9"/>
        <v>232.41954707985698</v>
      </c>
      <c r="E28" s="2693">
        <f t="shared" ref="E28:F30" si="18">E27/(1+P27)</f>
        <v>375.32184591008121</v>
      </c>
      <c r="F28" s="2693">
        <f t="shared" si="18"/>
        <v>218.03766105054513</v>
      </c>
      <c r="G28" s="3478"/>
      <c r="H28" s="2704">
        <v>3</v>
      </c>
      <c r="I28" s="2704">
        <v>0.09</v>
      </c>
      <c r="J28" s="2704">
        <v>0.28999999999999998</v>
      </c>
      <c r="K28" s="2704">
        <v>-0.01</v>
      </c>
      <c r="L28" s="2705">
        <v>0.57999999999999996</v>
      </c>
      <c r="N28" s="2688">
        <f t="shared" si="11"/>
        <v>8.9999999999999998E-4</v>
      </c>
      <c r="O28" s="2689">
        <f t="shared" si="11"/>
        <v>2.8999999999999998E-3</v>
      </c>
      <c r="P28" s="2689">
        <f t="shared" si="11"/>
        <v>-1E-4</v>
      </c>
      <c r="Q28" s="2689">
        <f t="shared" si="11"/>
        <v>5.7999999999999996E-3</v>
      </c>
      <c r="R28" s="2690"/>
      <c r="S28" s="2688"/>
      <c r="T28" s="2689"/>
      <c r="U28" s="2689"/>
      <c r="V28" s="2689"/>
    </row>
    <row r="29" spans="1:34">
      <c r="A29" s="2679" t="s">
        <v>2589</v>
      </c>
      <c r="B29" s="2693">
        <f>B28/(1+N28)</f>
        <v>275.24529281292263</v>
      </c>
      <c r="C29" s="2693">
        <f>C28/(1+O28)</f>
        <v>231.74747938962707</v>
      </c>
      <c r="D29" s="2693">
        <f t="shared" si="9"/>
        <v>231.74747938962707</v>
      </c>
      <c r="E29" s="2693">
        <f t="shared" si="18"/>
        <v>375.35938184826603</v>
      </c>
      <c r="F29" s="2693">
        <f t="shared" si="18"/>
        <v>216.78033510692495</v>
      </c>
      <c r="G29" s="3478"/>
      <c r="H29" s="2684">
        <v>2</v>
      </c>
      <c r="I29" s="2684">
        <v>0.02</v>
      </c>
      <c r="J29" s="2684">
        <v>0.12</v>
      </c>
      <c r="K29" s="2684">
        <v>-0.08</v>
      </c>
      <c r="L29" s="2695">
        <v>1.24</v>
      </c>
      <c r="N29" s="2688">
        <f t="shared" si="11"/>
        <v>2.0000000000000001E-4</v>
      </c>
      <c r="O29" s="2689">
        <f t="shared" si="11"/>
        <v>1.1999999999999999E-3</v>
      </c>
      <c r="P29" s="2689">
        <f t="shared" si="11"/>
        <v>-8.0000000000000004E-4</v>
      </c>
      <c r="Q29" s="2689">
        <f t="shared" si="11"/>
        <v>1.24E-2</v>
      </c>
      <c r="R29" s="2690"/>
      <c r="S29" s="2688"/>
      <c r="T29" s="2689"/>
      <c r="U29" s="2689"/>
      <c r="V29" s="2689"/>
    </row>
    <row r="30" spans="1:34" ht="13.5" thickBot="1">
      <c r="A30" s="2679" t="s">
        <v>2590</v>
      </c>
      <c r="B30" s="2693">
        <f>B29/(1+N29)</f>
        <v>275.19025476197027</v>
      </c>
      <c r="C30" s="2725">
        <v>232</v>
      </c>
      <c r="D30" s="2725">
        <f t="shared" si="9"/>
        <v>232</v>
      </c>
      <c r="E30" s="2693">
        <f t="shared" si="18"/>
        <v>375.65990977608692</v>
      </c>
      <c r="F30" s="2693">
        <f t="shared" si="18"/>
        <v>214.12518283971252</v>
      </c>
      <c r="G30" s="3479"/>
      <c r="H30" s="2683">
        <v>1</v>
      </c>
      <c r="I30" s="2683">
        <v>0.02</v>
      </c>
      <c r="J30" s="2683">
        <v>0.13</v>
      </c>
      <c r="K30" s="2683">
        <v>-0.04</v>
      </c>
      <c r="L30" s="2694">
        <v>0.46</v>
      </c>
      <c r="N30" s="2688">
        <f t="shared" si="11"/>
        <v>2.0000000000000001E-4</v>
      </c>
      <c r="O30" s="2689">
        <f t="shared" si="11"/>
        <v>1.2999999999999999E-3</v>
      </c>
      <c r="P30" s="2689">
        <f t="shared" si="11"/>
        <v>-4.0000000000000002E-4</v>
      </c>
      <c r="Q30" s="2689">
        <f t="shared" si="11"/>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2591</v>
      </c>
      <c r="B31" s="2685">
        <v>275</v>
      </c>
      <c r="C31" s="2685">
        <v>232</v>
      </c>
      <c r="D31" s="2685">
        <f t="shared" si="9"/>
        <v>232</v>
      </c>
      <c r="E31" s="2685">
        <v>376</v>
      </c>
      <c r="F31" s="2686">
        <v>213</v>
      </c>
      <c r="G31" s="3477">
        <v>2011</v>
      </c>
      <c r="H31" s="2699">
        <v>4</v>
      </c>
      <c r="I31" s="2699">
        <v>-0.2</v>
      </c>
      <c r="J31" s="2699">
        <v>0.04</v>
      </c>
      <c r="K31" s="2699">
        <v>-0.34</v>
      </c>
      <c r="L31" s="2700">
        <v>0.46</v>
      </c>
      <c r="N31" s="2701">
        <f t="shared" si="11"/>
        <v>-2E-3</v>
      </c>
      <c r="O31" s="2702">
        <f t="shared" si="11"/>
        <v>4.0000000000000002E-4</v>
      </c>
      <c r="P31" s="2702">
        <f t="shared" si="11"/>
        <v>-3.4000000000000002E-3</v>
      </c>
      <c r="Q31" s="2702">
        <f t="shared" si="11"/>
        <v>4.5999999999999999E-3</v>
      </c>
      <c r="R31" s="2690"/>
      <c r="S31" s="2691"/>
      <c r="T31" s="2692"/>
      <c r="U31" s="2692"/>
      <c r="V31" s="2692"/>
      <c r="X31" s="2692"/>
      <c r="Y31" s="2692"/>
      <c r="Z31" s="2692"/>
    </row>
    <row r="32" spans="1:34">
      <c r="A32" s="2679" t="s">
        <v>2592</v>
      </c>
      <c r="B32" s="2693">
        <f t="shared" ref="B32:C34" si="19">B31/(1+N31)</f>
        <v>275.55110220440883</v>
      </c>
      <c r="C32" s="2693">
        <f t="shared" si="19"/>
        <v>231.90723710515795</v>
      </c>
      <c r="D32" s="2693">
        <f t="shared" si="9"/>
        <v>231.90723710515795</v>
      </c>
      <c r="E32" s="2693">
        <f t="shared" ref="E32:F34" si="20">E31/(1+P31)</f>
        <v>377.28276138872161</v>
      </c>
      <c r="F32" s="2693">
        <f t="shared" si="20"/>
        <v>212.02468644236512</v>
      </c>
      <c r="G32" s="3478">
        <v>2011</v>
      </c>
      <c r="H32" s="2704">
        <v>3</v>
      </c>
      <c r="I32" s="2704">
        <v>0.13</v>
      </c>
      <c r="J32" s="2704">
        <v>0.75</v>
      </c>
      <c r="K32" s="2704">
        <v>-0.08</v>
      </c>
      <c r="L32" s="2705">
        <v>0.53</v>
      </c>
      <c r="N32" s="2688">
        <f t="shared" si="11"/>
        <v>1.2999999999999999E-3</v>
      </c>
      <c r="O32" s="2706">
        <f t="shared" si="11"/>
        <v>7.4999999999999997E-3</v>
      </c>
      <c r="P32" s="2706">
        <f t="shared" si="11"/>
        <v>-8.0000000000000004E-4</v>
      </c>
      <c r="Q32" s="2706">
        <f t="shared" si="11"/>
        <v>5.3E-3</v>
      </c>
      <c r="R32" s="2690"/>
      <c r="S32" s="2688"/>
      <c r="T32" s="2689"/>
      <c r="U32" s="2689"/>
      <c r="V32" s="2689"/>
    </row>
    <row r="33" spans="1:26">
      <c r="A33" s="2679" t="s">
        <v>2593</v>
      </c>
      <c r="B33" s="2693">
        <f t="shared" si="19"/>
        <v>275.19335084830601</v>
      </c>
      <c r="C33" s="2693">
        <f t="shared" si="19"/>
        <v>230.18088050139744</v>
      </c>
      <c r="D33" s="2693">
        <f t="shared" si="9"/>
        <v>230.18088050139744</v>
      </c>
      <c r="E33" s="2693">
        <f t="shared" si="20"/>
        <v>377.58482925212331</v>
      </c>
      <c r="F33" s="2693">
        <f t="shared" si="20"/>
        <v>210.90687997847917</v>
      </c>
      <c r="G33" s="3478">
        <v>2011</v>
      </c>
      <c r="H33" s="2684">
        <v>2</v>
      </c>
      <c r="I33" s="2684">
        <v>-0.4</v>
      </c>
      <c r="J33" s="2684">
        <v>0.17</v>
      </c>
      <c r="K33" s="2684">
        <v>-0.57999999999999996</v>
      </c>
      <c r="L33" s="2695">
        <v>-0.2</v>
      </c>
      <c r="N33" s="2688">
        <f t="shared" si="11"/>
        <v>-4.0000000000000001E-3</v>
      </c>
      <c r="O33" s="2706">
        <f t="shared" si="11"/>
        <v>1.7000000000000001E-3</v>
      </c>
      <c r="P33" s="2706">
        <f t="shared" si="11"/>
        <v>-5.7999999999999996E-3</v>
      </c>
      <c r="Q33" s="2706">
        <f t="shared" si="11"/>
        <v>-2E-3</v>
      </c>
      <c r="R33" s="2690"/>
      <c r="S33" s="2688"/>
      <c r="T33" s="2689"/>
      <c r="U33" s="2689"/>
      <c r="V33" s="2689"/>
    </row>
    <row r="34" spans="1:26" ht="13.5" thickBot="1">
      <c r="A34" s="2679" t="s">
        <v>2594</v>
      </c>
      <c r="B34" s="2693">
        <f t="shared" si="19"/>
        <v>276.29854502841971</v>
      </c>
      <c r="C34" s="2693">
        <f t="shared" si="19"/>
        <v>229.79023709833027</v>
      </c>
      <c r="D34" s="2693">
        <f t="shared" si="9"/>
        <v>229.79023709833027</v>
      </c>
      <c r="E34" s="2693">
        <f t="shared" si="20"/>
        <v>379.78759731655936</v>
      </c>
      <c r="F34" s="2693">
        <f t="shared" si="20"/>
        <v>211.32953905659235</v>
      </c>
      <c r="G34" s="3479">
        <v>2011</v>
      </c>
      <c r="H34" s="2683">
        <v>1</v>
      </c>
      <c r="I34" s="2683">
        <v>2.65</v>
      </c>
      <c r="J34" s="2683">
        <v>3.76</v>
      </c>
      <c r="K34" s="2683">
        <v>1.89</v>
      </c>
      <c r="L34" s="2694">
        <v>7.95</v>
      </c>
      <c r="N34" s="2696">
        <f t="shared" si="11"/>
        <v>2.6499999999999999E-2</v>
      </c>
      <c r="O34" s="2697">
        <f t="shared" si="11"/>
        <v>3.7599999999999995E-2</v>
      </c>
      <c r="P34" s="2697">
        <f t="shared" si="11"/>
        <v>1.89E-2</v>
      </c>
      <c r="Q34" s="2697">
        <f t="shared" si="11"/>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2595</v>
      </c>
      <c r="B35" s="2685">
        <v>269</v>
      </c>
      <c r="C35" s="2685">
        <v>221</v>
      </c>
      <c r="D35" s="2685">
        <f t="shared" si="9"/>
        <v>221</v>
      </c>
      <c r="E35" s="2685">
        <v>373</v>
      </c>
      <c r="F35" s="2686">
        <v>196</v>
      </c>
      <c r="G35" s="3477">
        <v>2010</v>
      </c>
      <c r="H35" s="2699">
        <v>4</v>
      </c>
      <c r="I35" s="2699">
        <v>5.72</v>
      </c>
      <c r="J35" s="2699">
        <v>6.57</v>
      </c>
      <c r="K35" s="2699">
        <v>5.72</v>
      </c>
      <c r="L35" s="2700">
        <v>2.72</v>
      </c>
      <c r="N35" s="2688">
        <f t="shared" si="11"/>
        <v>5.7200000000000001E-2</v>
      </c>
      <c r="O35" s="2689">
        <f t="shared" si="11"/>
        <v>6.5700000000000008E-2</v>
      </c>
      <c r="P35" s="2689">
        <f t="shared" si="11"/>
        <v>5.7200000000000001E-2</v>
      </c>
      <c r="Q35" s="2689">
        <f t="shared" si="11"/>
        <v>2.7200000000000002E-2</v>
      </c>
      <c r="R35" s="2690"/>
      <c r="S35" s="2691"/>
      <c r="T35" s="2692"/>
      <c r="U35" s="2692"/>
      <c r="V35" s="2692"/>
      <c r="X35" s="2692"/>
      <c r="Y35" s="2692"/>
      <c r="Z35" s="2692"/>
    </row>
    <row r="36" spans="1:26">
      <c r="A36" s="2679" t="s">
        <v>2596</v>
      </c>
      <c r="B36" s="2693">
        <f t="shared" ref="B36:C38" si="21">B35/(1+N35)</f>
        <v>254.44570563753314</v>
      </c>
      <c r="C36" s="2693">
        <f t="shared" si="21"/>
        <v>207.37543398705074</v>
      </c>
      <c r="D36" s="2693">
        <f t="shared" si="9"/>
        <v>207.37543398705074</v>
      </c>
      <c r="E36" s="2693">
        <f t="shared" ref="E36:F38" si="22">E35/(1+P35)</f>
        <v>352.81876655315932</v>
      </c>
      <c r="F36" s="2693">
        <f t="shared" si="22"/>
        <v>190.809968847352</v>
      </c>
      <c r="G36" s="3478">
        <v>2010</v>
      </c>
      <c r="H36" s="2704">
        <v>3</v>
      </c>
      <c r="I36" s="2704">
        <v>4.7300000000000004</v>
      </c>
      <c r="J36" s="2704">
        <v>3.9</v>
      </c>
      <c r="K36" s="2704">
        <v>5.03</v>
      </c>
      <c r="L36" s="2705">
        <v>4.21</v>
      </c>
      <c r="N36" s="2688">
        <f t="shared" si="11"/>
        <v>4.7300000000000002E-2</v>
      </c>
      <c r="O36" s="2689">
        <f t="shared" si="11"/>
        <v>3.9E-2</v>
      </c>
      <c r="P36" s="2689">
        <f t="shared" si="11"/>
        <v>5.0300000000000004E-2</v>
      </c>
      <c r="Q36" s="2689">
        <f t="shared" si="11"/>
        <v>4.2099999999999999E-2</v>
      </c>
      <c r="R36" s="2690"/>
      <c r="S36" s="2688"/>
      <c r="T36" s="2689"/>
      <c r="U36" s="2689"/>
      <c r="V36" s="2689"/>
    </row>
    <row r="37" spans="1:26">
      <c r="A37" s="2679" t="s">
        <v>2597</v>
      </c>
      <c r="B37" s="2693">
        <f t="shared" si="21"/>
        <v>242.95398227588385</v>
      </c>
      <c r="C37" s="2693">
        <f t="shared" si="21"/>
        <v>199.59137053614126</v>
      </c>
      <c r="D37" s="2693">
        <f t="shared" si="9"/>
        <v>199.59137053614126</v>
      </c>
      <c r="E37" s="2693">
        <f t="shared" si="22"/>
        <v>335.92189522342125</v>
      </c>
      <c r="F37" s="2693">
        <f t="shared" si="22"/>
        <v>183.10139991109489</v>
      </c>
      <c r="G37" s="3478">
        <v>2010</v>
      </c>
      <c r="H37" s="2684">
        <v>2</v>
      </c>
      <c r="I37" s="2684">
        <v>4.6900000000000004</v>
      </c>
      <c r="J37" s="2684">
        <v>3.55</v>
      </c>
      <c r="K37" s="2684">
        <v>5.07</v>
      </c>
      <c r="L37" s="2695">
        <v>4.2300000000000004</v>
      </c>
      <c r="N37" s="2688">
        <f t="shared" si="11"/>
        <v>4.6900000000000004E-2</v>
      </c>
      <c r="O37" s="2689">
        <f t="shared" si="11"/>
        <v>3.5499999999999997E-2</v>
      </c>
      <c r="P37" s="2689">
        <f t="shared" si="11"/>
        <v>5.0700000000000002E-2</v>
      </c>
      <c r="Q37" s="2689">
        <f t="shared" si="11"/>
        <v>4.2300000000000004E-2</v>
      </c>
      <c r="R37" s="2690"/>
      <c r="S37" s="2688"/>
      <c r="T37" s="2689"/>
      <c r="U37" s="2689"/>
      <c r="V37" s="2689"/>
    </row>
    <row r="38" spans="1:26" ht="13.5" thickBot="1">
      <c r="A38" s="2679" t="s">
        <v>2598</v>
      </c>
      <c r="B38" s="2693">
        <f t="shared" si="21"/>
        <v>232.06990378821649</v>
      </c>
      <c r="C38" s="2693">
        <f t="shared" si="21"/>
        <v>192.74878854286936</v>
      </c>
      <c r="D38" s="2693">
        <f t="shared" si="9"/>
        <v>192.74878854286936</v>
      </c>
      <c r="E38" s="2693">
        <f t="shared" si="22"/>
        <v>319.71247284992984</v>
      </c>
      <c r="F38" s="2693">
        <f t="shared" si="22"/>
        <v>175.67053622862409</v>
      </c>
      <c r="G38" s="3479">
        <v>2010</v>
      </c>
      <c r="H38" s="2683">
        <v>1</v>
      </c>
      <c r="I38" s="2683">
        <v>5.4</v>
      </c>
      <c r="J38" s="2683">
        <v>3.2</v>
      </c>
      <c r="K38" s="2683">
        <v>6.16</v>
      </c>
      <c r="L38" s="2694">
        <v>4.51</v>
      </c>
      <c r="N38" s="2688">
        <f t="shared" si="11"/>
        <v>5.4000000000000006E-2</v>
      </c>
      <c r="O38" s="2689">
        <f t="shared" si="11"/>
        <v>3.2000000000000001E-2</v>
      </c>
      <c r="P38" s="2689">
        <f t="shared" si="11"/>
        <v>6.1600000000000002E-2</v>
      </c>
      <c r="Q38" s="2689">
        <f t="shared" si="11"/>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2599</v>
      </c>
      <c r="B39" s="2685">
        <v>220</v>
      </c>
      <c r="C39" s="2685">
        <v>187</v>
      </c>
      <c r="D39" s="2685">
        <f t="shared" si="9"/>
        <v>187</v>
      </c>
      <c r="E39" s="2685">
        <v>301</v>
      </c>
      <c r="F39" s="2686">
        <v>168</v>
      </c>
      <c r="G39" s="3477">
        <v>2009</v>
      </c>
      <c r="H39" s="2699">
        <v>4</v>
      </c>
      <c r="I39" s="2699">
        <v>2.2999999999999998</v>
      </c>
      <c r="J39" s="2699">
        <v>1.04</v>
      </c>
      <c r="K39" s="2699">
        <v>2.84</v>
      </c>
      <c r="L39" s="2700">
        <v>0.67</v>
      </c>
      <c r="N39" s="2701">
        <f t="shared" si="11"/>
        <v>2.3E-2</v>
      </c>
      <c r="O39" s="2702">
        <f t="shared" si="11"/>
        <v>1.04E-2</v>
      </c>
      <c r="P39" s="2702">
        <f t="shared" si="11"/>
        <v>2.8399999999999998E-2</v>
      </c>
      <c r="Q39" s="2702">
        <f t="shared" si="11"/>
        <v>6.7000000000000002E-3</v>
      </c>
      <c r="R39" s="2690"/>
      <c r="S39" s="2691"/>
      <c r="T39" s="2692"/>
      <c r="U39" s="2692"/>
      <c r="V39" s="2692"/>
      <c r="X39" s="2692"/>
      <c r="Y39" s="2692"/>
      <c r="Z39" s="2692"/>
    </row>
    <row r="40" spans="1:26">
      <c r="A40" s="2679" t="s">
        <v>2600</v>
      </c>
      <c r="B40" s="2693">
        <f t="shared" ref="B40:C42" si="23">B39/(1+N39)</f>
        <v>215.05376344086022</v>
      </c>
      <c r="C40" s="2693">
        <f t="shared" si="23"/>
        <v>185.0752177355503</v>
      </c>
      <c r="D40" s="2693">
        <f t="shared" si="9"/>
        <v>185.0752177355503</v>
      </c>
      <c r="E40" s="2693">
        <f t="shared" ref="E40:F42" si="24">E39/(1+P39)</f>
        <v>292.68767016725008</v>
      </c>
      <c r="F40" s="2693">
        <f t="shared" si="24"/>
        <v>166.88189132810174</v>
      </c>
      <c r="G40" s="3478">
        <v>2009</v>
      </c>
      <c r="H40" s="2704">
        <v>3</v>
      </c>
      <c r="I40" s="2704">
        <v>2.1</v>
      </c>
      <c r="J40" s="2704">
        <v>1.86</v>
      </c>
      <c r="K40" s="2704">
        <v>2.29</v>
      </c>
      <c r="L40" s="2705">
        <v>0.85</v>
      </c>
      <c r="N40" s="2688">
        <f t="shared" si="11"/>
        <v>2.1000000000000001E-2</v>
      </c>
      <c r="O40" s="2706">
        <f t="shared" si="11"/>
        <v>1.8600000000000002E-2</v>
      </c>
      <c r="P40" s="2706">
        <f t="shared" si="11"/>
        <v>2.29E-2</v>
      </c>
      <c r="Q40" s="2706">
        <f t="shared" si="11"/>
        <v>8.5000000000000006E-3</v>
      </c>
      <c r="R40" s="2690"/>
      <c r="S40" s="2688"/>
      <c r="T40" s="2689"/>
      <c r="U40" s="2689"/>
      <c r="V40" s="2689"/>
    </row>
    <row r="41" spans="1:26">
      <c r="A41" s="2679" t="s">
        <v>2601</v>
      </c>
      <c r="B41" s="2693">
        <f t="shared" si="23"/>
        <v>210.630522469011</v>
      </c>
      <c r="C41" s="2693">
        <f t="shared" si="23"/>
        <v>181.69567812247232</v>
      </c>
      <c r="D41" s="2693">
        <f t="shared" si="9"/>
        <v>181.69567812247232</v>
      </c>
      <c r="E41" s="2693">
        <f t="shared" si="24"/>
        <v>286.13517466736738</v>
      </c>
      <c r="F41" s="2693">
        <f t="shared" si="24"/>
        <v>165.47535084591149</v>
      </c>
      <c r="G41" s="3478">
        <v>2009</v>
      </c>
      <c r="H41" s="2684">
        <v>2</v>
      </c>
      <c r="I41" s="2684">
        <v>0.86</v>
      </c>
      <c r="J41" s="2684">
        <v>-1.1299999999999999</v>
      </c>
      <c r="K41" s="2684">
        <v>1.79</v>
      </c>
      <c r="L41" s="2695">
        <v>-2.0699999999999998</v>
      </c>
      <c r="N41" s="2688">
        <f t="shared" si="11"/>
        <v>8.6E-3</v>
      </c>
      <c r="O41" s="2706">
        <f t="shared" si="11"/>
        <v>-1.1299999999999999E-2</v>
      </c>
      <c r="P41" s="2706">
        <f t="shared" si="11"/>
        <v>1.7899999999999999E-2</v>
      </c>
      <c r="Q41" s="2706">
        <f t="shared" si="11"/>
        <v>-2.07E-2</v>
      </c>
      <c r="R41" s="2690"/>
      <c r="S41" s="2688"/>
      <c r="T41" s="2689"/>
      <c r="U41" s="2689"/>
      <c r="V41" s="2689"/>
    </row>
    <row r="42" spans="1:26">
      <c r="A42" s="2679" t="s">
        <v>2602</v>
      </c>
      <c r="B42" s="2693">
        <f t="shared" si="23"/>
        <v>208.83454537875372</v>
      </c>
      <c r="C42" s="2693">
        <f t="shared" si="23"/>
        <v>183.77230517090351</v>
      </c>
      <c r="D42" s="2693">
        <f t="shared" si="9"/>
        <v>183.77230517090351</v>
      </c>
      <c r="E42" s="2693">
        <f t="shared" si="24"/>
        <v>281.10342338870947</v>
      </c>
      <c r="F42" s="2693">
        <f t="shared" si="24"/>
        <v>168.97309388942256</v>
      </c>
      <c r="G42" s="3479">
        <v>2009</v>
      </c>
      <c r="H42" s="2683">
        <v>1</v>
      </c>
      <c r="I42" s="2683">
        <v>-2.64</v>
      </c>
      <c r="J42" s="2683">
        <v>-2.5299999999999998</v>
      </c>
      <c r="K42" s="2683">
        <v>-3.02</v>
      </c>
      <c r="L42" s="2694">
        <v>1.52</v>
      </c>
      <c r="N42" s="2696">
        <f t="shared" si="11"/>
        <v>-2.64E-2</v>
      </c>
      <c r="O42" s="2697">
        <f t="shared" si="11"/>
        <v>-2.53E-2</v>
      </c>
      <c r="P42" s="2697">
        <f t="shared" si="11"/>
        <v>-3.0200000000000001E-2</v>
      </c>
      <c r="Q42" s="2697">
        <f t="shared" si="11"/>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2603</v>
      </c>
      <c r="B43" s="2723">
        <v>214</v>
      </c>
      <c r="C43" s="2723">
        <v>188</v>
      </c>
      <c r="D43" s="2723">
        <f t="shared" si="9"/>
        <v>188</v>
      </c>
      <c r="E43" s="2723">
        <v>289</v>
      </c>
      <c r="F43" s="2724">
        <v>166</v>
      </c>
      <c r="G43" s="3477">
        <v>2008</v>
      </c>
      <c r="H43" s="2699">
        <v>4</v>
      </c>
      <c r="I43" s="2699">
        <v>1.73</v>
      </c>
      <c r="J43" s="2699">
        <v>0.03</v>
      </c>
      <c r="K43" s="2699">
        <v>2.59</v>
      </c>
      <c r="L43" s="2700">
        <v>-1.66</v>
      </c>
      <c r="N43" s="2688">
        <f t="shared" si="11"/>
        <v>1.7299999999999999E-2</v>
      </c>
      <c r="O43" s="2689">
        <f t="shared" si="11"/>
        <v>2.9999999999999997E-4</v>
      </c>
      <c r="P43" s="2689">
        <f t="shared" si="11"/>
        <v>2.5899999999999999E-2</v>
      </c>
      <c r="Q43" s="2689">
        <f t="shared" si="11"/>
        <v>-1.66E-2</v>
      </c>
      <c r="R43" s="2690"/>
      <c r="S43" s="2691"/>
      <c r="T43" s="2692"/>
      <c r="U43" s="2692"/>
      <c r="V43" s="2692"/>
      <c r="X43" s="2692"/>
      <c r="Y43" s="2692"/>
      <c r="Z43" s="2692"/>
    </row>
    <row r="44" spans="1:26">
      <c r="A44" s="2679" t="s">
        <v>2604</v>
      </c>
      <c r="B44" s="2693">
        <f t="shared" ref="B44:C46" si="25">B43/(1+N43)</f>
        <v>210.36075887152265</v>
      </c>
      <c r="C44" s="2693">
        <f t="shared" si="25"/>
        <v>187.94361691492554</v>
      </c>
      <c r="D44" s="2693">
        <f t="shared" si="9"/>
        <v>187.94361691492554</v>
      </c>
      <c r="E44" s="2693">
        <f t="shared" ref="E44:F46" si="26">E43/(1+P43)</f>
        <v>281.70386977288234</v>
      </c>
      <c r="F44" s="2693">
        <f t="shared" si="26"/>
        <v>168.80211511083994</v>
      </c>
      <c r="G44" s="3478">
        <v>2008</v>
      </c>
      <c r="H44" s="2704">
        <v>3</v>
      </c>
      <c r="I44" s="2704">
        <v>1.96</v>
      </c>
      <c r="J44" s="2704">
        <v>2.36</v>
      </c>
      <c r="K44" s="2704">
        <v>1.82</v>
      </c>
      <c r="L44" s="2705">
        <v>2.2200000000000002</v>
      </c>
      <c r="N44" s="2688">
        <f t="shared" si="11"/>
        <v>1.9599999999999999E-2</v>
      </c>
      <c r="O44" s="2689">
        <f t="shared" si="11"/>
        <v>2.3599999999999999E-2</v>
      </c>
      <c r="P44" s="2689">
        <f t="shared" si="11"/>
        <v>1.8200000000000001E-2</v>
      </c>
      <c r="Q44" s="2689">
        <f t="shared" si="11"/>
        <v>2.2200000000000001E-2</v>
      </c>
      <c r="R44" s="2690"/>
      <c r="S44" s="2688"/>
      <c r="T44" s="2689"/>
      <c r="U44" s="2689"/>
      <c r="V44" s="2689"/>
    </row>
    <row r="45" spans="1:26">
      <c r="A45" s="2679" t="s">
        <v>2605</v>
      </c>
      <c r="B45" s="2693">
        <f t="shared" si="25"/>
        <v>206.31694671589116</v>
      </c>
      <c r="C45" s="2693">
        <f t="shared" si="25"/>
        <v>183.61041121036101</v>
      </c>
      <c r="D45" s="2693">
        <f t="shared" si="9"/>
        <v>183.61041121036101</v>
      </c>
      <c r="E45" s="2693">
        <f t="shared" si="26"/>
        <v>276.66850301795557</v>
      </c>
      <c r="F45" s="2693">
        <f t="shared" si="26"/>
        <v>165.1360938278614</v>
      </c>
      <c r="G45" s="3478">
        <v>2008</v>
      </c>
      <c r="H45" s="2684">
        <v>2</v>
      </c>
      <c r="I45" s="2684">
        <v>4.93</v>
      </c>
      <c r="J45" s="2684">
        <v>7.38</v>
      </c>
      <c r="K45" s="2684">
        <v>3.98</v>
      </c>
      <c r="L45" s="2695">
        <v>6.86</v>
      </c>
      <c r="N45" s="2688">
        <f t="shared" si="11"/>
        <v>4.9299999999999997E-2</v>
      </c>
      <c r="O45" s="2689">
        <f t="shared" si="11"/>
        <v>7.3800000000000004E-2</v>
      </c>
      <c r="P45" s="2689">
        <f t="shared" si="11"/>
        <v>3.9800000000000002E-2</v>
      </c>
      <c r="Q45" s="2689">
        <f t="shared" si="11"/>
        <v>6.8600000000000008E-2</v>
      </c>
      <c r="R45" s="2690"/>
      <c r="S45" s="2688"/>
      <c r="T45" s="2689"/>
      <c r="U45" s="2689"/>
      <c r="V45" s="2689"/>
    </row>
    <row r="46" spans="1:26" s="2729" customFormat="1" ht="13.5" thickBot="1">
      <c r="A46" s="2679" t="s">
        <v>2606</v>
      </c>
      <c r="B46" s="2726">
        <f t="shared" si="25"/>
        <v>196.62341248059772</v>
      </c>
      <c r="C46" s="2726">
        <f t="shared" si="25"/>
        <v>170.99125648199012</v>
      </c>
      <c r="D46" s="2726">
        <f t="shared" si="9"/>
        <v>170.99125648199012</v>
      </c>
      <c r="E46" s="2726">
        <f t="shared" si="26"/>
        <v>266.07857570490052</v>
      </c>
      <c r="F46" s="2726">
        <f t="shared" si="26"/>
        <v>154.53499328828505</v>
      </c>
      <c r="G46" s="3479">
        <v>2008</v>
      </c>
      <c r="H46" s="2727">
        <v>1</v>
      </c>
      <c r="I46" s="2727">
        <v>4.1399999999999997</v>
      </c>
      <c r="J46" s="2727">
        <v>3.45</v>
      </c>
      <c r="K46" s="2727">
        <v>4.95</v>
      </c>
      <c r="L46" s="2728">
        <v>4.82</v>
      </c>
      <c r="N46" s="2730">
        <f t="shared" si="11"/>
        <v>4.1399999999999999E-2</v>
      </c>
      <c r="O46" s="2731">
        <f t="shared" si="11"/>
        <v>3.4500000000000003E-2</v>
      </c>
      <c r="P46" s="2731">
        <f t="shared" si="11"/>
        <v>4.9500000000000002E-2</v>
      </c>
      <c r="Q46" s="2731">
        <f t="shared" si="11"/>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2607</v>
      </c>
      <c r="B47" s="2685">
        <v>188</v>
      </c>
      <c r="C47" s="2685">
        <v>165</v>
      </c>
      <c r="D47" s="2685">
        <f t="shared" si="9"/>
        <v>165</v>
      </c>
      <c r="E47" s="2685">
        <v>254</v>
      </c>
      <c r="F47" s="2686">
        <v>148</v>
      </c>
      <c r="G47" s="3477">
        <v>2007</v>
      </c>
      <c r="H47" s="2734">
        <v>4</v>
      </c>
      <c r="I47" s="2734">
        <v>5.51</v>
      </c>
      <c r="J47" s="2734">
        <v>4.8899999999999997</v>
      </c>
      <c r="K47" s="2734">
        <v>6.43</v>
      </c>
      <c r="L47" s="2735">
        <v>5.36</v>
      </c>
      <c r="N47" s="2736">
        <f t="shared" ref="N47:O50" si="27">B47/B48-1</f>
        <v>4.1339718365245526E-2</v>
      </c>
      <c r="O47" s="2737">
        <f t="shared" si="27"/>
        <v>4.0324492593776018E-2</v>
      </c>
      <c r="P47" s="2737">
        <f t="shared" ref="P47:Q50" si="28">E47/E48-1</f>
        <v>6.1625555347990968E-2</v>
      </c>
      <c r="Q47" s="2737">
        <f t="shared" si="28"/>
        <v>4.6757569250590603E-2</v>
      </c>
      <c r="R47" s="2690"/>
      <c r="S47" s="2691"/>
      <c r="T47" s="2692"/>
      <c r="U47" s="2692"/>
      <c r="V47" s="2692"/>
      <c r="X47" s="2692"/>
      <c r="Y47" s="2692"/>
      <c r="Z47" s="2692"/>
    </row>
    <row r="48" spans="1:26">
      <c r="A48" s="2679" t="s">
        <v>2608</v>
      </c>
      <c r="B48" s="2693">
        <f t="shared" ref="B48:C50" si="29">B49+(B$47-B$51)*I48/SUM(I$47:I$50)</f>
        <v>180.5366651097618</v>
      </c>
      <c r="C48" s="2693">
        <f t="shared" si="29"/>
        <v>158.60435967302453</v>
      </c>
      <c r="D48" s="2693">
        <f t="shared" si="9"/>
        <v>158.60435967302453</v>
      </c>
      <c r="E48" s="2693">
        <f t="shared" ref="E48:F50" si="30">E49+(E$47-E$51)*K48/SUM(K$47:K$50)</f>
        <v>239.25573260785075</v>
      </c>
      <c r="F48" s="2693">
        <f t="shared" si="30"/>
        <v>141.38899430740037</v>
      </c>
      <c r="G48" s="3478">
        <v>2007</v>
      </c>
      <c r="H48" s="2704">
        <v>3</v>
      </c>
      <c r="I48" s="2704">
        <v>8.65</v>
      </c>
      <c r="J48" s="2704">
        <v>8.06</v>
      </c>
      <c r="K48" s="2704">
        <v>9.94</v>
      </c>
      <c r="L48" s="2705">
        <v>5.8</v>
      </c>
      <c r="N48" s="2736">
        <f t="shared" si="27"/>
        <v>6.940217571740015E-2</v>
      </c>
      <c r="O48" s="2737">
        <f t="shared" si="27"/>
        <v>7.1197482471153428E-2</v>
      </c>
      <c r="P48" s="2737">
        <f t="shared" si="28"/>
        <v>0.10529679922579582</v>
      </c>
      <c r="Q48" s="2737">
        <f t="shared" si="28"/>
        <v>5.3292245059512133E-2</v>
      </c>
      <c r="R48" s="2690"/>
      <c r="S48" s="2688"/>
      <c r="T48" s="2689"/>
      <c r="U48" s="2689"/>
      <c r="V48" s="2689"/>
      <c r="X48" s="2738"/>
      <c r="Y48" s="2738"/>
      <c r="Z48" s="2738"/>
    </row>
    <row r="49" spans="1:26">
      <c r="A49" s="2679" t="s">
        <v>2609</v>
      </c>
      <c r="B49" s="2693">
        <f t="shared" si="29"/>
        <v>168.82017748715555</v>
      </c>
      <c r="C49" s="2693">
        <f t="shared" si="29"/>
        <v>148.06267029972753</v>
      </c>
      <c r="D49" s="2693">
        <f t="shared" si="9"/>
        <v>148.06267029972753</v>
      </c>
      <c r="E49" s="2693">
        <f t="shared" si="30"/>
        <v>216.46288379323747</v>
      </c>
      <c r="F49" s="2693">
        <f t="shared" si="30"/>
        <v>134.23529411764704</v>
      </c>
      <c r="G49" s="3478">
        <v>2007</v>
      </c>
      <c r="H49" s="2684">
        <v>2</v>
      </c>
      <c r="I49" s="2684">
        <v>3.67</v>
      </c>
      <c r="J49" s="2684">
        <v>2.3199999999999998</v>
      </c>
      <c r="K49" s="2684">
        <v>5.0199999999999996</v>
      </c>
      <c r="L49" s="2695">
        <v>6.71</v>
      </c>
      <c r="N49" s="2736">
        <f t="shared" si="27"/>
        <v>3.0339138143848032E-2</v>
      </c>
      <c r="O49" s="2737">
        <f t="shared" si="27"/>
        <v>2.0922341588790472E-2</v>
      </c>
      <c r="P49" s="2737">
        <f t="shared" si="28"/>
        <v>5.6164796592717003E-2</v>
      </c>
      <c r="Q49" s="2737">
        <f t="shared" si="28"/>
        <v>6.5704536723887319E-2</v>
      </c>
      <c r="R49" s="2690"/>
      <c r="S49" s="2688"/>
      <c r="T49" s="2689"/>
      <c r="U49" s="2689"/>
      <c r="V49" s="2689"/>
      <c r="X49" s="2738"/>
      <c r="Y49" s="2738"/>
      <c r="Z49" s="2738"/>
    </row>
    <row r="50" spans="1:26">
      <c r="A50" s="2679" t="s">
        <v>2610</v>
      </c>
      <c r="B50" s="2693">
        <f t="shared" si="29"/>
        <v>163.84913591779542</v>
      </c>
      <c r="C50" s="2693">
        <f t="shared" si="29"/>
        <v>145.0283378746594</v>
      </c>
      <c r="D50" s="2693">
        <f t="shared" si="9"/>
        <v>145.0283378746594</v>
      </c>
      <c r="E50" s="2693">
        <f t="shared" si="30"/>
        <v>204.95180722891567</v>
      </c>
      <c r="F50" s="2693">
        <f t="shared" si="30"/>
        <v>125.95920303605313</v>
      </c>
      <c r="G50" s="3479">
        <v>2007</v>
      </c>
      <c r="H50" s="2683">
        <v>1</v>
      </c>
      <c r="I50" s="2683">
        <v>3.58</v>
      </c>
      <c r="J50" s="2683">
        <v>3.08</v>
      </c>
      <c r="K50" s="2683">
        <v>4.34</v>
      </c>
      <c r="L50" s="2694">
        <v>3.21</v>
      </c>
      <c r="N50" s="2739">
        <f t="shared" si="27"/>
        <v>3.0497710174814063E-2</v>
      </c>
      <c r="O50" s="2740">
        <f t="shared" si="27"/>
        <v>2.8569772160704998E-2</v>
      </c>
      <c r="P50" s="2740">
        <f t="shared" si="28"/>
        <v>5.1034908866234296E-2</v>
      </c>
      <c r="Q50" s="2740">
        <f t="shared" si="28"/>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2611</v>
      </c>
      <c r="B51" s="2707">
        <v>159</v>
      </c>
      <c r="C51" s="2707">
        <v>141</v>
      </c>
      <c r="D51" s="2707">
        <f t="shared" si="9"/>
        <v>141</v>
      </c>
      <c r="E51" s="2707">
        <v>195</v>
      </c>
      <c r="F51" s="2708">
        <v>122</v>
      </c>
      <c r="G51" s="3477">
        <v>2006</v>
      </c>
      <c r="H51" s="2699">
        <v>4</v>
      </c>
      <c r="I51" s="2699">
        <v>3.79</v>
      </c>
      <c r="J51" s="2699">
        <v>2.21</v>
      </c>
      <c r="K51" s="2699">
        <v>5.65</v>
      </c>
      <c r="L51" s="2700">
        <v>5.41</v>
      </c>
      <c r="N51" s="2736">
        <f t="shared" ref="N51:O54" si="31">I51/SUM(I$51:I$54)*(B$51/B$55-1)</f>
        <v>7.245466462748526E-2</v>
      </c>
      <c r="O51" s="2737">
        <f t="shared" si="31"/>
        <v>2.3237230038062766E-2</v>
      </c>
      <c r="P51" s="2737">
        <f t="shared" ref="P51:Q54" si="32">K51/SUM(K$51:K$54)*(E$51/E$55-1)</f>
        <v>0.16146893866323722</v>
      </c>
      <c r="Q51" s="2737">
        <f t="shared" si="32"/>
        <v>5.0755230321793784E-2</v>
      </c>
      <c r="R51" s="2690"/>
      <c r="S51" s="2691"/>
      <c r="T51" s="2692"/>
      <c r="U51" s="2692"/>
      <c r="V51" s="2692"/>
      <c r="X51" s="2738"/>
      <c r="Y51" s="2738"/>
      <c r="Z51" s="2738"/>
    </row>
    <row r="52" spans="1:26">
      <c r="A52" s="2679" t="s">
        <v>2612</v>
      </c>
      <c r="B52" s="2693">
        <f t="shared" ref="B52:C54" si="33">B53+(B$51-B$55)*I52/SUM(I$51:I$54)</f>
        <v>149.00125628140702</v>
      </c>
      <c r="C52" s="2693">
        <f t="shared" si="33"/>
        <v>137.95592286501378</v>
      </c>
      <c r="D52" s="2693">
        <f t="shared" si="9"/>
        <v>137.95592286501378</v>
      </c>
      <c r="E52" s="2693">
        <f t="shared" ref="E52:F54" si="34">E53+(E$51-E$55)*K52/SUM(K$51:K$54)</f>
        <v>169.97231450719823</v>
      </c>
      <c r="F52" s="2693">
        <f t="shared" si="34"/>
        <v>116.21390374331551</v>
      </c>
      <c r="G52" s="3478">
        <v>2006</v>
      </c>
      <c r="H52" s="2704">
        <v>3</v>
      </c>
      <c r="I52" s="2704">
        <v>0.92</v>
      </c>
      <c r="J52" s="2704">
        <v>1.08</v>
      </c>
      <c r="K52" s="2704">
        <v>0.73</v>
      </c>
      <c r="L52" s="2705">
        <v>1.08</v>
      </c>
      <c r="N52" s="2736">
        <f t="shared" si="31"/>
        <v>1.7587939698492462E-2</v>
      </c>
      <c r="O52" s="2737">
        <f t="shared" si="31"/>
        <v>1.1355750425840628E-2</v>
      </c>
      <c r="P52" s="2737">
        <f t="shared" si="32"/>
        <v>2.0862358446754544E-2</v>
      </c>
      <c r="Q52" s="2737">
        <f t="shared" si="32"/>
        <v>1.0132282578103011E-2</v>
      </c>
      <c r="R52" s="2690"/>
      <c r="S52" s="2688"/>
      <c r="T52" s="2689"/>
      <c r="U52" s="2689"/>
      <c r="V52" s="2689"/>
      <c r="X52" s="2738"/>
      <c r="Y52" s="2738"/>
      <c r="Z52" s="2738"/>
    </row>
    <row r="53" spans="1:26">
      <c r="A53" s="2679" t="s">
        <v>2613</v>
      </c>
      <c r="B53" s="2693">
        <f t="shared" si="33"/>
        <v>146.57412060301507</v>
      </c>
      <c r="C53" s="2693">
        <f t="shared" si="33"/>
        <v>136.46831955922866</v>
      </c>
      <c r="D53" s="2693">
        <f t="shared" si="9"/>
        <v>136.46831955922866</v>
      </c>
      <c r="E53" s="2693">
        <f t="shared" si="34"/>
        <v>166.73864894795128</v>
      </c>
      <c r="F53" s="2693">
        <f t="shared" si="34"/>
        <v>115.05882352941177</v>
      </c>
      <c r="G53" s="3478">
        <v>2006</v>
      </c>
      <c r="H53" s="2684">
        <v>2</v>
      </c>
      <c r="I53" s="2684">
        <v>0.96</v>
      </c>
      <c r="J53" s="2684">
        <v>0.25</v>
      </c>
      <c r="K53" s="2684">
        <v>1.9</v>
      </c>
      <c r="L53" s="2695">
        <v>0.95</v>
      </c>
      <c r="N53" s="2736">
        <f t="shared" si="31"/>
        <v>1.8352632728861701E-2</v>
      </c>
      <c r="O53" s="2737">
        <f t="shared" si="31"/>
        <v>2.6286459319075526E-3</v>
      </c>
      <c r="P53" s="2737">
        <f t="shared" si="32"/>
        <v>5.4299289107991269E-2</v>
      </c>
      <c r="Q53" s="2737">
        <f t="shared" si="32"/>
        <v>8.9126559714794995E-3</v>
      </c>
      <c r="R53" s="2690"/>
      <c r="S53" s="2688"/>
      <c r="T53" s="2689"/>
      <c r="U53" s="2689"/>
      <c r="V53" s="2689"/>
      <c r="X53" s="2738"/>
      <c r="Y53" s="2738"/>
      <c r="Z53" s="2738"/>
    </row>
    <row r="54" spans="1:26">
      <c r="A54" s="2679" t="s">
        <v>2614</v>
      </c>
      <c r="B54" s="2693">
        <f t="shared" si="33"/>
        <v>144.04145728643215</v>
      </c>
      <c r="C54" s="2693">
        <f t="shared" si="33"/>
        <v>136.12396694214877</v>
      </c>
      <c r="D54" s="2693">
        <f t="shared" si="9"/>
        <v>136.12396694214877</v>
      </c>
      <c r="E54" s="2693">
        <f t="shared" si="34"/>
        <v>158.32225913621264</v>
      </c>
      <c r="F54" s="2693">
        <f t="shared" si="34"/>
        <v>114.04278074866311</v>
      </c>
      <c r="G54" s="3479">
        <v>2006</v>
      </c>
      <c r="H54" s="2683">
        <v>1</v>
      </c>
      <c r="I54" s="2683">
        <v>2.29</v>
      </c>
      <c r="J54" s="2683">
        <v>3.72</v>
      </c>
      <c r="K54" s="2683">
        <v>0.75</v>
      </c>
      <c r="L54" s="2694">
        <v>0.04</v>
      </c>
      <c r="N54" s="2739">
        <f t="shared" si="31"/>
        <v>4.3778675988638847E-2</v>
      </c>
      <c r="O54" s="2740">
        <f t="shared" si="31"/>
        <v>3.9114251466784385E-2</v>
      </c>
      <c r="P54" s="2740">
        <f t="shared" si="32"/>
        <v>2.1433929911049188E-2</v>
      </c>
      <c r="Q54" s="2740">
        <f t="shared" si="32"/>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2615</v>
      </c>
      <c r="B55" s="2707">
        <v>138</v>
      </c>
      <c r="C55" s="2707">
        <v>131</v>
      </c>
      <c r="D55" s="2707">
        <f t="shared" si="9"/>
        <v>131</v>
      </c>
      <c r="E55" s="2707">
        <v>155</v>
      </c>
      <c r="F55" s="2708">
        <v>114</v>
      </c>
      <c r="G55" s="3477">
        <v>2005</v>
      </c>
      <c r="H55" s="2699">
        <v>4</v>
      </c>
      <c r="I55" s="2699">
        <v>3.29</v>
      </c>
      <c r="J55" s="2699">
        <v>1.44</v>
      </c>
      <c r="K55" s="2699">
        <v>0.66</v>
      </c>
      <c r="L55" s="2700">
        <v>7.78</v>
      </c>
      <c r="N55" s="2736">
        <f t="shared" ref="N55:O58" si="35">I55/SUM(I$55:I$58)*(B$55/B$59-1)</f>
        <v>9.9404603216919935E-2</v>
      </c>
      <c r="O55" s="2737">
        <f t="shared" si="35"/>
        <v>4.7636550760861554E-2</v>
      </c>
      <c r="P55" s="2737">
        <f t="shared" ref="P55:Q58" si="36">K55/SUM(K$55:K$58)*(E$55/E$59-1)</f>
        <v>8.3756345177664976E-2</v>
      </c>
      <c r="Q55" s="2737">
        <f t="shared" si="36"/>
        <v>5.2148766661559584E-2</v>
      </c>
      <c r="R55" s="2690"/>
      <c r="S55" s="2691"/>
      <c r="T55" s="2692"/>
      <c r="U55" s="2692"/>
      <c r="V55" s="2692"/>
      <c r="X55" s="2738"/>
      <c r="Y55" s="2738"/>
      <c r="Z55" s="2738"/>
    </row>
    <row r="56" spans="1:26">
      <c r="A56" s="2679" t="s">
        <v>2616</v>
      </c>
      <c r="B56" s="2693">
        <f t="shared" ref="B56:C58" si="37">B57+(B$55-B$59)*I56/SUM(I$55:I$58)</f>
        <v>125.9720430107527</v>
      </c>
      <c r="C56" s="2693">
        <f t="shared" si="37"/>
        <v>125.1883408071749</v>
      </c>
      <c r="D56" s="2693">
        <f t="shared" si="9"/>
        <v>125.1883408071749</v>
      </c>
      <c r="E56" s="2693">
        <f t="shared" ref="E56:F58" si="38">E57+(E$55-E$59)*K56/SUM(K$55:K$58)</f>
        <v>144.61421319796952</v>
      </c>
      <c r="F56" s="2693">
        <f t="shared" si="38"/>
        <v>108.42008196721311</v>
      </c>
      <c r="G56" s="3478">
        <v>2005</v>
      </c>
      <c r="H56" s="2704">
        <v>3</v>
      </c>
      <c r="I56" s="2704">
        <v>0.46</v>
      </c>
      <c r="J56" s="2704">
        <v>0.32</v>
      </c>
      <c r="K56" s="2704">
        <v>0.42</v>
      </c>
      <c r="L56" s="2705">
        <v>0.64</v>
      </c>
      <c r="N56" s="2736">
        <f t="shared" si="35"/>
        <v>1.3898515951301874E-2</v>
      </c>
      <c r="O56" s="2737">
        <f t="shared" si="35"/>
        <v>1.0585900169080346E-2</v>
      </c>
      <c r="P56" s="2737">
        <f t="shared" si="36"/>
        <v>5.3299492385786795E-2</v>
      </c>
      <c r="Q56" s="2737">
        <f t="shared" si="36"/>
        <v>4.2898728359123568E-3</v>
      </c>
      <c r="R56" s="2690"/>
      <c r="S56" s="2688"/>
      <c r="T56" s="2689"/>
      <c r="U56" s="2689"/>
      <c r="V56" s="2689"/>
      <c r="X56" s="2738"/>
      <c r="Y56" s="2738"/>
      <c r="Z56" s="2738"/>
    </row>
    <row r="57" spans="1:26">
      <c r="A57" s="2679" t="s">
        <v>2617</v>
      </c>
      <c r="B57" s="2693">
        <f t="shared" si="37"/>
        <v>124.29032258064517</v>
      </c>
      <c r="C57" s="2693">
        <f t="shared" si="37"/>
        <v>123.8968609865471</v>
      </c>
      <c r="D57" s="2693">
        <f t="shared" si="9"/>
        <v>123.8968609865471</v>
      </c>
      <c r="E57" s="2693">
        <f t="shared" si="38"/>
        <v>138.00507614213197</v>
      </c>
      <c r="F57" s="2693">
        <f t="shared" si="38"/>
        <v>107.96106557377048</v>
      </c>
      <c r="G57" s="3478">
        <v>2005</v>
      </c>
      <c r="H57" s="2684">
        <v>2</v>
      </c>
      <c r="I57" s="2684">
        <v>0.47</v>
      </c>
      <c r="J57" s="2684">
        <v>0.1</v>
      </c>
      <c r="K57" s="2684">
        <v>0.52</v>
      </c>
      <c r="L57" s="2695">
        <v>0.79</v>
      </c>
      <c r="N57" s="2736">
        <f t="shared" si="35"/>
        <v>1.420065760241713E-2</v>
      </c>
      <c r="O57" s="2737">
        <f t="shared" si="35"/>
        <v>3.3080938028376083E-3</v>
      </c>
      <c r="P57" s="2737">
        <f t="shared" si="36"/>
        <v>6.598984771573603E-2</v>
      </c>
      <c r="Q57" s="2737">
        <f t="shared" si="36"/>
        <v>5.2953117818293153E-3</v>
      </c>
      <c r="R57" s="2690"/>
      <c r="S57" s="2688"/>
      <c r="T57" s="2689"/>
      <c r="U57" s="2689"/>
      <c r="V57" s="2689"/>
      <c r="X57" s="2738"/>
      <c r="Y57" s="2738"/>
      <c r="Z57" s="2738"/>
    </row>
    <row r="58" spans="1:26">
      <c r="A58" s="2679" t="s">
        <v>2618</v>
      </c>
      <c r="B58" s="2693">
        <f t="shared" si="37"/>
        <v>122.57204301075269</v>
      </c>
      <c r="C58" s="2693">
        <f t="shared" si="37"/>
        <v>123.4932735426009</v>
      </c>
      <c r="D58" s="2693">
        <f t="shared" si="9"/>
        <v>123.4932735426009</v>
      </c>
      <c r="E58" s="2693">
        <f t="shared" si="38"/>
        <v>129.82233502538071</v>
      </c>
      <c r="F58" s="2693">
        <f t="shared" si="38"/>
        <v>107.39446721311475</v>
      </c>
      <c r="G58" s="3479">
        <v>2005</v>
      </c>
      <c r="H58" s="2683">
        <v>1</v>
      </c>
      <c r="I58" s="2683">
        <v>0.43</v>
      </c>
      <c r="J58" s="2683">
        <v>0.37</v>
      </c>
      <c r="K58" s="2683">
        <v>0.37</v>
      </c>
      <c r="L58" s="2694">
        <v>0.55000000000000004</v>
      </c>
      <c r="N58" s="2739">
        <f t="shared" si="35"/>
        <v>1.2992090997956099E-2</v>
      </c>
      <c r="O58" s="2740">
        <f t="shared" si="35"/>
        <v>1.2239947070499151E-2</v>
      </c>
      <c r="P58" s="2740">
        <f t="shared" si="36"/>
        <v>4.6954314720812178E-2</v>
      </c>
      <c r="Q58" s="2740">
        <f t="shared" si="36"/>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2619</v>
      </c>
      <c r="B59" s="2723">
        <v>121</v>
      </c>
      <c r="C59" s="2723">
        <v>122</v>
      </c>
      <c r="D59" s="2723">
        <f t="shared" si="9"/>
        <v>122</v>
      </c>
      <c r="E59" s="2723">
        <v>124</v>
      </c>
      <c r="F59" s="2724">
        <v>107</v>
      </c>
      <c r="G59" s="3477">
        <v>2004</v>
      </c>
      <c r="H59" s="2699">
        <v>4</v>
      </c>
      <c r="I59" s="2699">
        <v>0.33</v>
      </c>
      <c r="J59" s="2699">
        <v>0.5</v>
      </c>
      <c r="K59" s="2699">
        <v>0.5</v>
      </c>
      <c r="L59" s="2700">
        <v>0</v>
      </c>
      <c r="N59" s="2736">
        <f t="shared" ref="N59:O62" si="39">I59/SUM(I$59:I$62)*(B$59/B$63-1)</f>
        <v>1.3391770148526898E-2</v>
      </c>
      <c r="O59" s="2737">
        <f t="shared" si="39"/>
        <v>1.063264221158958E-2</v>
      </c>
      <c r="P59" s="2737">
        <f t="shared" ref="P59:Q62" si="40">K59/SUM(K$59:K$62)*(E$59/E$63-1)</f>
        <v>2.2244466688911134E-2</v>
      </c>
      <c r="Q59" s="2737">
        <f t="shared" si="40"/>
        <v>0</v>
      </c>
      <c r="R59" s="2690"/>
      <c r="S59" s="2691"/>
      <c r="T59" s="2692"/>
      <c r="U59" s="2692"/>
      <c r="V59" s="2692"/>
      <c r="X59" s="2738"/>
      <c r="Y59" s="2738"/>
      <c r="Z59" s="2738"/>
    </row>
    <row r="60" spans="1:26">
      <c r="A60" s="2679" t="s">
        <v>2620</v>
      </c>
      <c r="B60" s="2693">
        <f t="shared" ref="B60:C62" si="41">B61+(B$59-B$63)*I60/SUM(I$59:I$62)</f>
        <v>119.51351351351352</v>
      </c>
      <c r="C60" s="2693">
        <f t="shared" si="41"/>
        <v>120.7878787878788</v>
      </c>
      <c r="D60" s="2693">
        <f t="shared" si="9"/>
        <v>120.7878787878788</v>
      </c>
      <c r="E60" s="2693">
        <f t="shared" ref="E60:F62" si="42">E61+(E$59-E$63)*K60/SUM(K$59:K$62)</f>
        <v>121.5975975975976</v>
      </c>
      <c r="F60" s="2693">
        <f t="shared" si="42"/>
        <v>107</v>
      </c>
      <c r="G60" s="3478">
        <v>2004</v>
      </c>
      <c r="H60" s="2704">
        <v>3</v>
      </c>
      <c r="I60" s="2704">
        <v>0.56000000000000005</v>
      </c>
      <c r="J60" s="2704">
        <v>0.8</v>
      </c>
      <c r="K60" s="2704">
        <v>0.83</v>
      </c>
      <c r="L60" s="2705">
        <v>0.06</v>
      </c>
      <c r="N60" s="2736">
        <f t="shared" si="39"/>
        <v>2.2725428130833527E-2</v>
      </c>
      <c r="O60" s="2737">
        <f t="shared" si="39"/>
        <v>1.7012227538543329E-2</v>
      </c>
      <c r="P60" s="2737">
        <f t="shared" si="40"/>
        <v>3.6925814703592477E-2</v>
      </c>
      <c r="Q60" s="2737">
        <f t="shared" si="40"/>
        <v>2.8846153846153744E-2</v>
      </c>
      <c r="R60" s="2690"/>
      <c r="S60" s="2688"/>
      <c r="T60" s="2689"/>
      <c r="U60" s="2689"/>
      <c r="V60" s="2689"/>
      <c r="X60" s="2738"/>
      <c r="Y60" s="2738"/>
      <c r="Z60" s="2738"/>
    </row>
    <row r="61" spans="1:26">
      <c r="A61" s="2679" t="s">
        <v>2621</v>
      </c>
      <c r="B61" s="2693">
        <f t="shared" si="41"/>
        <v>116.99099099099099</v>
      </c>
      <c r="C61" s="2693">
        <f t="shared" si="41"/>
        <v>118.84848484848486</v>
      </c>
      <c r="D61" s="2693">
        <f t="shared" si="9"/>
        <v>118.84848484848486</v>
      </c>
      <c r="E61" s="2693">
        <f t="shared" si="42"/>
        <v>117.60960960960961</v>
      </c>
      <c r="F61" s="2693">
        <f t="shared" si="42"/>
        <v>104</v>
      </c>
      <c r="G61" s="3478">
        <v>2004</v>
      </c>
      <c r="H61" s="2684">
        <v>2</v>
      </c>
      <c r="I61" s="2684">
        <v>1</v>
      </c>
      <c r="J61" s="2684">
        <v>1.5</v>
      </c>
      <c r="K61" s="2684">
        <v>1.5</v>
      </c>
      <c r="L61" s="2695">
        <v>0</v>
      </c>
      <c r="N61" s="2736">
        <f t="shared" si="39"/>
        <v>4.0581121662202721E-2</v>
      </c>
      <c r="O61" s="2737">
        <f t="shared" si="39"/>
        <v>3.1897926634768738E-2</v>
      </c>
      <c r="P61" s="2737">
        <f t="shared" si="40"/>
        <v>6.6733400066733395E-2</v>
      </c>
      <c r="Q61" s="2737">
        <f t="shared" si="40"/>
        <v>0</v>
      </c>
      <c r="R61" s="2690"/>
      <c r="S61" s="2688"/>
      <c r="T61" s="2689"/>
      <c r="U61" s="2689"/>
      <c r="V61" s="2689"/>
      <c r="X61" s="2738"/>
      <c r="Y61" s="2738"/>
      <c r="Z61" s="2738"/>
    </row>
    <row r="62" spans="1:26" s="2729" customFormat="1" ht="13.5" thickBot="1">
      <c r="A62" s="2679" t="s">
        <v>2622</v>
      </c>
      <c r="B62" s="2726">
        <f t="shared" si="41"/>
        <v>112.48648648648648</v>
      </c>
      <c r="C62" s="2726">
        <f t="shared" si="41"/>
        <v>115.21212121212122</v>
      </c>
      <c r="D62" s="2726">
        <f t="shared" si="9"/>
        <v>115.21212121212122</v>
      </c>
      <c r="E62" s="2726">
        <f t="shared" si="42"/>
        <v>110.4024024024024</v>
      </c>
      <c r="F62" s="2726">
        <f t="shared" si="42"/>
        <v>104</v>
      </c>
      <c r="G62" s="3479">
        <v>2004</v>
      </c>
      <c r="H62" s="2727">
        <v>1</v>
      </c>
      <c r="I62" s="2727">
        <v>0.33</v>
      </c>
      <c r="J62" s="2727">
        <v>0.5</v>
      </c>
      <c r="K62" s="2727">
        <v>0.5</v>
      </c>
      <c r="L62" s="2728">
        <v>0</v>
      </c>
      <c r="N62" s="2741">
        <f t="shared" si="39"/>
        <v>1.3391770148526898E-2</v>
      </c>
      <c r="O62" s="2742">
        <f t="shared" si="39"/>
        <v>1.063264221158958E-2</v>
      </c>
      <c r="P62" s="2742">
        <f t="shared" si="40"/>
        <v>2.2244466688911134E-2</v>
      </c>
      <c r="Q62" s="2742">
        <f t="shared" si="40"/>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2623</v>
      </c>
      <c r="B63" s="2744">
        <v>111</v>
      </c>
      <c r="C63" s="2744">
        <v>114</v>
      </c>
      <c r="D63" s="2744">
        <f t="shared" si="9"/>
        <v>114</v>
      </c>
      <c r="E63" s="2744">
        <v>108</v>
      </c>
      <c r="F63" s="2745">
        <v>104</v>
      </c>
      <c r="G63" s="3477">
        <v>2003</v>
      </c>
      <c r="H63" s="2734">
        <v>4</v>
      </c>
      <c r="I63" s="2746"/>
      <c r="J63" s="2746"/>
      <c r="K63" s="2746"/>
      <c r="L63" s="2746"/>
      <c r="N63" s="2747"/>
      <c r="O63" s="2746"/>
      <c r="P63" s="2746"/>
      <c r="Q63" s="2746"/>
      <c r="S63" s="2747"/>
      <c r="T63" s="2746"/>
      <c r="U63" s="2746"/>
      <c r="V63" s="2746"/>
      <c r="X63" s="2738"/>
      <c r="Y63" s="2738"/>
      <c r="Z63" s="2738"/>
    </row>
    <row r="64" spans="1:26">
      <c r="A64" s="2679" t="s">
        <v>2624</v>
      </c>
      <c r="B64" s="2748">
        <f t="shared" ref="B64:C66" si="43">B65+(B$63-B$67)/4</f>
        <v>109.75</v>
      </c>
      <c r="C64" s="2748">
        <f t="shared" si="43"/>
        <v>112.25</v>
      </c>
      <c r="D64" s="2748">
        <f t="shared" si="9"/>
        <v>112.25</v>
      </c>
      <c r="E64" s="2748">
        <f t="shared" ref="E64:F66" si="44">E65+(E$63-E$67)/4</f>
        <v>107.25</v>
      </c>
      <c r="F64" s="2748">
        <f t="shared" si="44"/>
        <v>103.5</v>
      </c>
      <c r="G64" s="3478">
        <v>2003</v>
      </c>
      <c r="H64" s="2704">
        <v>3</v>
      </c>
      <c r="I64" s="2746"/>
      <c r="J64" s="2746"/>
      <c r="K64" s="2746"/>
      <c r="L64" s="2746"/>
      <c r="X64" s="2738"/>
      <c r="Y64" s="2738"/>
      <c r="Z64" s="2738"/>
    </row>
    <row r="65" spans="1:26">
      <c r="A65" s="2679" t="s">
        <v>2625</v>
      </c>
      <c r="B65" s="2748">
        <f t="shared" si="43"/>
        <v>108.5</v>
      </c>
      <c r="C65" s="2748">
        <f t="shared" si="43"/>
        <v>110.5</v>
      </c>
      <c r="D65" s="2748">
        <f t="shared" si="9"/>
        <v>110.5</v>
      </c>
      <c r="E65" s="2748">
        <f t="shared" si="44"/>
        <v>106.5</v>
      </c>
      <c r="F65" s="2748">
        <f t="shared" si="44"/>
        <v>103</v>
      </c>
      <c r="G65" s="3478">
        <v>2003</v>
      </c>
      <c r="H65" s="2684">
        <v>2</v>
      </c>
      <c r="I65" s="2746"/>
      <c r="J65" s="2746"/>
      <c r="K65" s="2746"/>
      <c r="L65" s="2746"/>
      <c r="X65" s="2738"/>
      <c r="Y65" s="2738"/>
      <c r="Z65" s="2738"/>
    </row>
    <row r="66" spans="1:26" ht="13.5" thickBot="1">
      <c r="A66" s="2679" t="s">
        <v>2626</v>
      </c>
      <c r="B66" s="2748">
        <f t="shared" si="43"/>
        <v>107.25</v>
      </c>
      <c r="C66" s="2748">
        <f t="shared" si="43"/>
        <v>108.75</v>
      </c>
      <c r="D66" s="2748">
        <f t="shared" si="9"/>
        <v>108.75</v>
      </c>
      <c r="E66" s="2748">
        <f t="shared" si="44"/>
        <v>105.75</v>
      </c>
      <c r="F66" s="2748">
        <f t="shared" si="44"/>
        <v>102.5</v>
      </c>
      <c r="G66" s="3479">
        <v>2003</v>
      </c>
      <c r="H66" s="2749">
        <v>1</v>
      </c>
      <c r="I66" s="2746"/>
      <c r="J66" s="2746"/>
      <c r="K66" s="2746"/>
      <c r="L66" s="2746"/>
      <c r="S66" s="2688"/>
      <c r="T66" s="2689"/>
      <c r="U66" s="2689"/>
      <c r="X66" s="2738"/>
      <c r="Y66" s="2738"/>
      <c r="Z66" s="2738"/>
    </row>
    <row r="67" spans="1:26" ht="13.5" thickBot="1">
      <c r="A67" s="2679" t="s">
        <v>2627</v>
      </c>
      <c r="B67" s="2750">
        <v>106</v>
      </c>
      <c r="C67" s="2750">
        <v>107</v>
      </c>
      <c r="D67" s="2750">
        <f t="shared" si="9"/>
        <v>107</v>
      </c>
      <c r="E67" s="2750">
        <v>105</v>
      </c>
      <c r="F67" s="2751">
        <v>102</v>
      </c>
      <c r="G67" s="3477">
        <v>2002</v>
      </c>
      <c r="H67" s="2699">
        <v>4</v>
      </c>
      <c r="I67" s="2746"/>
      <c r="J67" s="2746"/>
      <c r="K67" s="2746"/>
      <c r="L67" s="2746"/>
      <c r="N67" s="2747"/>
      <c r="O67" s="2746"/>
      <c r="P67" s="2746"/>
      <c r="Q67" s="2746"/>
      <c r="S67" s="2747"/>
      <c r="T67" s="2746"/>
      <c r="U67" s="2746"/>
      <c r="V67" s="2746"/>
      <c r="X67" s="2738"/>
      <c r="Y67" s="2738"/>
      <c r="Z67" s="2738"/>
    </row>
    <row r="68" spans="1:26">
      <c r="A68" s="2679" t="s">
        <v>2628</v>
      </c>
      <c r="B68" s="2748">
        <f t="shared" ref="B68:C70" si="45">B69+(B$67-B$71)/4</f>
        <v>105</v>
      </c>
      <c r="C68" s="2748">
        <f t="shared" si="45"/>
        <v>106</v>
      </c>
      <c r="D68" s="2748">
        <f t="shared" si="9"/>
        <v>106</v>
      </c>
      <c r="E68" s="2748">
        <f t="shared" ref="E68:F70" si="46">E69+(E$67-E$71)/4</f>
        <v>104.5</v>
      </c>
      <c r="F68" s="2748">
        <f t="shared" si="46"/>
        <v>101.5</v>
      </c>
      <c r="G68" s="3478">
        <v>2002</v>
      </c>
      <c r="H68" s="2704">
        <v>3</v>
      </c>
      <c r="I68" s="2746"/>
      <c r="J68" s="2746"/>
      <c r="K68" s="2746"/>
      <c r="L68" s="2746"/>
      <c r="X68" s="2738"/>
      <c r="Y68" s="2738"/>
      <c r="Z68" s="2738"/>
    </row>
    <row r="69" spans="1:26">
      <c r="A69" s="2679" t="s">
        <v>2629</v>
      </c>
      <c r="B69" s="2748">
        <f t="shared" si="45"/>
        <v>104</v>
      </c>
      <c r="C69" s="2748">
        <f t="shared" si="45"/>
        <v>105</v>
      </c>
      <c r="D69" s="2748">
        <f t="shared" si="9"/>
        <v>105</v>
      </c>
      <c r="E69" s="2748">
        <f t="shared" si="46"/>
        <v>104</v>
      </c>
      <c r="F69" s="2748">
        <f t="shared" si="46"/>
        <v>101</v>
      </c>
      <c r="G69" s="3478">
        <v>2002</v>
      </c>
      <c r="H69" s="2684">
        <v>2</v>
      </c>
      <c r="I69" s="2746"/>
      <c r="J69" s="2746"/>
      <c r="K69" s="2746"/>
      <c r="L69" s="2746"/>
      <c r="X69" s="2738"/>
      <c r="Y69" s="2738"/>
      <c r="Z69" s="2738"/>
    </row>
    <row r="70" spans="1:26" s="2715" customFormat="1" ht="13.5" thickBot="1">
      <c r="A70" s="2711" t="s">
        <v>2630</v>
      </c>
      <c r="B70" s="2752">
        <f t="shared" si="45"/>
        <v>103</v>
      </c>
      <c r="C70" s="2752">
        <f t="shared" si="45"/>
        <v>104</v>
      </c>
      <c r="D70" s="2752">
        <f t="shared" si="9"/>
        <v>104</v>
      </c>
      <c r="E70" s="2752">
        <f t="shared" si="46"/>
        <v>103.5</v>
      </c>
      <c r="F70" s="2752">
        <f t="shared" si="46"/>
        <v>100.5</v>
      </c>
      <c r="G70" s="3479">
        <v>2002</v>
      </c>
      <c r="H70" s="2753">
        <v>1</v>
      </c>
      <c r="I70" s="2754"/>
      <c r="J70" s="2754"/>
      <c r="K70" s="2754"/>
      <c r="L70" s="2754"/>
      <c r="N70" s="2755"/>
      <c r="S70" s="2755"/>
      <c r="X70" s="2756"/>
      <c r="Y70" s="2756"/>
      <c r="Z70" s="2756"/>
    </row>
    <row r="71" spans="1:26" ht="13.5" thickBot="1">
      <c r="B71" s="2757">
        <v>102</v>
      </c>
      <c r="C71" s="2758">
        <v>103</v>
      </c>
      <c r="D71" s="2758">
        <f t="shared" si="9"/>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2631</v>
      </c>
      <c r="G73" s="2762"/>
      <c r="N73" s="2762"/>
      <c r="S73" s="2762"/>
    </row>
    <row r="74" spans="1:26" s="2761" customFormat="1">
      <c r="A74" s="2761" t="s">
        <v>2632</v>
      </c>
      <c r="G74" s="2762"/>
      <c r="N74" s="2762"/>
      <c r="S74" s="2762"/>
    </row>
    <row r="75" spans="1:26" s="2761" customFormat="1">
      <c r="A75" s="2761" t="s">
        <v>2633</v>
      </c>
      <c r="G75" s="2762"/>
      <c r="I75" s="2763"/>
      <c r="J75" s="2763"/>
      <c r="K75" s="2763"/>
      <c r="L75" s="2763"/>
      <c r="N75" s="2764"/>
      <c r="O75" s="2763"/>
      <c r="P75" s="2763"/>
      <c r="Q75" s="2763"/>
      <c r="S75" s="2764"/>
      <c r="T75" s="2763"/>
      <c r="U75" s="2763"/>
      <c r="V75" s="2763"/>
    </row>
    <row r="76" spans="1:26" s="2761" customFormat="1">
      <c r="A76" s="2761" t="s">
        <v>2634</v>
      </c>
      <c r="G76" s="2762"/>
      <c r="N76" s="2762"/>
      <c r="S76" s="2762"/>
    </row>
    <row r="83" spans="7:22" ht="13.5" thickBot="1"/>
    <row r="84" spans="7:22">
      <c r="G84" s="2687"/>
      <c r="S84" s="2765" t="s">
        <v>2635</v>
      </c>
      <c r="T84" s="2766" t="s">
        <v>2636</v>
      </c>
      <c r="U84" s="2766" t="s">
        <v>2637</v>
      </c>
      <c r="V84" s="2766" t="s">
        <v>2638</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广东锦峰地产投资有限公司：</v>
      </c>
    </row>
    <row r="4" spans="1:4" ht="37.5">
      <c r="A4" s="1792" t="str">
        <f>"受贵公司委托，我公司对"&amp;项目基本情况!K2&amp;项目基本情况!B9&amp;"进行了预评估。"</f>
        <v>受贵公司委托，我公司对广东省汕头市龙湖区海湾公园片区（335-00-02-096）出让国有建设用地使用权市场价格进行了预评估。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汕头市龙湖区海湾公园片区（335-00-02-096）出让国有建设用地使用权。根据《国有土地使用证》[汕国用（2013）第10700250]，估价对象（分摊）出让国有建设用地使用权面积为15168.4平方米。根据《建设工程规划许可证》[[2014]汕规建字第015号]，估价对象规划建筑面积为67516.63平方米。</v>
      </c>
    </row>
    <row r="7" spans="1:4" ht="56.25">
      <c r="A7" s="1796" t="s">
        <v>2747</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2026</v>
      </c>
    </row>
    <row r="11" spans="1:4" ht="18.75">
      <c r="A11" s="1781" t="str">
        <f>TEXT(项目基本情况!D3,"yyyy年m月d日;;")&amp;IF(项目基本情况!B3=项目基本情况!D3,"（评估专业人员勘察现场之日）","")</f>
        <v>2018年5月24日（评估专业人员勘察现场之日）</v>
      </c>
    </row>
    <row r="12" spans="1:4" ht="18.75">
      <c r="A12" s="1798" t="s">
        <v>2025</v>
      </c>
    </row>
    <row r="13" spans="1:4" ht="18.75">
      <c r="A13" s="1792" t="s">
        <v>2940</v>
      </c>
    </row>
    <row r="14" spans="1:4" ht="37.5">
      <c r="A14" s="1792" t="str">
        <f>"根据"&amp;项目基本情况!F12&amp;"，本次评估估价对象证载（地类）用途为"&amp;项目基本情况!B12&amp;"。"</f>
        <v>根据《国有土地使用证》[汕国用（2013）第10700250]，本次评估估价对象证载（地类）用途为住宅。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根据《国有土地使用证》[汕国用（2013）第10700250]，估价对象（分摊）出让国有建设用地使用权面积为15168.4平方米。根据《建设工程规划许可证》[[2014]汕规建字第015号]，估价对象规划建筑面积为67516.63平方米。</v>
      </c>
    </row>
    <row r="21" spans="1:1" ht="18.75">
      <c r="A21" s="1792" t="s">
        <v>2074</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汕国用（2013）第10700250]证载土地终止日期为住宅2073年11月30日、商业2043年11月30日地下车库2053年11月30日。截至估价期日，出让国有建设用地使用权剩余土地使用年限为住宅55.5年、商业25.5年。</v>
      </c>
    </row>
    <row r="23" spans="1:1" ht="18.75">
      <c r="A23" s="1792" t="str">
        <f>IF(项目基本情况!B16="出让","本次评估设定估价对象剩余土地使用年限为"&amp;项目基本情况!D20&amp;"。","")</f>
        <v>本次评估设定估价对象剩余土地使用年限为住宅55.5年、商业25.5年。</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商业、地下车库，剩余土地使用年限为住宅55.5年、商业25.5年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I38"/>
  <sheetViews>
    <sheetView workbookViewId="0">
      <selection activeCell="M21" sqref="M21"/>
    </sheetView>
  </sheetViews>
  <sheetFormatPr defaultRowHeight="13.5"/>
  <cols>
    <col min="1" max="1" width="10.5" customWidth="1"/>
    <col min="2" max="2" width="12.875" customWidth="1"/>
    <col min="3" max="3" width="8.75" customWidth="1"/>
  </cols>
  <sheetData>
    <row r="1" spans="1:9" ht="14.25">
      <c r="A1" s="3487" t="s">
        <v>2471</v>
      </c>
      <c r="B1" s="3488"/>
      <c r="C1" s="3489"/>
      <c r="D1" s="3490">
        <f>SUM(I10,I15,I20,I21,I23)</f>
        <v>0</v>
      </c>
      <c r="E1" s="3490"/>
      <c r="F1" s="3490"/>
      <c r="G1" s="3490"/>
      <c r="H1" s="3490"/>
      <c r="I1" s="3491"/>
    </row>
    <row r="2" spans="1:9">
      <c r="A2" s="3492" t="s">
        <v>2472</v>
      </c>
      <c r="B2" s="3493" t="s">
        <v>2473</v>
      </c>
      <c r="C2" s="3493"/>
      <c r="D2" s="2531" t="s">
        <v>2474</v>
      </c>
      <c r="E2" s="2531" t="s">
        <v>2475</v>
      </c>
      <c r="F2" s="2531" t="s">
        <v>2476</v>
      </c>
      <c r="G2" s="2531" t="s">
        <v>2477</v>
      </c>
      <c r="H2" s="2531" t="s">
        <v>2478</v>
      </c>
      <c r="I2" s="2532" t="s">
        <v>2479</v>
      </c>
    </row>
    <row r="3" spans="1:9">
      <c r="A3" s="3492"/>
      <c r="B3" s="3493" t="s">
        <v>2480</v>
      </c>
      <c r="C3" s="3493"/>
      <c r="D3" s="2533"/>
      <c r="E3" s="2531"/>
      <c r="F3" s="2534"/>
      <c r="G3" s="2534"/>
      <c r="H3" s="2535"/>
      <c r="I3" s="2536">
        <f>ROUND(D3*E3*F3*G3*H3/10000,0)</f>
        <v>0</v>
      </c>
    </row>
    <row r="4" spans="1:9">
      <c r="A4" s="3492"/>
      <c r="B4" s="3493" t="s">
        <v>2481</v>
      </c>
      <c r="C4" s="3493"/>
      <c r="D4" s="2533"/>
      <c r="E4" s="2531"/>
      <c r="F4" s="2534"/>
      <c r="G4" s="2534"/>
      <c r="H4" s="2535"/>
      <c r="I4" s="2536">
        <f t="shared" ref="I4:I9" si="0">ROUND(D4*E4*F4*G4*H4/10000,0)</f>
        <v>0</v>
      </c>
    </row>
    <row r="5" spans="1:9">
      <c r="A5" s="3492"/>
      <c r="B5" s="3493" t="s">
        <v>2482</v>
      </c>
      <c r="C5" s="3493"/>
      <c r="D5" s="2533"/>
      <c r="E5" s="2531"/>
      <c r="F5" s="2534"/>
      <c r="G5" s="2534"/>
      <c r="H5" s="2535"/>
      <c r="I5" s="2536">
        <f t="shared" si="0"/>
        <v>0</v>
      </c>
    </row>
    <row r="6" spans="1:9">
      <c r="A6" s="3492"/>
      <c r="B6" s="3493" t="s">
        <v>2483</v>
      </c>
      <c r="C6" s="3493"/>
      <c r="D6" s="2533"/>
      <c r="E6" s="2531"/>
      <c r="F6" s="2534"/>
      <c r="G6" s="2534"/>
      <c r="H6" s="2535"/>
      <c r="I6" s="2536">
        <f t="shared" si="0"/>
        <v>0</v>
      </c>
    </row>
    <row r="7" spans="1:9">
      <c r="A7" s="3492"/>
      <c r="B7" s="3493" t="s">
        <v>2484</v>
      </c>
      <c r="C7" s="3493"/>
      <c r="D7" s="2533"/>
      <c r="E7" s="2531"/>
      <c r="F7" s="2534"/>
      <c r="G7" s="2534"/>
      <c r="H7" s="2535"/>
      <c r="I7" s="2536">
        <f t="shared" si="0"/>
        <v>0</v>
      </c>
    </row>
    <row r="8" spans="1:9">
      <c r="A8" s="3492"/>
      <c r="B8" s="3493" t="s">
        <v>2485</v>
      </c>
      <c r="C8" s="3493"/>
      <c r="D8" s="2533"/>
      <c r="E8" s="2531"/>
      <c r="F8" s="2534"/>
      <c r="G8" s="2534"/>
      <c r="H8" s="2535"/>
      <c r="I8" s="2536">
        <f t="shared" si="0"/>
        <v>0</v>
      </c>
    </row>
    <row r="9" spans="1:9">
      <c r="A9" s="3492"/>
      <c r="B9" s="3493" t="s">
        <v>2486</v>
      </c>
      <c r="C9" s="3493"/>
      <c r="D9" s="2533"/>
      <c r="E9" s="2531"/>
      <c r="F9" s="2534"/>
      <c r="G9" s="2534"/>
      <c r="H9" s="2535"/>
      <c r="I9" s="2536">
        <f t="shared" si="0"/>
        <v>0</v>
      </c>
    </row>
    <row r="10" spans="1:9">
      <c r="A10" s="3492"/>
      <c r="B10" s="3494" t="s">
        <v>2487</v>
      </c>
      <c r="C10" s="3494"/>
      <c r="D10" s="2537">
        <v>527</v>
      </c>
      <c r="E10" s="2537" t="e">
        <f>ROUND(D1*10000/D10/H9,0)</f>
        <v>#DIV/0!</v>
      </c>
      <c r="F10" s="2538"/>
      <c r="G10" s="2538"/>
      <c r="H10" s="2539"/>
      <c r="I10" s="2540">
        <f>SUM(I3:I9)</f>
        <v>0</v>
      </c>
    </row>
    <row r="11" spans="1:9" ht="14.25">
      <c r="A11" s="3492" t="s">
        <v>2488</v>
      </c>
      <c r="B11" s="3493" t="s">
        <v>2489</v>
      </c>
      <c r="C11" s="3493"/>
      <c r="D11" s="2533" t="s">
        <v>2490</v>
      </c>
      <c r="E11" s="2533" t="s">
        <v>2491</v>
      </c>
      <c r="F11" s="2534" t="s">
        <v>2492</v>
      </c>
      <c r="G11" s="2534" t="s">
        <v>2493</v>
      </c>
      <c r="H11" s="2541" t="s">
        <v>2494</v>
      </c>
      <c r="I11" s="2532" t="s">
        <v>2495</v>
      </c>
    </row>
    <row r="12" spans="1:9">
      <c r="A12" s="3492"/>
      <c r="B12" s="3493" t="s">
        <v>2496</v>
      </c>
      <c r="C12" s="3493"/>
      <c r="D12" s="2533"/>
      <c r="E12" s="2533"/>
      <c r="F12" s="2534"/>
      <c r="G12" s="2535"/>
      <c r="H12" s="2542"/>
      <c r="I12" s="2532">
        <f>ROUND(D12*E12*F12*G12/10000,0)</f>
        <v>0</v>
      </c>
    </row>
    <row r="13" spans="1:9">
      <c r="A13" s="3492"/>
      <c r="B13" s="3493" t="s">
        <v>2497</v>
      </c>
      <c r="C13" s="3493"/>
      <c r="D13" s="2533"/>
      <c r="E13" s="2533"/>
      <c r="F13" s="2534"/>
      <c r="G13" s="2535"/>
      <c r="H13" s="2542"/>
      <c r="I13" s="2532">
        <f>ROUND(D13*E13*F13*G13/10000,0)</f>
        <v>0</v>
      </c>
    </row>
    <row r="14" spans="1:9">
      <c r="A14" s="3492"/>
      <c r="B14" s="3493" t="s">
        <v>2498</v>
      </c>
      <c r="C14" s="3493"/>
      <c r="D14" s="2533"/>
      <c r="E14" s="2533"/>
      <c r="F14" s="2534"/>
      <c r="G14" s="2535"/>
      <c r="H14" s="2542"/>
      <c r="I14" s="2532">
        <f>ROUND(D14*E14*F14*G14/10000,0)</f>
        <v>0</v>
      </c>
    </row>
    <row r="15" spans="1:9">
      <c r="A15" s="3492"/>
      <c r="B15" s="3494" t="s">
        <v>2487</v>
      </c>
      <c r="C15" s="3494"/>
      <c r="D15" s="2537"/>
      <c r="E15" s="2537">
        <f>SUM(E12:E14)</f>
        <v>0</v>
      </c>
      <c r="F15" s="2538"/>
      <c r="G15" s="2535"/>
      <c r="H15" s="2542"/>
      <c r="I15" s="2543">
        <f>SUM(I12:I14)</f>
        <v>0</v>
      </c>
    </row>
    <row r="16" spans="1:9" ht="24">
      <c r="A16" s="3492" t="s">
        <v>2499</v>
      </c>
      <c r="B16" s="3493" t="s">
        <v>2500</v>
      </c>
      <c r="C16" s="3493"/>
      <c r="D16" s="2533" t="s">
        <v>2501</v>
      </c>
      <c r="E16" s="2544" t="s">
        <v>2502</v>
      </c>
      <c r="F16" s="2534" t="s">
        <v>2503</v>
      </c>
      <c r="G16" s="2535" t="s">
        <v>2493</v>
      </c>
      <c r="H16" s="2541" t="s">
        <v>2494</v>
      </c>
      <c r="I16" s="2532" t="s">
        <v>2495</v>
      </c>
    </row>
    <row r="17" spans="1:9" ht="14.25">
      <c r="A17" s="3492"/>
      <c r="B17" s="3493" t="s">
        <v>2504</v>
      </c>
      <c r="C17" s="3493"/>
      <c r="D17" s="2533"/>
      <c r="E17" s="2533"/>
      <c r="F17" s="2534"/>
      <c r="G17" s="2535"/>
      <c r="H17" s="2545"/>
      <c r="I17" s="2546">
        <f>ROUND(D17*E17*F17*G17/10000,0)</f>
        <v>0</v>
      </c>
    </row>
    <row r="18" spans="1:9" ht="14.25">
      <c r="A18" s="3492"/>
      <c r="B18" s="3493" t="s">
        <v>2505</v>
      </c>
      <c r="C18" s="3493"/>
      <c r="D18" s="2533"/>
      <c r="E18" s="2533"/>
      <c r="F18" s="2534"/>
      <c r="G18" s="2535"/>
      <c r="H18" s="2545"/>
      <c r="I18" s="2546">
        <f>ROUND(D18*E18*F18*G18/10000,0)</f>
        <v>0</v>
      </c>
    </row>
    <row r="19" spans="1:9" ht="14.25">
      <c r="A19" s="3492"/>
      <c r="B19" s="3493" t="s">
        <v>2506</v>
      </c>
      <c r="C19" s="3493"/>
      <c r="D19" s="2533"/>
      <c r="E19" s="2533"/>
      <c r="F19" s="2534"/>
      <c r="G19" s="2535"/>
      <c r="H19" s="2545"/>
      <c r="I19" s="2546">
        <f>ROUND(D19*E19*F19*G19/10000,0)</f>
        <v>0</v>
      </c>
    </row>
    <row r="20" spans="1:9">
      <c r="A20" s="3492"/>
      <c r="B20" s="3494" t="s">
        <v>2487</v>
      </c>
      <c r="C20" s="3494"/>
      <c r="D20" s="2537">
        <f>SUM(D17:D19)</f>
        <v>0</v>
      </c>
      <c r="E20" s="2537"/>
      <c r="F20" s="2538"/>
      <c r="G20" s="2535"/>
      <c r="H20" s="2542"/>
      <c r="I20" s="2543">
        <f>SUM(I17:I19)</f>
        <v>0</v>
      </c>
    </row>
    <row r="21" spans="1:9">
      <c r="A21" s="3492" t="s">
        <v>2507</v>
      </c>
      <c r="B21" s="3496"/>
      <c r="C21" s="3496"/>
      <c r="D21" s="3496"/>
      <c r="E21" s="3496"/>
      <c r="F21" s="3496"/>
      <c r="G21" s="3496"/>
      <c r="H21" s="2547">
        <v>0.1</v>
      </c>
      <c r="I21" s="2540">
        <f>ROUND(I10*H21,0)</f>
        <v>0</v>
      </c>
    </row>
    <row r="22" spans="1:9" ht="14.25">
      <c r="A22" s="3497" t="s">
        <v>2508</v>
      </c>
      <c r="B22" s="3498"/>
      <c r="C22" s="3499"/>
      <c r="D22" s="2548" t="s">
        <v>2509</v>
      </c>
      <c r="E22" s="2548" t="s">
        <v>2510</v>
      </c>
      <c r="F22" s="2549" t="s">
        <v>2511</v>
      </c>
      <c r="G22" s="2549" t="s">
        <v>2512</v>
      </c>
      <c r="H22" s="2541" t="s">
        <v>2513</v>
      </c>
      <c r="I22" s="2532" t="s">
        <v>2514</v>
      </c>
    </row>
    <row r="23" spans="1:9" ht="14.25" thickBot="1">
      <c r="A23" s="3500"/>
      <c r="B23" s="3501"/>
      <c r="C23" s="3502"/>
      <c r="D23" s="2550"/>
      <c r="E23" s="2550"/>
      <c r="F23" s="2550"/>
      <c r="G23" s="2551"/>
      <c r="H23" s="2552"/>
      <c r="I23" s="2553">
        <f>ROUND(E23*D23*F23*(1-G23)/10000,0)</f>
        <v>0</v>
      </c>
    </row>
    <row r="26" spans="1:9">
      <c r="A26" s="2554" t="s">
        <v>2515</v>
      </c>
      <c r="B26" s="2554"/>
      <c r="C26" s="2554"/>
      <c r="D26" s="2554"/>
      <c r="E26" s="3503">
        <f>C27-C30-C31-C32</f>
        <v>0</v>
      </c>
      <c r="F26" s="3503"/>
      <c r="G26" s="3503"/>
      <c r="H26" s="3067" t="s">
        <v>2843</v>
      </c>
    </row>
    <row r="27" spans="1:9">
      <c r="A27" s="2555">
        <v>1</v>
      </c>
      <c r="B27" s="2556" t="s">
        <v>2516</v>
      </c>
      <c r="C27" s="2556"/>
      <c r="D27" s="2556"/>
      <c r="E27" s="3504"/>
      <c r="F27" s="3504"/>
      <c r="G27" s="3504"/>
    </row>
    <row r="28" spans="1:9">
      <c r="A28" s="2557" t="s">
        <v>2517</v>
      </c>
      <c r="B28" s="2556" t="s">
        <v>2518</v>
      </c>
      <c r="C28" s="2556"/>
      <c r="D28" s="2556"/>
      <c r="E28" s="3504"/>
      <c r="F28" s="3504"/>
      <c r="G28" s="3504"/>
    </row>
    <row r="29" spans="1:9">
      <c r="A29" s="2557" t="s">
        <v>2519</v>
      </c>
      <c r="B29" s="2556" t="s">
        <v>2460</v>
      </c>
      <c r="C29" s="2556"/>
      <c r="D29" s="2556"/>
      <c r="E29" s="2556" t="s">
        <v>2520</v>
      </c>
      <c r="F29" s="2556"/>
      <c r="G29" s="2556"/>
    </row>
    <row r="30" spans="1:9">
      <c r="A30" s="2555">
        <v>2</v>
      </c>
      <c r="B30" s="2556" t="s">
        <v>2521</v>
      </c>
      <c r="C30" s="2556">
        <f>C27*D30</f>
        <v>0</v>
      </c>
      <c r="D30" s="2558">
        <v>0.2</v>
      </c>
      <c r="E30" s="2556" t="s">
        <v>2522</v>
      </c>
      <c r="F30" s="2556"/>
      <c r="G30" s="2556"/>
    </row>
    <row r="31" spans="1:9">
      <c r="A31" s="2555">
        <v>3</v>
      </c>
      <c r="B31" s="2556" t="s">
        <v>2523</v>
      </c>
      <c r="C31" s="2556">
        <f>C25*D31</f>
        <v>0</v>
      </c>
      <c r="D31" s="2558">
        <v>0.15</v>
      </c>
      <c r="E31" s="2556" t="s">
        <v>2524</v>
      </c>
      <c r="F31" s="2556"/>
      <c r="G31" s="2556"/>
    </row>
    <row r="32" spans="1:9">
      <c r="A32" s="2555">
        <v>4</v>
      </c>
      <c r="B32" s="2556" t="s">
        <v>2525</v>
      </c>
      <c r="C32" s="2556">
        <f>C27*D32</f>
        <v>0</v>
      </c>
      <c r="D32" s="2558">
        <v>0.05</v>
      </c>
      <c r="E32" s="3495"/>
      <c r="F32" s="3495"/>
      <c r="G32" s="3495"/>
    </row>
    <row r="33" spans="1:7" hidden="1">
      <c r="A33" s="3505" t="s">
        <v>2526</v>
      </c>
      <c r="B33" s="3506"/>
      <c r="C33" s="3506"/>
      <c r="D33" s="3507"/>
      <c r="E33" s="3503"/>
      <c r="F33" s="3503"/>
      <c r="G33" s="3503"/>
    </row>
    <row r="34" spans="1:7" hidden="1">
      <c r="A34" s="2559">
        <v>1</v>
      </c>
      <c r="B34" s="2556" t="s">
        <v>2527</v>
      </c>
      <c r="C34" s="2556"/>
      <c r="D34" s="2556"/>
      <c r="E34" s="3504"/>
      <c r="F34" s="3504"/>
      <c r="G34" s="3504"/>
    </row>
    <row r="35" spans="1:7" hidden="1">
      <c r="A35" s="2559">
        <v>2</v>
      </c>
      <c r="B35" s="2556" t="s">
        <v>2528</v>
      </c>
      <c r="C35" s="2556"/>
      <c r="D35" s="2556"/>
      <c r="E35" s="3504"/>
      <c r="F35" s="3504"/>
      <c r="G35" s="3504"/>
    </row>
    <row r="36" spans="1:7" hidden="1">
      <c r="A36" s="2559">
        <v>3</v>
      </c>
      <c r="B36" s="2556" t="s">
        <v>2529</v>
      </c>
      <c r="C36" s="2556"/>
      <c r="D36" s="2556"/>
      <c r="E36" s="3504"/>
      <c r="F36" s="3504"/>
      <c r="G36" s="3504"/>
    </row>
    <row r="37" spans="1:7" hidden="1">
      <c r="A37" s="2559">
        <v>4</v>
      </c>
      <c r="B37" s="2556" t="s">
        <v>2530</v>
      </c>
      <c r="C37" s="2556"/>
      <c r="D37" s="2556"/>
      <c r="E37" s="3504"/>
      <c r="F37" s="3504"/>
      <c r="G37" s="3504"/>
    </row>
    <row r="38" spans="1:7" hidden="1">
      <c r="A38" s="3505" t="s">
        <v>2531</v>
      </c>
      <c r="B38" s="3506"/>
      <c r="C38" s="3506"/>
      <c r="D38" s="3507"/>
      <c r="E38" s="3503"/>
      <c r="F38" s="3503"/>
      <c r="G38" s="35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2440</v>
      </c>
      <c r="B8" s="2496" t="s">
        <v>2442</v>
      </c>
      <c r="C8" s="2497"/>
      <c r="D8" s="749"/>
      <c r="E8" s="750"/>
      <c r="F8" s="750"/>
      <c r="G8" s="751"/>
    </row>
    <row r="9" spans="1:25" s="2183" customFormat="1" ht="13.5" customHeight="1">
      <c r="A9" s="2493" t="s">
        <v>2441</v>
      </c>
      <c r="B9" s="2496" t="s">
        <v>2443</v>
      </c>
      <c r="C9" s="2497"/>
      <c r="D9" s="749"/>
      <c r="E9" s="750"/>
      <c r="F9" s="750"/>
      <c r="G9" s="751"/>
    </row>
    <row r="10" spans="1:25" s="2183" customFormat="1" ht="36">
      <c r="A10" s="2493">
        <v>2</v>
      </c>
      <c r="B10" s="748" t="s">
        <v>613</v>
      </c>
      <c r="C10" s="749">
        <f>C11+C14+C15</f>
        <v>0</v>
      </c>
      <c r="D10" s="760">
        <f>'数据-汇总表'!E3</f>
        <v>67516.63</v>
      </c>
      <c r="E10" s="749">
        <f>'数据-取费表'!B31</f>
        <v>200</v>
      </c>
      <c r="F10" s="761"/>
      <c r="G10" s="759" t="s">
        <v>614</v>
      </c>
    </row>
    <row r="11" spans="1:25" s="2183" customFormat="1" ht="13.5" customHeight="1">
      <c r="A11" s="2493" t="s">
        <v>2440</v>
      </c>
      <c r="B11" s="752" t="s">
        <v>610</v>
      </c>
      <c r="C11" s="753">
        <f>'数据-取费表'!B29</f>
        <v>0</v>
      </c>
      <c r="D11" s="754"/>
      <c r="E11" s="753"/>
      <c r="F11" s="755"/>
      <c r="G11" s="2502" t="s">
        <v>2451</v>
      </c>
    </row>
    <row r="12" spans="1:25" s="2183" customFormat="1" ht="13.5" customHeight="1">
      <c r="A12" s="2500" t="s">
        <v>2448</v>
      </c>
      <c r="B12" s="756" t="s">
        <v>611</v>
      </c>
      <c r="C12" s="757">
        <f>ROUND(D12*E12/10000,0)</f>
        <v>685</v>
      </c>
      <c r="D12" s="758">
        <f>'数据-汇总表'!E5</f>
        <v>57055.89</v>
      </c>
      <c r="E12" s="757">
        <f>'数据-取费表'!B27</f>
        <v>120</v>
      </c>
      <c r="F12" s="755"/>
      <c r="G12" s="759"/>
    </row>
    <row r="13" spans="1:25" s="2183" customFormat="1" ht="13.5" customHeight="1">
      <c r="A13" s="2500" t="s">
        <v>2447</v>
      </c>
      <c r="B13" s="756" t="s">
        <v>612</v>
      </c>
      <c r="C13" s="757">
        <f>ROUND(D13*E13/10000,0)</f>
        <v>126</v>
      </c>
      <c r="D13" s="758">
        <f>'数据-汇总表'!E6</f>
        <v>10460.740000000005</v>
      </c>
      <c r="E13" s="757">
        <f>'数据-取费表'!B28</f>
        <v>120</v>
      </c>
      <c r="F13" s="755"/>
      <c r="G13" s="759"/>
    </row>
    <row r="14" spans="1:25" s="2183" customFormat="1" ht="13.5" customHeight="1">
      <c r="A14" s="2493" t="s">
        <v>2441</v>
      </c>
      <c r="B14" s="2499" t="s">
        <v>2444</v>
      </c>
      <c r="C14" s="2497"/>
      <c r="D14" s="758"/>
      <c r="E14" s="757"/>
      <c r="F14" s="2498"/>
      <c r="G14" s="2501" t="s">
        <v>2449</v>
      </c>
    </row>
    <row r="15" spans="1:25" s="2183" customFormat="1" ht="13.5" customHeight="1">
      <c r="A15" s="2493" t="s">
        <v>2446</v>
      </c>
      <c r="B15" s="2499" t="s">
        <v>2445</v>
      </c>
      <c r="C15" s="2497"/>
      <c r="D15" s="758"/>
      <c r="E15" s="757"/>
      <c r="F15" s="2498"/>
      <c r="G15" s="2501" t="s">
        <v>2450</v>
      </c>
    </row>
    <row r="16" spans="1:25" s="2184" customFormat="1" ht="48">
      <c r="A16" s="2493">
        <v>3</v>
      </c>
      <c r="B16" s="748" t="s">
        <v>615</v>
      </c>
      <c r="C16" s="2497"/>
      <c r="D16" s="760"/>
      <c r="E16" s="749"/>
      <c r="F16" s="761"/>
      <c r="G16" s="759"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0.25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0.88900000000000001</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A22" zoomScale="80" zoomScaleNormal="80" workbookViewId="0">
      <selection activeCell="I5" sqref="I5:J5"/>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7" t="s">
        <v>719</v>
      </c>
      <c r="C1" s="2648" t="s">
        <v>720</v>
      </c>
      <c r="D1" s="2649" t="s">
        <v>923</v>
      </c>
      <c r="E1" s="2650"/>
      <c r="F1" s="2831" t="s">
        <v>3109</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6">
        <f>ROUND(B3*D3/10000,0)</f>
        <v>118026</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20686</v>
      </c>
      <c r="C3" s="852" t="s">
        <v>722</v>
      </c>
      <c r="D3" s="851">
        <f>SUMIF('数据-汇总表'!$C19:$C33,D1,'数据-汇总表'!$E19:$E33)</f>
        <v>57055.89</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401" t="s">
        <v>522</v>
      </c>
      <c r="D4" s="3402"/>
      <c r="E4" s="3438" t="s">
        <v>523</v>
      </c>
      <c r="F4" s="3439"/>
      <c r="G4" s="3401" t="s">
        <v>524</v>
      </c>
      <c r="H4" s="3402"/>
      <c r="I4" s="3401" t="s">
        <v>525</v>
      </c>
      <c r="J4" s="3402"/>
      <c r="K4" s="853" t="s">
        <v>526</v>
      </c>
      <c r="L4" s="2133"/>
      <c r="M4" s="2134"/>
      <c r="N4" s="2134"/>
      <c r="O4" s="2134"/>
      <c r="P4" s="3403" t="s">
        <v>527</v>
      </c>
      <c r="Q4" s="3404"/>
      <c r="R4" s="3409" t="s">
        <v>523</v>
      </c>
      <c r="S4" s="3410"/>
      <c r="T4" s="3409" t="s">
        <v>524</v>
      </c>
      <c r="U4" s="3410"/>
      <c r="V4" s="3396" t="s">
        <v>525</v>
      </c>
      <c r="W4" s="3396"/>
      <c r="X4" s="1568"/>
      <c r="Y4" s="3409" t="s">
        <v>527</v>
      </c>
      <c r="Z4" s="3410"/>
      <c r="AA4" s="3398" t="s">
        <v>523</v>
      </c>
      <c r="AB4" s="3398" t="s">
        <v>524</v>
      </c>
      <c r="AC4" s="3398" t="s">
        <v>525</v>
      </c>
    </row>
    <row r="5" spans="1:29" ht="15">
      <c r="A5" s="515"/>
      <c r="B5" s="516"/>
      <c r="C5" s="3419" t="s">
        <v>2926</v>
      </c>
      <c r="D5" s="3418"/>
      <c r="E5" s="3512" t="s">
        <v>3179</v>
      </c>
      <c r="F5" s="3441"/>
      <c r="G5" s="3417" t="s">
        <v>3194</v>
      </c>
      <c r="H5" s="3418"/>
      <c r="I5" s="3417" t="s">
        <v>3196</v>
      </c>
      <c r="J5" s="3418"/>
      <c r="K5" s="854"/>
      <c r="L5" s="2133"/>
      <c r="M5" s="2134"/>
      <c r="N5" s="2134"/>
      <c r="O5" s="2134"/>
      <c r="P5" s="3405"/>
      <c r="Q5" s="3406"/>
      <c r="R5" s="3411"/>
      <c r="S5" s="3412"/>
      <c r="T5" s="3411"/>
      <c r="U5" s="3412"/>
      <c r="V5" s="3396"/>
      <c r="W5" s="3396"/>
      <c r="X5" s="1568"/>
      <c r="Y5" s="3411"/>
      <c r="Z5" s="3412"/>
      <c r="AA5" s="3399"/>
      <c r="AB5" s="3399"/>
      <c r="AC5" s="3399"/>
    </row>
    <row r="6" spans="1:29" ht="15.75" thickBot="1">
      <c r="A6" s="517"/>
      <c r="B6" s="518"/>
      <c r="C6" s="3435" t="s">
        <v>2930</v>
      </c>
      <c r="D6" s="3416"/>
      <c r="E6" s="3511" t="s">
        <v>3181</v>
      </c>
      <c r="F6" s="3437"/>
      <c r="G6" s="3511" t="s">
        <v>3184</v>
      </c>
      <c r="H6" s="3437"/>
      <c r="I6" s="3511" t="s">
        <v>3184</v>
      </c>
      <c r="J6" s="3437"/>
      <c r="K6" s="854" t="s">
        <v>528</v>
      </c>
      <c r="L6" s="2133"/>
      <c r="M6" s="2134"/>
      <c r="N6" s="2134"/>
      <c r="O6" s="2134"/>
      <c r="P6" s="3407"/>
      <c r="Q6" s="3408"/>
      <c r="R6" s="3411"/>
      <c r="S6" s="3412"/>
      <c r="T6" s="3413"/>
      <c r="U6" s="3414"/>
      <c r="V6" s="3396"/>
      <c r="W6" s="3396"/>
      <c r="X6" s="1568"/>
      <c r="Y6" s="3413"/>
      <c r="Z6" s="3414"/>
      <c r="AA6" s="3400"/>
      <c r="AB6" s="3400"/>
      <c r="AC6" s="3400"/>
    </row>
    <row r="7" spans="1:29" s="1220" customFormat="1" ht="15.75" thickBot="1">
      <c r="A7" s="2936"/>
      <c r="B7" s="2943" t="s">
        <v>529</v>
      </c>
      <c r="C7" s="519">
        <f>'数据-取费表'!B2</f>
        <v>43244</v>
      </c>
      <c r="D7" s="520">
        <v>100</v>
      </c>
      <c r="E7" s="521">
        <f>C7</f>
        <v>43244</v>
      </c>
      <c r="F7" s="522">
        <f>SUMIF(58:58,YEAR(E7)&amp;"-"&amp;MONTH(E7),59:59)</f>
        <v>100</v>
      </c>
      <c r="G7" s="523">
        <f>C7</f>
        <v>43244</v>
      </c>
      <c r="H7" s="520">
        <f>SUMIF(58:58,YEAR(G7)&amp;"-"&amp;MONTH(G7),59:59)</f>
        <v>100</v>
      </c>
      <c r="I7" s="523">
        <f>C7</f>
        <v>43244</v>
      </c>
      <c r="J7" s="520">
        <f>SUMIF(58:58,YEAR(I7)&amp;"-"&amp;MONTH(I7),59:59)</f>
        <v>100</v>
      </c>
      <c r="K7" s="855"/>
      <c r="L7" s="2135"/>
      <c r="M7" s="2136"/>
      <c r="N7" s="2136"/>
      <c r="O7" s="2136"/>
      <c r="P7" s="3428" t="s">
        <v>530</v>
      </c>
      <c r="Q7" s="3430"/>
      <c r="R7" s="1569" t="s">
        <v>13</v>
      </c>
      <c r="S7" s="1570">
        <f t="shared" ref="S7:S15" si="0">F7</f>
        <v>100</v>
      </c>
      <c r="T7" s="1569" t="s">
        <v>13</v>
      </c>
      <c r="U7" s="1570">
        <f t="shared" ref="U7:U15" si="1">H7</f>
        <v>100</v>
      </c>
      <c r="V7" s="1569" t="s">
        <v>13</v>
      </c>
      <c r="W7" s="1570">
        <f t="shared" ref="W7:W15" si="2">J7</f>
        <v>100</v>
      </c>
      <c r="X7" s="1571"/>
      <c r="Y7" s="3428" t="s">
        <v>530</v>
      </c>
      <c r="Z7" s="3429"/>
      <c r="AA7" s="1572">
        <f>D7/F7</f>
        <v>1</v>
      </c>
      <c r="AB7" s="1572">
        <f>D7/H7</f>
        <v>1</v>
      </c>
      <c r="AC7" s="1572">
        <f>D7/J7</f>
        <v>1</v>
      </c>
    </row>
    <row r="8" spans="1:29" s="1220" customFormat="1" ht="15.75" thickBot="1">
      <c r="A8" s="2937"/>
      <c r="B8" s="2944" t="s">
        <v>531</v>
      </c>
      <c r="C8" s="525" t="s">
        <v>576</v>
      </c>
      <c r="D8" s="520">
        <v>100</v>
      </c>
      <c r="E8" s="856" t="s">
        <v>3007</v>
      </c>
      <c r="F8" s="522">
        <f>SUMIF(61:61,E8,62:62)-SUMIF(61:61,C8,62:62)+100</f>
        <v>100</v>
      </c>
      <c r="G8" s="525" t="s">
        <v>3007</v>
      </c>
      <c r="H8" s="520">
        <f>SUMIF(61:61,G8,62:62)-SUMIF(61:61,C8,62:62)+100</f>
        <v>100</v>
      </c>
      <c r="I8" s="856" t="s">
        <v>3007</v>
      </c>
      <c r="J8" s="520">
        <f>SUMIF(61:61,I8,62:62)-SUMIF(61:61,C8,62:62)+100</f>
        <v>100</v>
      </c>
      <c r="K8" s="855"/>
      <c r="L8" s="2135"/>
      <c r="M8" s="2136"/>
      <c r="N8" s="2136"/>
      <c r="O8" s="2136"/>
      <c r="P8" s="3428" t="s">
        <v>533</v>
      </c>
      <c r="Q8" s="3429"/>
      <c r="R8" s="1569" t="s">
        <v>13</v>
      </c>
      <c r="S8" s="1570">
        <f t="shared" si="0"/>
        <v>100</v>
      </c>
      <c r="T8" s="1569" t="s">
        <v>13</v>
      </c>
      <c r="U8" s="1570">
        <f t="shared" si="1"/>
        <v>100</v>
      </c>
      <c r="V8" s="1569" t="s">
        <v>13</v>
      </c>
      <c r="W8" s="1570">
        <f t="shared" si="2"/>
        <v>100</v>
      </c>
      <c r="X8" s="1571"/>
      <c r="Y8" s="3428" t="s">
        <v>533</v>
      </c>
      <c r="Z8" s="3429"/>
      <c r="AA8" s="1572">
        <f t="shared" ref="AA8:AA46" si="3">D8/F8</f>
        <v>1</v>
      </c>
      <c r="AB8" s="1572">
        <f t="shared" ref="AB8:AB46" si="4">D8/H8</f>
        <v>1</v>
      </c>
      <c r="AC8" s="1572">
        <f t="shared" ref="AC8:AC46" si="5">D8/J8</f>
        <v>1</v>
      </c>
    </row>
    <row r="9" spans="1:29" s="1220" customFormat="1" ht="15">
      <c r="A9" s="2938"/>
      <c r="B9" s="2945" t="s">
        <v>2756</v>
      </c>
      <c r="C9" s="3192" t="s">
        <v>3067</v>
      </c>
      <c r="D9" s="254">
        <v>100</v>
      </c>
      <c r="E9" s="858" t="s">
        <v>923</v>
      </c>
      <c r="F9" s="859">
        <f>SUMIF(63:63,E9,64:64)-SUMIF(63:63,C9,64:64)+100</f>
        <v>100</v>
      </c>
      <c r="G9" s="860" t="s">
        <v>923</v>
      </c>
      <c r="H9" s="254">
        <f>SUMIF(63:63,G9,64:64)-SUMIF(63:63,C9,64:64)+100</f>
        <v>100</v>
      </c>
      <c r="I9" s="860" t="s">
        <v>923</v>
      </c>
      <c r="J9" s="254">
        <f>SUMIF(63:63,I9,64:64)-SUMIF(63:63,C9,64:64)+100</f>
        <v>100</v>
      </c>
      <c r="K9" s="855"/>
      <c r="L9" s="2135"/>
      <c r="M9" s="2136"/>
      <c r="N9" s="2136"/>
      <c r="O9" s="2137"/>
      <c r="P9" s="3395" t="s">
        <v>535</v>
      </c>
      <c r="Q9" s="1151" t="str">
        <f t="shared" ref="Q9:Q15" si="6">B9</f>
        <v>用途</v>
      </c>
      <c r="R9" s="1569" t="s">
        <v>8</v>
      </c>
      <c r="S9" s="1570">
        <f t="shared" si="0"/>
        <v>100</v>
      </c>
      <c r="T9" s="1569" t="s">
        <v>8</v>
      </c>
      <c r="U9" s="1570">
        <f t="shared" si="1"/>
        <v>100</v>
      </c>
      <c r="V9" s="1569" t="s">
        <v>8</v>
      </c>
      <c r="W9" s="1570">
        <f t="shared" si="2"/>
        <v>100</v>
      </c>
      <c r="X9" s="1571"/>
      <c r="Y9" s="3341" t="s">
        <v>536</v>
      </c>
      <c r="Z9" s="1150" t="str">
        <f t="shared" ref="Z9:Z15" si="7">Q9</f>
        <v>用途</v>
      </c>
      <c r="AA9" s="1572">
        <f t="shared" si="3"/>
        <v>1</v>
      </c>
      <c r="AB9" s="1572">
        <f t="shared" si="4"/>
        <v>1</v>
      </c>
      <c r="AC9" s="1572">
        <f t="shared" si="5"/>
        <v>1</v>
      </c>
    </row>
    <row r="10" spans="1:29" s="1338" customFormat="1" ht="27">
      <c r="A10" s="2939"/>
      <c r="B10" s="2944" t="s">
        <v>2757</v>
      </c>
      <c r="C10" s="861" t="s">
        <v>3068</v>
      </c>
      <c r="D10" s="255">
        <v>100</v>
      </c>
      <c r="E10" s="862" t="s">
        <v>3069</v>
      </c>
      <c r="F10" s="863">
        <f>SUMIF(65:65,E10,66:66)-SUMIF(65:65,C10,66:66)+100</f>
        <v>102</v>
      </c>
      <c r="G10" s="861" t="s">
        <v>3069</v>
      </c>
      <c r="H10" s="255">
        <f>SUMIF(65:65,G10,66:66)-SUMIF(65:65,C10,66:66)+100</f>
        <v>102</v>
      </c>
      <c r="I10" s="861" t="s">
        <v>3069</v>
      </c>
      <c r="J10" s="255">
        <f>SUMIF(65:65,I10,66:66)-SUMIF(65:65,C10,66:66)+100</f>
        <v>102</v>
      </c>
      <c r="K10" s="864">
        <v>2</v>
      </c>
      <c r="L10" s="2138"/>
      <c r="M10" s="2178"/>
      <c r="N10" s="2178"/>
      <c r="O10" s="2139"/>
      <c r="P10" s="3395"/>
      <c r="Q10" s="1151" t="str">
        <f t="shared" si="6"/>
        <v>土地使用年限（年）</v>
      </c>
      <c r="R10" s="1569" t="s">
        <v>8</v>
      </c>
      <c r="S10" s="1570">
        <f t="shared" si="0"/>
        <v>102</v>
      </c>
      <c r="T10" s="1569" t="s">
        <v>8</v>
      </c>
      <c r="U10" s="1570">
        <f t="shared" si="1"/>
        <v>102</v>
      </c>
      <c r="V10" s="1569" t="s">
        <v>8</v>
      </c>
      <c r="W10" s="1570">
        <f t="shared" si="2"/>
        <v>102</v>
      </c>
      <c r="X10" s="1571"/>
      <c r="Y10" s="3341"/>
      <c r="Z10" s="1150" t="str">
        <f t="shared" si="7"/>
        <v>土地使用年限（年）</v>
      </c>
      <c r="AA10" s="1572">
        <f t="shared" si="3"/>
        <v>0.98039215686274506</v>
      </c>
      <c r="AB10" s="1572">
        <f t="shared" si="4"/>
        <v>0.98039215686274506</v>
      </c>
      <c r="AC10" s="1572">
        <f t="shared" si="5"/>
        <v>0.98039215686274506</v>
      </c>
    </row>
    <row r="11" spans="1:29" ht="15.75" thickBot="1">
      <c r="A11" s="2940"/>
      <c r="B11" s="2944" t="s">
        <v>2758</v>
      </c>
      <c r="C11" s="533">
        <v>4.0599999999999996</v>
      </c>
      <c r="D11" s="255">
        <v>100</v>
      </c>
      <c r="E11" s="534">
        <v>4.5</v>
      </c>
      <c r="F11" s="863">
        <f>LOOKUP(E11,68:68,69:69)-LOOKUP(C11,68:68,69:69)+100</f>
        <v>100</v>
      </c>
      <c r="G11" s="533">
        <v>3.5</v>
      </c>
      <c r="H11" s="255">
        <f>LOOKUP(G11,68:68,69:69)-LOOKUP(C11,68:68,69:69)+100</f>
        <v>103</v>
      </c>
      <c r="I11" s="533">
        <v>2.5</v>
      </c>
      <c r="J11" s="255">
        <f>LOOKUP(I11,68:68,69:69)-LOOKUP(C11,68:68,69:69)+100</f>
        <v>103</v>
      </c>
      <c r="K11" s="864">
        <v>3</v>
      </c>
      <c r="L11" s="2140"/>
      <c r="M11" s="2134"/>
      <c r="N11" s="2134"/>
      <c r="O11" s="2141"/>
      <c r="P11" s="3395"/>
      <c r="Q11" s="1151" t="str">
        <f t="shared" si="6"/>
        <v>容积率</v>
      </c>
      <c r="R11" s="1569" t="s">
        <v>11</v>
      </c>
      <c r="S11" s="1570">
        <f t="shared" si="0"/>
        <v>100</v>
      </c>
      <c r="T11" s="1569" t="s">
        <v>11</v>
      </c>
      <c r="U11" s="1570">
        <f t="shared" si="1"/>
        <v>103</v>
      </c>
      <c r="V11" s="1569" t="s">
        <v>11</v>
      </c>
      <c r="W11" s="1570">
        <f t="shared" si="2"/>
        <v>103</v>
      </c>
      <c r="X11" s="1571"/>
      <c r="Y11" s="3341"/>
      <c r="Z11" s="1150" t="str">
        <f t="shared" si="7"/>
        <v>容积率</v>
      </c>
      <c r="AA11" s="1572">
        <f t="shared" si="3"/>
        <v>1</v>
      </c>
      <c r="AB11" s="1572">
        <f t="shared" si="4"/>
        <v>0.970873786407767</v>
      </c>
      <c r="AC11" s="1572">
        <f t="shared" si="5"/>
        <v>0.970873786407767</v>
      </c>
    </row>
    <row r="12" spans="1:29" s="1220" customFormat="1" ht="15" hidden="1">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95"/>
      <c r="Q12" s="1151">
        <f t="shared" si="6"/>
        <v>111</v>
      </c>
      <c r="R12" s="1569" t="s">
        <v>11</v>
      </c>
      <c r="S12" s="1570">
        <f t="shared" si="0"/>
        <v>100</v>
      </c>
      <c r="T12" s="1569" t="s">
        <v>11</v>
      </c>
      <c r="U12" s="1570">
        <f t="shared" si="1"/>
        <v>100</v>
      </c>
      <c r="V12" s="1569" t="s">
        <v>11</v>
      </c>
      <c r="W12" s="1570">
        <f t="shared" si="2"/>
        <v>100</v>
      </c>
      <c r="X12" s="1571"/>
      <c r="Y12" s="3341"/>
      <c r="Z12" s="1150">
        <f t="shared" si="7"/>
        <v>111</v>
      </c>
      <c r="AA12" s="1572">
        <f>D12/F12</f>
        <v>1</v>
      </c>
      <c r="AB12" s="1572">
        <f>D12/H12</f>
        <v>1</v>
      </c>
      <c r="AC12" s="1572">
        <f>D12/J12</f>
        <v>1</v>
      </c>
    </row>
    <row r="13" spans="1:29" ht="15" hidden="1">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95"/>
      <c r="Q13" s="1151">
        <f t="shared" si="6"/>
        <v>111</v>
      </c>
      <c r="R13" s="1569" t="s">
        <v>11</v>
      </c>
      <c r="S13" s="1570">
        <f t="shared" si="0"/>
        <v>100</v>
      </c>
      <c r="T13" s="1569" t="s">
        <v>11</v>
      </c>
      <c r="U13" s="1570">
        <f t="shared" si="1"/>
        <v>100</v>
      </c>
      <c r="V13" s="1569" t="s">
        <v>11</v>
      </c>
      <c r="W13" s="1570">
        <f t="shared" si="2"/>
        <v>100</v>
      </c>
      <c r="X13" s="1571"/>
      <c r="Y13" s="3341"/>
      <c r="Z13" s="1150">
        <f t="shared" si="7"/>
        <v>111</v>
      </c>
      <c r="AA13" s="1572">
        <f t="shared" si="3"/>
        <v>1</v>
      </c>
      <c r="AB13" s="1572">
        <f t="shared" si="4"/>
        <v>1</v>
      </c>
      <c r="AC13" s="1572">
        <f t="shared" si="5"/>
        <v>1</v>
      </c>
    </row>
    <row r="14" spans="1:29" ht="15.75" hidden="1"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95"/>
      <c r="Q14" s="1151">
        <f t="shared" si="6"/>
        <v>111</v>
      </c>
      <c r="R14" s="1569" t="s">
        <v>11</v>
      </c>
      <c r="S14" s="1570">
        <f t="shared" si="0"/>
        <v>100</v>
      </c>
      <c r="T14" s="1569" t="s">
        <v>11</v>
      </c>
      <c r="U14" s="1570">
        <f t="shared" si="1"/>
        <v>100</v>
      </c>
      <c r="V14" s="1569" t="s">
        <v>11</v>
      </c>
      <c r="W14" s="1570">
        <f t="shared" si="2"/>
        <v>100</v>
      </c>
      <c r="X14" s="1571"/>
      <c r="Y14" s="3341"/>
      <c r="Z14" s="1150">
        <f t="shared" si="7"/>
        <v>111</v>
      </c>
      <c r="AA14" s="1572">
        <f t="shared" si="3"/>
        <v>1</v>
      </c>
      <c r="AB14" s="1572">
        <f t="shared" si="4"/>
        <v>1</v>
      </c>
      <c r="AC14" s="1572">
        <f t="shared" si="5"/>
        <v>1</v>
      </c>
    </row>
    <row r="15" spans="1:29" ht="99.75">
      <c r="A15" s="2934"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97</v>
      </c>
      <c r="G15" s="552"/>
      <c r="H15" s="549">
        <f>SUMIF(76:76,G16,77:77)-SUMIF(76:76,C16,77:77)+100</f>
        <v>97</v>
      </c>
      <c r="I15" s="550"/>
      <c r="J15" s="549">
        <f>SUMIF(76:76,I16,77:77)-SUMIF(76:76,C16,77:77)+100</f>
        <v>97</v>
      </c>
      <c r="K15" s="868">
        <f>'比较法-住宅、综合'!K17</f>
        <v>3</v>
      </c>
      <c r="L15" s="2142"/>
      <c r="M15" s="2134"/>
      <c r="N15" s="2134"/>
      <c r="O15" s="2141"/>
      <c r="P15" s="3431" t="s">
        <v>540</v>
      </c>
      <c r="Q15" s="1573" t="str">
        <f t="shared" si="6"/>
        <v>居住社区成熟度</v>
      </c>
      <c r="R15" s="1574" t="s">
        <v>11</v>
      </c>
      <c r="S15" s="1575">
        <f t="shared" si="0"/>
        <v>97</v>
      </c>
      <c r="T15" s="1574" t="s">
        <v>11</v>
      </c>
      <c r="U15" s="1575">
        <f t="shared" si="1"/>
        <v>97</v>
      </c>
      <c r="V15" s="1574" t="s">
        <v>11</v>
      </c>
      <c r="W15" s="1575">
        <f t="shared" si="2"/>
        <v>97</v>
      </c>
      <c r="X15" s="1568"/>
      <c r="Y15" s="3431" t="s">
        <v>540</v>
      </c>
      <c r="Z15" s="1576" t="str">
        <f t="shared" si="7"/>
        <v>居住社区成熟度</v>
      </c>
      <c r="AA15" s="1577">
        <f t="shared" si="3"/>
        <v>1.0309278350515463</v>
      </c>
      <c r="AB15" s="1577">
        <f t="shared" si="4"/>
        <v>1.0309278350515463</v>
      </c>
      <c r="AC15" s="1577">
        <f t="shared" si="5"/>
        <v>1.0309278350515463</v>
      </c>
    </row>
    <row r="16" spans="1:29" ht="15">
      <c r="A16" s="532"/>
      <c r="B16" s="869"/>
      <c r="C16" s="576" t="str">
        <f>'比较法-住宅、综合'!C18</f>
        <v>较好</v>
      </c>
      <c r="D16" s="555"/>
      <c r="E16" s="3196" t="str">
        <f>'比较法-住宅、综合'!E18</f>
        <v>一般</v>
      </c>
      <c r="F16" s="557"/>
      <c r="G16" s="3196" t="str">
        <f>'比较法-住宅、综合'!G18</f>
        <v>一般</v>
      </c>
      <c r="H16" s="559"/>
      <c r="I16" s="3196" t="s">
        <v>3011</v>
      </c>
      <c r="J16" s="555"/>
      <c r="K16" s="870"/>
      <c r="L16" s="2142"/>
      <c r="M16" s="2134"/>
      <c r="N16" s="2134"/>
      <c r="O16" s="2141"/>
      <c r="P16" s="3432"/>
      <c r="Q16" s="1573"/>
      <c r="R16" s="1574"/>
      <c r="S16" s="1575"/>
      <c r="T16" s="1574"/>
      <c r="U16" s="1575"/>
      <c r="V16" s="1574"/>
      <c r="W16" s="1575"/>
      <c r="X16" s="1568"/>
      <c r="Y16" s="343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f>'比较法-住宅、综合'!K23</f>
        <v>3</v>
      </c>
      <c r="L17" s="2142"/>
      <c r="M17" s="2134"/>
      <c r="N17" s="2134"/>
      <c r="O17" s="2141"/>
      <c r="P17" s="3432"/>
      <c r="Q17" s="1573" t="str">
        <f>B17</f>
        <v>交通便捷度</v>
      </c>
      <c r="R17" s="1574" t="s">
        <v>11</v>
      </c>
      <c r="S17" s="1575">
        <f>F17</f>
        <v>100</v>
      </c>
      <c r="T17" s="1574" t="s">
        <v>11</v>
      </c>
      <c r="U17" s="1575">
        <f>H17</f>
        <v>100</v>
      </c>
      <c r="V17" s="1574" t="s">
        <v>11</v>
      </c>
      <c r="W17" s="1575">
        <f>J17</f>
        <v>100</v>
      </c>
      <c r="X17" s="1568"/>
      <c r="Y17" s="3432"/>
      <c r="Z17" s="1576" t="str">
        <f>Q17</f>
        <v>交通便捷度</v>
      </c>
      <c r="AA17" s="1577">
        <f t="shared" si="3"/>
        <v>1</v>
      </c>
      <c r="AB17" s="1577">
        <f t="shared" si="4"/>
        <v>1</v>
      </c>
      <c r="AC17" s="1577">
        <f t="shared" si="5"/>
        <v>1</v>
      </c>
    </row>
    <row r="18" spans="1:29" ht="15">
      <c r="A18" s="532"/>
      <c r="B18" s="595"/>
      <c r="C18" s="873" t="str">
        <f>'比较法-住宅、综合'!C24</f>
        <v>一般</v>
      </c>
      <c r="D18" s="559"/>
      <c r="E18" s="568" t="s">
        <v>3011</v>
      </c>
      <c r="F18" s="563"/>
      <c r="G18" s="569" t="s">
        <v>3011</v>
      </c>
      <c r="H18" s="555"/>
      <c r="I18" s="568" t="s">
        <v>3011</v>
      </c>
      <c r="J18" s="555"/>
      <c r="K18" s="870"/>
      <c r="L18" s="2142"/>
      <c r="M18" s="2134"/>
      <c r="N18" s="2134"/>
      <c r="O18" s="2141"/>
      <c r="P18" s="3432"/>
      <c r="Q18" s="1573"/>
      <c r="R18" s="1574"/>
      <c r="S18" s="1575"/>
      <c r="T18" s="1574"/>
      <c r="U18" s="1575"/>
      <c r="V18" s="1574"/>
      <c r="W18" s="1575"/>
      <c r="X18" s="1568"/>
      <c r="Y18" s="3432"/>
      <c r="Z18" s="1576"/>
      <c r="AA18" s="1577">
        <v>1</v>
      </c>
      <c r="AB18" s="1577">
        <v>1</v>
      </c>
      <c r="AC18" s="1577">
        <v>1</v>
      </c>
    </row>
    <row r="19" spans="1:29" ht="42.75">
      <c r="A19" s="532"/>
      <c r="B19" s="2624" t="s">
        <v>2546</v>
      </c>
      <c r="C19" s="872" t="str">
        <f>估价对象房地状况!C7</f>
        <v>估价对象所在区域公共配套设施齐备情况</v>
      </c>
      <c r="D19" s="565">
        <v>100</v>
      </c>
      <c r="E19" s="570"/>
      <c r="F19" s="571">
        <f>SUMIF(80:80,E20,81:81)-SUMIF(80:80,C20,81:81)+100</f>
        <v>98</v>
      </c>
      <c r="G19" s="572"/>
      <c r="H19" s="559">
        <f>SUMIF(80:80,G20,81:81)-SUMIF(80:80,C20,81:81)+100</f>
        <v>98</v>
      </c>
      <c r="I19" s="570"/>
      <c r="J19" s="559">
        <f>SUMIF(80:80,I20,81:81)-SUMIF(80:80,C20,81:81)+100</f>
        <v>100</v>
      </c>
      <c r="K19" s="868">
        <f>'比较法-住宅、综合'!K29</f>
        <v>2</v>
      </c>
      <c r="L19" s="2142"/>
      <c r="M19" s="2134"/>
      <c r="N19" s="2134"/>
      <c r="O19" s="2141"/>
      <c r="P19" s="3432"/>
      <c r="Q19" s="1573" t="str">
        <f>B19</f>
        <v>公共配套设施</v>
      </c>
      <c r="R19" s="1574" t="s">
        <v>11</v>
      </c>
      <c r="S19" s="1575">
        <f>F19</f>
        <v>98</v>
      </c>
      <c r="T19" s="1574" t="s">
        <v>11</v>
      </c>
      <c r="U19" s="1575">
        <f>H19</f>
        <v>98</v>
      </c>
      <c r="V19" s="1574" t="s">
        <v>11</v>
      </c>
      <c r="W19" s="1575">
        <f>J19</f>
        <v>100</v>
      </c>
      <c r="X19" s="1568"/>
      <c r="Y19" s="3432"/>
      <c r="Z19" s="1576" t="str">
        <f>Q19</f>
        <v>公共配套设施</v>
      </c>
      <c r="AA19" s="1577">
        <f t="shared" si="3"/>
        <v>1.0204081632653061</v>
      </c>
      <c r="AB19" s="1577">
        <f t="shared" si="4"/>
        <v>1.0204081632653061</v>
      </c>
      <c r="AC19" s="1577">
        <f t="shared" si="5"/>
        <v>1</v>
      </c>
    </row>
    <row r="20" spans="1:29" ht="15">
      <c r="A20" s="532"/>
      <c r="B20" s="595"/>
      <c r="C20" s="576" t="str">
        <f>'比较法-住宅、综合'!C30</f>
        <v>一般</v>
      </c>
      <c r="D20" s="555"/>
      <c r="E20" s="3196" t="str">
        <f>'比较法-住宅、综合'!E30</f>
        <v>较差</v>
      </c>
      <c r="F20" s="557"/>
      <c r="G20" s="3196" t="str">
        <f>'比较法-住宅、综合'!G30</f>
        <v>较差</v>
      </c>
      <c r="H20" s="555"/>
      <c r="I20" s="3196" t="str">
        <f>'比较法-住宅、综合'!I30</f>
        <v>一般</v>
      </c>
      <c r="J20" s="555"/>
      <c r="K20" s="870"/>
      <c r="L20" s="2142"/>
      <c r="M20" s="2134"/>
      <c r="N20" s="2134"/>
      <c r="O20" s="2141"/>
      <c r="P20" s="3432"/>
      <c r="Q20" s="1573"/>
      <c r="R20" s="1574"/>
      <c r="S20" s="1575"/>
      <c r="T20" s="1574"/>
      <c r="U20" s="1575"/>
      <c r="V20" s="1574"/>
      <c r="W20" s="1575"/>
      <c r="X20" s="1568"/>
      <c r="Y20" s="3432"/>
      <c r="Z20" s="1576"/>
      <c r="AA20" s="1577">
        <v>1</v>
      </c>
      <c r="AB20" s="1577">
        <v>1</v>
      </c>
      <c r="AC20" s="1577">
        <v>1</v>
      </c>
    </row>
    <row r="21" spans="1:29" ht="28.5">
      <c r="A21" s="532"/>
      <c r="B21" s="2617"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432"/>
      <c r="Q21" s="2603" t="str">
        <f>B21</f>
        <v>基础设施水平</v>
      </c>
      <c r="R21" s="1574" t="s">
        <v>11</v>
      </c>
      <c r="S21" s="1575">
        <f>F21</f>
        <v>100</v>
      </c>
      <c r="T21" s="1574" t="s">
        <v>11</v>
      </c>
      <c r="U21" s="1575">
        <f>H21</f>
        <v>100</v>
      </c>
      <c r="V21" s="1574" t="s">
        <v>11</v>
      </c>
      <c r="W21" s="1575">
        <f>J21</f>
        <v>100</v>
      </c>
      <c r="X21" s="2605"/>
      <c r="Y21" s="3432"/>
      <c r="Z21" s="2604" t="str">
        <f>Q21</f>
        <v>基础设施水平</v>
      </c>
      <c r="AA21" s="1577">
        <f>D21/F21</f>
        <v>1</v>
      </c>
      <c r="AB21" s="1577">
        <f>D21/H21</f>
        <v>1</v>
      </c>
      <c r="AC21" s="1577">
        <f>D21/J21</f>
        <v>1</v>
      </c>
    </row>
    <row r="22" spans="1:29" ht="15">
      <c r="A22" s="532"/>
      <c r="B22" s="922"/>
      <c r="C22" s="873" t="str">
        <f>'比较法-住宅、综合'!C32</f>
        <v>六通</v>
      </c>
      <c r="D22" s="555"/>
      <c r="E22" s="576" t="s">
        <v>3013</v>
      </c>
      <c r="F22" s="557"/>
      <c r="G22" s="576" t="s">
        <v>3013</v>
      </c>
      <c r="H22" s="555"/>
      <c r="I22" s="576" t="s">
        <v>3013</v>
      </c>
      <c r="J22" s="555"/>
      <c r="K22" s="2623"/>
      <c r="L22" s="2142"/>
      <c r="M22" s="2134"/>
      <c r="N22" s="2134"/>
      <c r="O22" s="2141"/>
      <c r="P22" s="3432"/>
      <c r="Q22" s="2603"/>
      <c r="R22" s="1574"/>
      <c r="S22" s="1575"/>
      <c r="T22" s="1574"/>
      <c r="U22" s="1575"/>
      <c r="V22" s="1574"/>
      <c r="W22" s="1575"/>
      <c r="X22" s="2605"/>
      <c r="Y22" s="3432"/>
      <c r="Z22" s="2604"/>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f>'比较法-住宅、综合'!K27</f>
        <v>3</v>
      </c>
      <c r="L23" s="2142"/>
      <c r="M23" s="2134"/>
      <c r="N23" s="2134"/>
      <c r="O23" s="2141"/>
      <c r="P23" s="3432"/>
      <c r="Q23" s="1573" t="str">
        <f>B23</f>
        <v>自然及人文环境</v>
      </c>
      <c r="R23" s="1574" t="s">
        <v>11</v>
      </c>
      <c r="S23" s="1575">
        <f>F23</f>
        <v>100</v>
      </c>
      <c r="T23" s="1574" t="s">
        <v>11</v>
      </c>
      <c r="U23" s="1575">
        <f>H23</f>
        <v>100</v>
      </c>
      <c r="V23" s="1574" t="s">
        <v>11</v>
      </c>
      <c r="W23" s="1575">
        <f>J23</f>
        <v>100</v>
      </c>
      <c r="X23" s="1568"/>
      <c r="Y23" s="3432"/>
      <c r="Z23" s="1576" t="str">
        <f>Q23</f>
        <v>自然及人文环境</v>
      </c>
      <c r="AA23" s="1577">
        <f t="shared" si="3"/>
        <v>1</v>
      </c>
      <c r="AB23" s="1577">
        <f t="shared" si="4"/>
        <v>1</v>
      </c>
      <c r="AC23" s="1577">
        <f t="shared" si="5"/>
        <v>1</v>
      </c>
    </row>
    <row r="24" spans="1:29" ht="15.75" thickBot="1">
      <c r="A24" s="532"/>
      <c r="B24" s="595"/>
      <c r="C24" s="576" t="str">
        <f>'比较法-住宅、综合'!C28</f>
        <v>好</v>
      </c>
      <c r="D24" s="555"/>
      <c r="E24" s="556" t="s">
        <v>3012</v>
      </c>
      <c r="F24" s="557"/>
      <c r="G24" s="558" t="s">
        <v>3012</v>
      </c>
      <c r="H24" s="555"/>
      <c r="I24" s="556" t="s">
        <v>3012</v>
      </c>
      <c r="J24" s="555"/>
      <c r="K24" s="870"/>
      <c r="L24" s="2142"/>
      <c r="M24" s="2134"/>
      <c r="N24" s="2134"/>
      <c r="O24" s="2141"/>
      <c r="P24" s="3432"/>
      <c r="Q24" s="1573"/>
      <c r="R24" s="1574"/>
      <c r="S24" s="1575"/>
      <c r="T24" s="1574"/>
      <c r="U24" s="1575"/>
      <c r="V24" s="1574"/>
      <c r="W24" s="1575"/>
      <c r="X24" s="1568"/>
      <c r="Y24" s="3432"/>
      <c r="Z24" s="1576"/>
      <c r="AA24" s="1577">
        <v>1</v>
      </c>
      <c r="AB24" s="1577">
        <v>1</v>
      </c>
      <c r="AC24" s="1577">
        <v>1</v>
      </c>
    </row>
    <row r="25" spans="1:29" ht="15" hidden="1">
      <c r="A25" s="532"/>
      <c r="B25" s="1895" t="s">
        <v>2256</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32"/>
      <c r="Q25" s="1573" t="str">
        <f t="shared" ref="Q25:Q46" si="8">B25</f>
        <v>楼层-1</v>
      </c>
      <c r="R25" s="1574" t="s">
        <v>11</v>
      </c>
      <c r="S25" s="1575">
        <f>F25</f>
        <v>100</v>
      </c>
      <c r="T25" s="1574" t="s">
        <v>11</v>
      </c>
      <c r="U25" s="1575">
        <f>H25</f>
        <v>100</v>
      </c>
      <c r="V25" s="1574" t="s">
        <v>11</v>
      </c>
      <c r="W25" s="1575">
        <f>J25</f>
        <v>100</v>
      </c>
      <c r="X25" s="1568"/>
      <c r="Y25" s="3432"/>
      <c r="Z25" s="1576" t="str">
        <f>Q25</f>
        <v>楼层-1</v>
      </c>
      <c r="AA25" s="1577">
        <f t="shared" si="3"/>
        <v>1</v>
      </c>
      <c r="AB25" s="1577">
        <f t="shared" si="4"/>
        <v>1</v>
      </c>
      <c r="AC25" s="1577">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32"/>
      <c r="Q26" s="1573" t="str">
        <f t="shared" si="8"/>
        <v>朝向</v>
      </c>
      <c r="R26" s="1574" t="s">
        <v>11</v>
      </c>
      <c r="S26" s="1575">
        <f>F26</f>
        <v>100</v>
      </c>
      <c r="T26" s="1574" t="s">
        <v>11</v>
      </c>
      <c r="U26" s="1575">
        <f>H26</f>
        <v>100</v>
      </c>
      <c r="V26" s="1574" t="s">
        <v>11</v>
      </c>
      <c r="W26" s="1575">
        <f>J26</f>
        <v>100</v>
      </c>
      <c r="X26" s="1568"/>
      <c r="Y26" s="3432"/>
      <c r="Z26" s="1576" t="str">
        <f>Q26</f>
        <v>朝向</v>
      </c>
      <c r="AA26" s="1577">
        <f t="shared" si="3"/>
        <v>1</v>
      </c>
      <c r="AB26" s="1577">
        <f t="shared" si="4"/>
        <v>1</v>
      </c>
      <c r="AC26" s="1577">
        <f t="shared" si="5"/>
        <v>1</v>
      </c>
    </row>
    <row r="27" spans="1:29" s="1220"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32"/>
      <c r="Q27" s="1151" t="str">
        <f t="shared" si="8"/>
        <v>道路级别</v>
      </c>
      <c r="R27" s="1569" t="s">
        <v>11</v>
      </c>
      <c r="S27" s="1570">
        <f>F27</f>
        <v>100</v>
      </c>
      <c r="T27" s="1569" t="s">
        <v>11</v>
      </c>
      <c r="U27" s="1570">
        <f>H27</f>
        <v>100</v>
      </c>
      <c r="V27" s="1569" t="s">
        <v>11</v>
      </c>
      <c r="W27" s="1570">
        <f>J27</f>
        <v>100</v>
      </c>
      <c r="X27" s="1571"/>
      <c r="Y27" s="3432"/>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32"/>
      <c r="Q28" s="1573">
        <f t="shared" si="8"/>
        <v>111</v>
      </c>
      <c r="R28" s="1574" t="s">
        <v>11</v>
      </c>
      <c r="S28" s="1575">
        <f t="shared" ref="S28:S46" si="9">F28</f>
        <v>100</v>
      </c>
      <c r="T28" s="1574" t="s">
        <v>11</v>
      </c>
      <c r="U28" s="1575">
        <f t="shared" ref="U28:U46" si="10">H28</f>
        <v>100</v>
      </c>
      <c r="V28" s="1574" t="s">
        <v>11</v>
      </c>
      <c r="W28" s="1575">
        <f t="shared" ref="W28:W46" si="11">J28</f>
        <v>100</v>
      </c>
      <c r="X28" s="1568"/>
      <c r="Y28" s="3432"/>
      <c r="Z28" s="1576">
        <f t="shared" ref="Z28:Z46" si="12">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32"/>
      <c r="Q29" s="1573">
        <f t="shared" si="8"/>
        <v>111</v>
      </c>
      <c r="R29" s="1574" t="s">
        <v>11</v>
      </c>
      <c r="S29" s="1575">
        <f t="shared" si="9"/>
        <v>100</v>
      </c>
      <c r="T29" s="1574" t="s">
        <v>11</v>
      </c>
      <c r="U29" s="1575">
        <f t="shared" si="10"/>
        <v>100</v>
      </c>
      <c r="V29" s="1574" t="s">
        <v>11</v>
      </c>
      <c r="W29" s="1575">
        <f t="shared" si="11"/>
        <v>100</v>
      </c>
      <c r="X29" s="1568"/>
      <c r="Y29" s="3432"/>
      <c r="Z29" s="1576">
        <f t="shared" si="12"/>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32"/>
      <c r="Q30" s="1573">
        <f t="shared" si="8"/>
        <v>111</v>
      </c>
      <c r="R30" s="1574" t="s">
        <v>11</v>
      </c>
      <c r="S30" s="1575">
        <f t="shared" si="9"/>
        <v>100</v>
      </c>
      <c r="T30" s="1574" t="s">
        <v>11</v>
      </c>
      <c r="U30" s="1575">
        <f t="shared" si="10"/>
        <v>100</v>
      </c>
      <c r="V30" s="1574" t="s">
        <v>11</v>
      </c>
      <c r="W30" s="1575">
        <f t="shared" si="11"/>
        <v>100</v>
      </c>
      <c r="X30" s="1568"/>
      <c r="Y30" s="3432"/>
      <c r="Z30" s="1576">
        <f t="shared" si="12"/>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32"/>
      <c r="Q31" s="1573">
        <f t="shared" si="8"/>
        <v>111</v>
      </c>
      <c r="R31" s="1574" t="s">
        <v>11</v>
      </c>
      <c r="S31" s="1575">
        <f t="shared" si="9"/>
        <v>100</v>
      </c>
      <c r="T31" s="1574" t="s">
        <v>11</v>
      </c>
      <c r="U31" s="1575">
        <f t="shared" si="10"/>
        <v>100</v>
      </c>
      <c r="V31" s="1574" t="s">
        <v>11</v>
      </c>
      <c r="W31" s="1575">
        <f t="shared" si="11"/>
        <v>100</v>
      </c>
      <c r="X31" s="1568"/>
      <c r="Y31" s="3432"/>
      <c r="Z31" s="1576">
        <f t="shared" si="12"/>
        <v>111</v>
      </c>
      <c r="AA31" s="1577">
        <f t="shared" si="3"/>
        <v>1</v>
      </c>
      <c r="AB31" s="1577">
        <f t="shared" si="4"/>
        <v>1</v>
      </c>
      <c r="AC31" s="1577">
        <f t="shared" si="5"/>
        <v>1</v>
      </c>
    </row>
    <row r="32" spans="1:29" ht="15">
      <c r="A32" s="2931" t="s">
        <v>2755</v>
      </c>
      <c r="B32" s="172" t="s">
        <v>725</v>
      </c>
      <c r="C32" s="878" t="s">
        <v>3074</v>
      </c>
      <c r="D32" s="597">
        <v>100</v>
      </c>
      <c r="E32" s="879" t="s">
        <v>3074</v>
      </c>
      <c r="F32" s="575">
        <f>SUMIF(100:100,E32,101:101)-SUMIF(100:100,C32,101:101)+100</f>
        <v>100</v>
      </c>
      <c r="G32" s="878" t="s">
        <v>3074</v>
      </c>
      <c r="H32" s="597">
        <f>SUMIF(100:100,G32,101:101)-SUMIF(100:100,C32,101:101)+100</f>
        <v>100</v>
      </c>
      <c r="I32" s="879" t="s">
        <v>3074</v>
      </c>
      <c r="J32" s="540">
        <f>SUMIF(100:100,I32,101:101)-SUMIF(100:100,C32,101:101)+100</f>
        <v>100</v>
      </c>
      <c r="K32" s="864"/>
      <c r="L32" s="2142"/>
      <c r="M32" s="2134"/>
      <c r="N32" s="2134"/>
      <c r="O32" s="2141"/>
      <c r="P32" s="3433" t="s">
        <v>550</v>
      </c>
      <c r="Q32" s="1573" t="str">
        <f t="shared" si="8"/>
        <v>建筑类型</v>
      </c>
      <c r="R32" s="1574" t="s">
        <v>11</v>
      </c>
      <c r="S32" s="1575">
        <f t="shared" si="9"/>
        <v>100</v>
      </c>
      <c r="T32" s="1574" t="s">
        <v>11</v>
      </c>
      <c r="U32" s="1575">
        <f t="shared" si="10"/>
        <v>100</v>
      </c>
      <c r="V32" s="1574" t="s">
        <v>11</v>
      </c>
      <c r="W32" s="1575">
        <f t="shared" si="11"/>
        <v>100</v>
      </c>
      <c r="X32" s="1568"/>
      <c r="Y32" s="3434" t="s">
        <v>550</v>
      </c>
      <c r="Z32" s="1576" t="str">
        <f t="shared" si="12"/>
        <v>建筑类型</v>
      </c>
      <c r="AA32" s="1577">
        <f t="shared" si="3"/>
        <v>1</v>
      </c>
      <c r="AB32" s="1577">
        <f t="shared" si="4"/>
        <v>1</v>
      </c>
      <c r="AC32" s="1577">
        <f t="shared" si="5"/>
        <v>1</v>
      </c>
    </row>
    <row r="33" spans="1:29" s="1339" customFormat="1" ht="15">
      <c r="A33" s="603"/>
      <c r="B33" s="527" t="s">
        <v>726</v>
      </c>
      <c r="C33" s="3204">
        <v>877761</v>
      </c>
      <c r="D33" s="255">
        <v>100</v>
      </c>
      <c r="E33" s="534">
        <v>230552</v>
      </c>
      <c r="F33" s="863">
        <f>LOOKUP(E33,103:103,104:104)-LOOKUP(C33,103:103,104:104)+100</f>
        <v>97</v>
      </c>
      <c r="G33" s="533">
        <v>203418</v>
      </c>
      <c r="H33" s="255">
        <f>LOOKUP(G33,103:103,104:104)-LOOKUP(C33,103:103,104:104)+100</f>
        <v>97</v>
      </c>
      <c r="I33" s="534">
        <v>370000</v>
      </c>
      <c r="J33" s="255">
        <f>LOOKUP(I33,103:103,104:104)-LOOKUP(C33,103:103,104:104)+100</f>
        <v>98</v>
      </c>
      <c r="K33" s="865"/>
      <c r="L33" s="2140"/>
      <c r="M33" s="2171"/>
      <c r="N33" s="2171"/>
      <c r="O33" s="2143"/>
      <c r="P33" s="3434"/>
      <c r="Q33" s="1606" t="str">
        <f t="shared" si="8"/>
        <v>项目建筑规模</v>
      </c>
      <c r="R33" s="1578" t="s">
        <v>11</v>
      </c>
      <c r="S33" s="1579">
        <f t="shared" si="9"/>
        <v>97</v>
      </c>
      <c r="T33" s="1578" t="s">
        <v>11</v>
      </c>
      <c r="U33" s="1579">
        <f t="shared" si="10"/>
        <v>97</v>
      </c>
      <c r="V33" s="1578" t="s">
        <v>11</v>
      </c>
      <c r="W33" s="1579">
        <f t="shared" si="11"/>
        <v>98</v>
      </c>
      <c r="X33" s="1580"/>
      <c r="Y33" s="3434"/>
      <c r="Z33" s="1581" t="str">
        <f t="shared" si="12"/>
        <v>项目建筑规模</v>
      </c>
      <c r="AA33" s="1577">
        <f t="shared" si="3"/>
        <v>1.0309278350515463</v>
      </c>
      <c r="AB33" s="1577">
        <f t="shared" si="4"/>
        <v>1.0309278350515463</v>
      </c>
      <c r="AC33" s="1577">
        <f t="shared" si="5"/>
        <v>1.0204081632653061</v>
      </c>
    </row>
    <row r="34" spans="1:29" ht="15">
      <c r="A34" s="594"/>
      <c r="B34" s="527" t="s">
        <v>727</v>
      </c>
      <c r="C34" s="881" t="s">
        <v>3045</v>
      </c>
      <c r="D34" s="540">
        <v>100</v>
      </c>
      <c r="E34" s="882" t="s">
        <v>3045</v>
      </c>
      <c r="F34" s="575">
        <f>SUMIF(105:105,E34,106:106)-SUMIF(105:105,C34,106:106)+100</f>
        <v>100</v>
      </c>
      <c r="G34" s="881" t="s">
        <v>3045</v>
      </c>
      <c r="H34" s="540">
        <f>SUMIF(105:105,G34,106:106)-SUMIF(105:105,C34,106:106)+100</f>
        <v>100</v>
      </c>
      <c r="I34" s="882" t="s">
        <v>3045</v>
      </c>
      <c r="J34" s="540">
        <f>SUMIF(105:105,I34,106:106)-SUMIF(105:105,C34,106:106)+100</f>
        <v>100</v>
      </c>
      <c r="K34" s="864"/>
      <c r="L34" s="2142"/>
      <c r="M34" s="2134"/>
      <c r="N34" s="2134"/>
      <c r="O34" s="2141"/>
      <c r="P34" s="3434"/>
      <c r="Q34" s="1573" t="str">
        <f t="shared" si="8"/>
        <v>建筑结构</v>
      </c>
      <c r="R34" s="1574" t="s">
        <v>11</v>
      </c>
      <c r="S34" s="1575">
        <f t="shared" si="9"/>
        <v>100</v>
      </c>
      <c r="T34" s="1574" t="s">
        <v>11</v>
      </c>
      <c r="U34" s="1575">
        <f t="shared" si="10"/>
        <v>100</v>
      </c>
      <c r="V34" s="1574" t="s">
        <v>11</v>
      </c>
      <c r="W34" s="1575">
        <f t="shared" si="11"/>
        <v>100</v>
      </c>
      <c r="X34" s="1568"/>
      <c r="Y34" s="3434"/>
      <c r="Z34" s="1576" t="str">
        <f t="shared" si="12"/>
        <v>建筑结构</v>
      </c>
      <c r="AA34" s="1577">
        <f t="shared" si="3"/>
        <v>1</v>
      </c>
      <c r="AB34" s="1577">
        <f t="shared" si="4"/>
        <v>1</v>
      </c>
      <c r="AC34" s="1577">
        <f t="shared" si="5"/>
        <v>1</v>
      </c>
    </row>
    <row r="35" spans="1:29" ht="15">
      <c r="A35" s="594"/>
      <c r="B35" s="527" t="s">
        <v>728</v>
      </c>
      <c r="C35" s="599" t="s">
        <v>3080</v>
      </c>
      <c r="D35" s="540">
        <v>100</v>
      </c>
      <c r="E35" s="874" t="s">
        <v>3082</v>
      </c>
      <c r="F35" s="575">
        <f>SUMIF(107:107,E35,108:108)-SUMIF(107:107,C35,108:108)+100</f>
        <v>95</v>
      </c>
      <c r="G35" s="599" t="s">
        <v>3082</v>
      </c>
      <c r="H35" s="540">
        <f>SUMIF(107:107,G35,108:108)-SUMIF(107:107,C35,108:108)+100</f>
        <v>95</v>
      </c>
      <c r="I35" s="874" t="s">
        <v>3082</v>
      </c>
      <c r="J35" s="540">
        <f>SUMIF(107:107,I35,108:108)-SUMIF(107:107,C35,108:108)+100</f>
        <v>95</v>
      </c>
      <c r="K35" s="864">
        <v>5</v>
      </c>
      <c r="L35" s="2142"/>
      <c r="M35" s="2134"/>
      <c r="N35" s="2134"/>
      <c r="O35" s="2141"/>
      <c r="P35" s="3434"/>
      <c r="Q35" s="1573" t="str">
        <f t="shared" si="8"/>
        <v>建筑品质</v>
      </c>
      <c r="R35" s="1574" t="s">
        <v>11</v>
      </c>
      <c r="S35" s="1575">
        <f t="shared" si="9"/>
        <v>95</v>
      </c>
      <c r="T35" s="1574" t="s">
        <v>11</v>
      </c>
      <c r="U35" s="1575">
        <f t="shared" si="10"/>
        <v>95</v>
      </c>
      <c r="V35" s="1574" t="s">
        <v>11</v>
      </c>
      <c r="W35" s="1575">
        <f t="shared" si="11"/>
        <v>95</v>
      </c>
      <c r="X35" s="1568"/>
      <c r="Y35" s="3434"/>
      <c r="Z35" s="1576" t="str">
        <f t="shared" si="12"/>
        <v>建筑品质</v>
      </c>
      <c r="AA35" s="1577">
        <f t="shared" si="3"/>
        <v>1.0526315789473684</v>
      </c>
      <c r="AB35" s="1577">
        <f t="shared" si="4"/>
        <v>1.0526315789473684</v>
      </c>
      <c r="AC35" s="1577">
        <f t="shared" si="5"/>
        <v>1.0526315789473684</v>
      </c>
    </row>
    <row r="36" spans="1:29" ht="15">
      <c r="A36" s="594"/>
      <c r="B36" s="527" t="s">
        <v>729</v>
      </c>
      <c r="C36" s="3203" t="s">
        <v>3105</v>
      </c>
      <c r="D36" s="540">
        <v>100</v>
      </c>
      <c r="E36" s="874" t="s">
        <v>3085</v>
      </c>
      <c r="F36" s="575">
        <f>SUMIF(109:109,E36,110:110)-SUMIF(109:109,C36,110:110)+100</f>
        <v>97</v>
      </c>
      <c r="G36" s="599" t="s">
        <v>3085</v>
      </c>
      <c r="H36" s="540">
        <f>SUMIF(109:109,G36,110:110)-SUMIF(109:109,C36,110:110)+100</f>
        <v>97</v>
      </c>
      <c r="I36" s="874" t="s">
        <v>3085</v>
      </c>
      <c r="J36" s="540">
        <f>SUMIF(109:109,I36,110:110)-SUMIF(109:109,C36,110:110)+100</f>
        <v>97</v>
      </c>
      <c r="K36" s="3202">
        <v>3</v>
      </c>
      <c r="L36" s="2142"/>
      <c r="M36" s="2134"/>
      <c r="N36" s="2134"/>
      <c r="O36" s="2141"/>
      <c r="P36" s="3434"/>
      <c r="Q36" s="1573" t="str">
        <f t="shared" si="8"/>
        <v>公共部分装修</v>
      </c>
      <c r="R36" s="1574" t="s">
        <v>11</v>
      </c>
      <c r="S36" s="1575">
        <f t="shared" si="9"/>
        <v>97</v>
      </c>
      <c r="T36" s="1574" t="s">
        <v>11</v>
      </c>
      <c r="U36" s="1575">
        <f t="shared" si="10"/>
        <v>97</v>
      </c>
      <c r="V36" s="1574" t="s">
        <v>11</v>
      </c>
      <c r="W36" s="1575">
        <f t="shared" si="11"/>
        <v>97</v>
      </c>
      <c r="X36" s="1568"/>
      <c r="Y36" s="3434"/>
      <c r="Z36" s="1576" t="str">
        <f t="shared" si="12"/>
        <v>公共部分装修</v>
      </c>
      <c r="AA36" s="1577">
        <f t="shared" si="3"/>
        <v>1.0309278350515463</v>
      </c>
      <c r="AB36" s="1577">
        <f t="shared" si="4"/>
        <v>1.0309278350515463</v>
      </c>
      <c r="AC36" s="1577">
        <f t="shared" si="5"/>
        <v>1.0309278350515463</v>
      </c>
    </row>
    <row r="37" spans="1:29" s="1220" customFormat="1" ht="15" hidden="1">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5"/>
      <c r="M37" s="2136"/>
      <c r="N37" s="2136"/>
      <c r="O37" s="2137"/>
      <c r="P37" s="3434"/>
      <c r="Q37" s="1151" t="str">
        <f t="shared" si="8"/>
        <v>成新度</v>
      </c>
      <c r="R37" s="1569" t="s">
        <v>11</v>
      </c>
      <c r="S37" s="1570">
        <f t="shared" si="9"/>
        <v>100</v>
      </c>
      <c r="T37" s="1569" t="s">
        <v>11</v>
      </c>
      <c r="U37" s="1570">
        <f t="shared" si="10"/>
        <v>100</v>
      </c>
      <c r="V37" s="1569" t="s">
        <v>11</v>
      </c>
      <c r="W37" s="1570">
        <f t="shared" si="11"/>
        <v>100</v>
      </c>
      <c r="X37" s="1571"/>
      <c r="Y37" s="3434"/>
      <c r="Z37" s="1150" t="str">
        <f t="shared" si="12"/>
        <v>成新度</v>
      </c>
      <c r="AA37" s="1572">
        <f t="shared" si="3"/>
        <v>1</v>
      </c>
      <c r="AB37" s="1572">
        <f t="shared" si="4"/>
        <v>1</v>
      </c>
      <c r="AC37" s="1572">
        <f t="shared" si="5"/>
        <v>1</v>
      </c>
    </row>
    <row r="38" spans="1:29" ht="15">
      <c r="A38" s="594"/>
      <c r="B38" s="527" t="s">
        <v>731</v>
      </c>
      <c r="C38" s="599" t="s">
        <v>3089</v>
      </c>
      <c r="D38" s="540">
        <v>100</v>
      </c>
      <c r="E38" s="874" t="s">
        <v>3089</v>
      </c>
      <c r="F38" s="575">
        <f>SUMIF(114:114,E38,115:115)-SUMIF(114:114,C38,115:115)+100</f>
        <v>100</v>
      </c>
      <c r="G38" s="599" t="s">
        <v>3089</v>
      </c>
      <c r="H38" s="540">
        <f>SUMIF(114:114,G38,115:115)-SUMIF(114:114,C38,115:115)+100</f>
        <v>100</v>
      </c>
      <c r="I38" s="874" t="s">
        <v>3089</v>
      </c>
      <c r="J38" s="540">
        <f>SUMIF(114:114,I38,115:115)-SUMIF(114:114,C38,115:115)+100</f>
        <v>100</v>
      </c>
      <c r="K38" s="864"/>
      <c r="L38" s="2142"/>
      <c r="M38" s="2134"/>
      <c r="N38" s="2134"/>
      <c r="O38" s="2141"/>
      <c r="P38" s="3434" t="s">
        <v>550</v>
      </c>
      <c r="Q38" s="1573" t="str">
        <f t="shared" si="8"/>
        <v>物业管理</v>
      </c>
      <c r="R38" s="1574" t="s">
        <v>11</v>
      </c>
      <c r="S38" s="1575">
        <f t="shared" si="9"/>
        <v>100</v>
      </c>
      <c r="T38" s="1574" t="s">
        <v>11</v>
      </c>
      <c r="U38" s="1575">
        <f t="shared" si="10"/>
        <v>100</v>
      </c>
      <c r="V38" s="1574" t="s">
        <v>11</v>
      </c>
      <c r="W38" s="1575">
        <f t="shared" si="11"/>
        <v>100</v>
      </c>
      <c r="X38" s="1568"/>
      <c r="Y38" s="3434" t="s">
        <v>550</v>
      </c>
      <c r="Z38" s="1576" t="str">
        <f t="shared" si="12"/>
        <v>物业管理</v>
      </c>
      <c r="AA38" s="1577">
        <f t="shared" si="3"/>
        <v>1</v>
      </c>
      <c r="AB38" s="1577">
        <f t="shared" si="4"/>
        <v>1</v>
      </c>
      <c r="AC38" s="1577">
        <f t="shared" si="5"/>
        <v>1</v>
      </c>
    </row>
    <row r="39" spans="1:29" ht="15">
      <c r="A39" s="594"/>
      <c r="B39" s="1895" t="s">
        <v>2564</v>
      </c>
      <c r="C39" s="599" t="s">
        <v>3013</v>
      </c>
      <c r="D39" s="540">
        <v>100</v>
      </c>
      <c r="E39" s="874" t="s">
        <v>3013</v>
      </c>
      <c r="F39" s="575">
        <f>SUMIF(116:116,E39,117:117)-SUMIF(116:116,C39,117:117)+100</f>
        <v>100</v>
      </c>
      <c r="G39" s="599" t="s">
        <v>3013</v>
      </c>
      <c r="H39" s="540">
        <f>SUMIF(116:116,G39,117:117)-SUMIF(116:116,C39,117:117)+100</f>
        <v>100</v>
      </c>
      <c r="I39" s="874" t="s">
        <v>3013</v>
      </c>
      <c r="J39" s="540">
        <f>SUMIF(116:116,I39,117:117)-SUMIF(116:116,C39,117:117)+100</f>
        <v>100</v>
      </c>
      <c r="K39" s="864"/>
      <c r="L39" s="2142"/>
      <c r="M39" s="2134"/>
      <c r="N39" s="2134"/>
      <c r="O39" s="2141"/>
      <c r="P39" s="3434"/>
      <c r="Q39" s="1573" t="str">
        <f t="shared" si="8"/>
        <v>市政基础设施</v>
      </c>
      <c r="R39" s="1574" t="s">
        <v>11</v>
      </c>
      <c r="S39" s="1575">
        <f t="shared" si="9"/>
        <v>100</v>
      </c>
      <c r="T39" s="1574" t="s">
        <v>11</v>
      </c>
      <c r="U39" s="1575">
        <f t="shared" si="10"/>
        <v>100</v>
      </c>
      <c r="V39" s="1574" t="s">
        <v>11</v>
      </c>
      <c r="W39" s="1575">
        <f t="shared" si="11"/>
        <v>100</v>
      </c>
      <c r="X39" s="1568"/>
      <c r="Y39" s="3434"/>
      <c r="Z39" s="1576" t="str">
        <f t="shared" si="12"/>
        <v>市政基础设施</v>
      </c>
      <c r="AA39" s="1577">
        <f t="shared" si="3"/>
        <v>1</v>
      </c>
      <c r="AB39" s="1577">
        <f t="shared" si="4"/>
        <v>1</v>
      </c>
      <c r="AC39" s="1577">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34"/>
      <c r="Q40" s="1573" t="str">
        <f t="shared" si="8"/>
        <v>房型</v>
      </c>
      <c r="R40" s="1574" t="s">
        <v>11</v>
      </c>
      <c r="S40" s="1575">
        <f t="shared" si="9"/>
        <v>100</v>
      </c>
      <c r="T40" s="1574" t="s">
        <v>11</v>
      </c>
      <c r="U40" s="1575">
        <f t="shared" si="10"/>
        <v>100</v>
      </c>
      <c r="V40" s="1574" t="s">
        <v>11</v>
      </c>
      <c r="W40" s="1575">
        <f t="shared" si="11"/>
        <v>100</v>
      </c>
      <c r="X40" s="1568"/>
      <c r="Y40" s="3434"/>
      <c r="Z40" s="1576" t="str">
        <f t="shared" si="12"/>
        <v>房型</v>
      </c>
      <c r="AA40" s="1577">
        <f t="shared" si="3"/>
        <v>1</v>
      </c>
      <c r="AB40" s="1577">
        <f t="shared" si="4"/>
        <v>1</v>
      </c>
      <c r="AC40" s="1577">
        <f t="shared" si="5"/>
        <v>1</v>
      </c>
    </row>
    <row r="41" spans="1:29" s="1339" customFormat="1" ht="28.5">
      <c r="A41" s="603"/>
      <c r="B41" s="527" t="s">
        <v>733</v>
      </c>
      <c r="C41" s="880" t="s">
        <v>3100</v>
      </c>
      <c r="D41" s="255">
        <v>100</v>
      </c>
      <c r="E41" s="880" t="s">
        <v>3099</v>
      </c>
      <c r="F41" s="863">
        <f>SUMIF(120:120,E41,121:121)-SUMIF(120:120,C41,121:121)+100</f>
        <v>103</v>
      </c>
      <c r="G41" s="880" t="s">
        <v>3099</v>
      </c>
      <c r="H41" s="255">
        <f>SUMIF(120:120,G41,121:121)-SUMIF(120:120,C41,121:121)+100</f>
        <v>103</v>
      </c>
      <c r="I41" s="880" t="s">
        <v>3110</v>
      </c>
      <c r="J41" s="540">
        <f>SUMIF(120:120,I41,121:121)-SUMIF(120:120,C41,121:121)+100</f>
        <v>106</v>
      </c>
      <c r="K41" s="865"/>
      <c r="L41" s="2140"/>
      <c r="M41" s="2171"/>
      <c r="N41" s="2171"/>
      <c r="O41" s="2143"/>
      <c r="P41" s="3434"/>
      <c r="Q41" s="1606" t="str">
        <f t="shared" si="8"/>
        <v>单套/主力户型建筑面积</v>
      </c>
      <c r="R41" s="1578" t="s">
        <v>11</v>
      </c>
      <c r="S41" s="1579">
        <f t="shared" si="9"/>
        <v>103</v>
      </c>
      <c r="T41" s="1578" t="s">
        <v>11</v>
      </c>
      <c r="U41" s="1579">
        <f t="shared" si="10"/>
        <v>103</v>
      </c>
      <c r="V41" s="1578" t="s">
        <v>11</v>
      </c>
      <c r="W41" s="1579">
        <f t="shared" si="11"/>
        <v>106</v>
      </c>
      <c r="X41" s="1580"/>
      <c r="Y41" s="3434"/>
      <c r="Z41" s="1581" t="str">
        <f t="shared" si="12"/>
        <v>单套/主力户型建筑面积</v>
      </c>
      <c r="AA41" s="1577">
        <f t="shared" si="3"/>
        <v>0.970873786407767</v>
      </c>
      <c r="AB41" s="1577">
        <f t="shared" si="4"/>
        <v>0.970873786407767</v>
      </c>
      <c r="AC41" s="1577">
        <f t="shared" si="5"/>
        <v>0.94339622641509435</v>
      </c>
    </row>
    <row r="42" spans="1:29" ht="15">
      <c r="A42" s="594"/>
      <c r="B42" s="527" t="s">
        <v>734</v>
      </c>
      <c r="C42" s="599" t="s">
        <v>3088</v>
      </c>
      <c r="D42" s="540">
        <v>100</v>
      </c>
      <c r="E42" s="874" t="s">
        <v>3088</v>
      </c>
      <c r="F42" s="575">
        <f>SUMIF(122:122,E42,123:123)-SUMIF(122:122,C42,123:123)+100</f>
        <v>100</v>
      </c>
      <c r="G42" s="599" t="s">
        <v>3088</v>
      </c>
      <c r="H42" s="540">
        <f>SUMIF(122:122,G42,123:123)-SUMIF(122:122,C42,123:123)+100</f>
        <v>100</v>
      </c>
      <c r="I42" s="874" t="s">
        <v>3088</v>
      </c>
      <c r="J42" s="540">
        <f>SUMIF(122:122,I42,123:123)-SUMIF(122:122,C42,123:123)+100</f>
        <v>100</v>
      </c>
      <c r="K42" s="864"/>
      <c r="L42" s="2142"/>
      <c r="M42" s="2134"/>
      <c r="N42" s="2134"/>
      <c r="O42" s="2141"/>
      <c r="P42" s="3434"/>
      <c r="Q42" s="1573" t="str">
        <f t="shared" si="8"/>
        <v>内部装修</v>
      </c>
      <c r="R42" s="1574" t="s">
        <v>11</v>
      </c>
      <c r="S42" s="1575">
        <f t="shared" si="9"/>
        <v>100</v>
      </c>
      <c r="T42" s="1574" t="s">
        <v>11</v>
      </c>
      <c r="U42" s="1575">
        <f t="shared" si="10"/>
        <v>100</v>
      </c>
      <c r="V42" s="1574" t="s">
        <v>11</v>
      </c>
      <c r="W42" s="1575">
        <f t="shared" si="11"/>
        <v>100</v>
      </c>
      <c r="X42" s="1568"/>
      <c r="Y42" s="3434"/>
      <c r="Z42" s="1576" t="str">
        <f t="shared" si="12"/>
        <v>内部装修</v>
      </c>
      <c r="AA42" s="1577">
        <f t="shared" si="3"/>
        <v>1</v>
      </c>
      <c r="AB42" s="1577">
        <f t="shared" si="4"/>
        <v>1</v>
      </c>
      <c r="AC42" s="1577">
        <f t="shared" si="5"/>
        <v>1</v>
      </c>
    </row>
    <row r="43" spans="1:29" ht="27"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34"/>
      <c r="Q43" s="1573" t="str">
        <f t="shared" si="8"/>
        <v>内部装修维护情况</v>
      </c>
      <c r="R43" s="1574" t="s">
        <v>11</v>
      </c>
      <c r="S43" s="1575">
        <f t="shared" si="9"/>
        <v>100</v>
      </c>
      <c r="T43" s="1574" t="s">
        <v>11</v>
      </c>
      <c r="U43" s="1575">
        <f t="shared" si="10"/>
        <v>100</v>
      </c>
      <c r="V43" s="1574" t="s">
        <v>11</v>
      </c>
      <c r="W43" s="1575">
        <f t="shared" si="11"/>
        <v>100</v>
      </c>
      <c r="X43" s="1568"/>
      <c r="Y43" s="3434"/>
      <c r="Z43" s="1576" t="str">
        <f t="shared" si="12"/>
        <v>内部装修维护情况</v>
      </c>
      <c r="AA43" s="1577">
        <f t="shared" si="3"/>
        <v>1</v>
      </c>
      <c r="AB43" s="1577">
        <f t="shared" si="4"/>
        <v>1</v>
      </c>
      <c r="AC43" s="1577">
        <f t="shared" si="5"/>
        <v>1</v>
      </c>
    </row>
    <row r="44" spans="1:29" s="1220" customFormat="1" ht="15.75" thickBot="1">
      <c r="A44" s="600"/>
      <c r="B44" s="877" t="str">
        <f>'比较法-住宅、综合'!B45</f>
        <v>临海情况</v>
      </c>
      <c r="C44" s="3193" t="s">
        <v>3101</v>
      </c>
      <c r="D44" s="255">
        <v>100</v>
      </c>
      <c r="E44" s="3193" t="s">
        <v>3148</v>
      </c>
      <c r="F44" s="863">
        <f>SUMIF(126:126,E44,127:127)-SUMIF(126:126,C44,127:127)+100</f>
        <v>100</v>
      </c>
      <c r="G44" s="3193" t="s">
        <v>3108</v>
      </c>
      <c r="H44" s="255">
        <f>SUMIF(126:126,G44,127:127)-SUMIF(126:126,C44,127:127)+100</f>
        <v>95</v>
      </c>
      <c r="I44" s="3193" t="s">
        <v>3103</v>
      </c>
      <c r="J44" s="255">
        <f>SUMIF(126:126,I44,127:127)-SUMIF(126:126,C44,127:127)+100</f>
        <v>90</v>
      </c>
      <c r="K44" s="865"/>
      <c r="L44" s="2135"/>
      <c r="M44" s="2136"/>
      <c r="N44" s="2136"/>
      <c r="O44" s="2137"/>
      <c r="P44" s="3434"/>
      <c r="Q44" s="1151" t="str">
        <f t="shared" si="8"/>
        <v>临海情况</v>
      </c>
      <c r="R44" s="1569" t="s">
        <v>11</v>
      </c>
      <c r="S44" s="1570">
        <f t="shared" si="9"/>
        <v>100</v>
      </c>
      <c r="T44" s="1569" t="s">
        <v>11</v>
      </c>
      <c r="U44" s="1570">
        <f t="shared" si="10"/>
        <v>95</v>
      </c>
      <c r="V44" s="1569" t="s">
        <v>11</v>
      </c>
      <c r="W44" s="1570">
        <f t="shared" si="11"/>
        <v>90</v>
      </c>
      <c r="X44" s="1571"/>
      <c r="Y44" s="3434"/>
      <c r="Z44" s="1150" t="str">
        <f t="shared" si="12"/>
        <v>临海情况</v>
      </c>
      <c r="AA44" s="1572">
        <f t="shared" si="3"/>
        <v>1</v>
      </c>
      <c r="AB44" s="1572">
        <f t="shared" si="4"/>
        <v>1.0526315789473684</v>
      </c>
      <c r="AC44" s="1572">
        <f t="shared" si="5"/>
        <v>1.1111111111111112</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34"/>
      <c r="Q45" s="1573">
        <f t="shared" si="8"/>
        <v>111</v>
      </c>
      <c r="R45" s="1574" t="s">
        <v>11</v>
      </c>
      <c r="S45" s="1575">
        <f t="shared" si="9"/>
        <v>100</v>
      </c>
      <c r="T45" s="1574" t="s">
        <v>11</v>
      </c>
      <c r="U45" s="1575">
        <f t="shared" si="10"/>
        <v>100</v>
      </c>
      <c r="V45" s="1574" t="s">
        <v>11</v>
      </c>
      <c r="W45" s="1575">
        <f t="shared" si="11"/>
        <v>100</v>
      </c>
      <c r="X45" s="1568"/>
      <c r="Y45" s="3434"/>
      <c r="Z45" s="1576">
        <f t="shared" si="12"/>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10"/>
      <c r="Q46" s="1573">
        <f t="shared" si="8"/>
        <v>111</v>
      </c>
      <c r="R46" s="1574" t="s">
        <v>10</v>
      </c>
      <c r="S46" s="1575">
        <f t="shared" si="9"/>
        <v>100</v>
      </c>
      <c r="T46" s="1574" t="s">
        <v>10</v>
      </c>
      <c r="U46" s="1575">
        <f t="shared" si="10"/>
        <v>100</v>
      </c>
      <c r="V46" s="1574" t="s">
        <v>10</v>
      </c>
      <c r="W46" s="1575">
        <f t="shared" si="11"/>
        <v>100</v>
      </c>
      <c r="X46" s="1568"/>
      <c r="Y46" s="3510"/>
      <c r="Z46" s="1576">
        <f t="shared" si="12"/>
        <v>111</v>
      </c>
      <c r="AA46" s="1577">
        <f t="shared" si="3"/>
        <v>1</v>
      </c>
      <c r="AB46" s="1577">
        <f t="shared" si="4"/>
        <v>1</v>
      </c>
      <c r="AC46" s="1577">
        <f t="shared" si="5"/>
        <v>1</v>
      </c>
    </row>
    <row r="47" spans="1:29" ht="15">
      <c r="A47" s="607" t="s">
        <v>736</v>
      </c>
      <c r="B47" s="887"/>
      <c r="C47" s="2651" t="s">
        <v>9</v>
      </c>
      <c r="D47" s="2652"/>
      <c r="E47" s="2653">
        <v>18520</v>
      </c>
      <c r="F47" s="2654"/>
      <c r="G47" s="2655">
        <v>18556</v>
      </c>
      <c r="H47" s="2656"/>
      <c r="I47" s="2653">
        <v>17620</v>
      </c>
      <c r="J47" s="2656"/>
      <c r="K47" s="1607"/>
      <c r="L47" s="2144"/>
      <c r="M47" s="2145"/>
      <c r="N47" s="2134"/>
      <c r="O47" s="2145"/>
      <c r="P47" s="3395" t="str">
        <f>A47</f>
        <v>成交单价（元/平方米）</v>
      </c>
      <c r="Q47" s="3395"/>
      <c r="R47" s="3509">
        <f>E47</f>
        <v>18520</v>
      </c>
      <c r="S47" s="3509"/>
      <c r="T47" s="3509">
        <f>G47</f>
        <v>18556</v>
      </c>
      <c r="U47" s="3509"/>
      <c r="V47" s="3509">
        <f>I47</f>
        <v>17620</v>
      </c>
      <c r="W47" s="3509"/>
      <c r="X47" s="1560"/>
      <c r="Y47" s="1582"/>
      <c r="Z47" s="1560"/>
      <c r="AA47" s="1560"/>
      <c r="AB47" s="1560"/>
      <c r="AC47" s="1560"/>
    </row>
    <row r="48" spans="1:29" ht="15.75" thickBot="1">
      <c r="A48" s="615" t="s">
        <v>2760</v>
      </c>
      <c r="B48" s="888"/>
      <c r="C48" s="2657">
        <f>R49</f>
        <v>20686</v>
      </c>
      <c r="D48" s="2658"/>
      <c r="E48" s="2659">
        <f>R48</f>
        <v>20746</v>
      </c>
      <c r="F48" s="2659"/>
      <c r="G48" s="2657">
        <f>T48</f>
        <v>21243</v>
      </c>
      <c r="H48" s="2658"/>
      <c r="I48" s="2659">
        <f>V48</f>
        <v>20069</v>
      </c>
      <c r="J48" s="2658"/>
      <c r="K48" s="1608"/>
      <c r="L48" s="2144"/>
      <c r="M48" s="2145"/>
      <c r="N48" s="2145"/>
      <c r="O48" s="2145"/>
      <c r="P48" s="3395" t="str">
        <f>A48</f>
        <v>比较价格（元/平方米）</v>
      </c>
      <c r="Q48" s="3395"/>
      <c r="R48" s="3509">
        <f>IF(F1="售价",ROUND(PRODUCT(R47,AA7:AA46),0),ROUND(PRODUCT(R47,AA7:AA46),1))</f>
        <v>20746</v>
      </c>
      <c r="S48" s="3509"/>
      <c r="T48" s="3509">
        <f>IF(F1="售价",ROUND(PRODUCT(T47,AB7:AB46),0),ROUND(PRODUCT(T47,AB7:AB46),1))</f>
        <v>21243</v>
      </c>
      <c r="U48" s="3509"/>
      <c r="V48" s="3509">
        <f>IF(F1="售价",ROUND(PRODUCT(V47,AC7:AC46),0),ROUND(PRODUCT(V47,AC7:AC46),1))</f>
        <v>20069</v>
      </c>
      <c r="W48" s="3509"/>
      <c r="X48" s="1560"/>
      <c r="Y48" s="1560"/>
      <c r="Z48" s="1560"/>
      <c r="AA48" s="1560"/>
      <c r="AB48" s="1560"/>
      <c r="AC48" s="1560"/>
    </row>
    <row r="49" spans="1:29" ht="15.75" thickBot="1">
      <c r="A49" s="621" t="s">
        <v>2932</v>
      </c>
      <c r="B49" s="622"/>
      <c r="C49" s="2660">
        <f>R49</f>
        <v>20686</v>
      </c>
      <c r="D49" s="2660"/>
      <c r="E49" s="2660"/>
      <c r="F49" s="2660"/>
      <c r="G49" s="2660"/>
      <c r="H49" s="2660"/>
      <c r="I49" s="2660"/>
      <c r="J49" s="2660"/>
      <c r="K49" s="1609"/>
      <c r="L49" s="2144"/>
      <c r="M49" s="2145"/>
      <c r="N49" s="2145"/>
      <c r="O49" s="2145"/>
      <c r="P49" s="3392" t="str">
        <f>A49</f>
        <v>估价对象XX用房的比较价格（楼面单价，元/平方米）</v>
      </c>
      <c r="Q49" s="3393"/>
      <c r="R49" s="3508">
        <f>IF(F1="售价",ROUND(AVERAGE(R48:V48),0),ROUND(AVERAGE(R48:V48),1))</f>
        <v>20686</v>
      </c>
      <c r="S49" s="3508"/>
      <c r="T49" s="3508"/>
      <c r="U49" s="3508"/>
      <c r="V49" s="3508"/>
      <c r="W49" s="3508"/>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0.12019438444924413</v>
      </c>
      <c r="F52" s="627" t="str">
        <f>IF(OR(E52&gt;=0.3,E52&lt;=-0.3),"超过30%","")</f>
        <v/>
      </c>
      <c r="G52" s="626">
        <f>IF(G47&lt;G48,G48/G47-1,G47/G48-1)</f>
        <v>0.14480491485233893</v>
      </c>
      <c r="H52" s="627" t="str">
        <f>IF(OR(G52&gt;=0.3,G52&lt;=-0.3),"超过30%","")</f>
        <v/>
      </c>
      <c r="I52" s="626">
        <f>IF(I47&lt;I48,I48/I47-1,I47/I48-1)</f>
        <v>0.13898978433598175</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2.3956425335004417E-2</v>
      </c>
      <c r="F53" s="627" t="str">
        <f>IF(OR(E53&gt;=0.2,E53&lt;=-0.2),"超过20%","")</f>
        <v/>
      </c>
      <c r="G53" s="626">
        <f>IF(G48&lt;I48,I48/G48-1,G48/I48-1)</f>
        <v>5.8498181274602601E-2</v>
      </c>
      <c r="H53" s="627" t="str">
        <f>IF(OR(G53&gt;=0.2,G53&lt;=-0.2),"超过20%","")</f>
        <v/>
      </c>
      <c r="I53" s="626">
        <f>IF(I48&lt;E48,E48/I48-1,I48/E48-1)</f>
        <v>3.3733619014400418E-2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1.9438444924406717E-3</v>
      </c>
      <c r="F54" s="627" t="str">
        <f>IF(OR(E54&gt;=0.3,E54&lt;=-0.3),"超过30%","")</f>
        <v/>
      </c>
      <c r="G54" s="626">
        <f>IF(G47&lt;I47,I47/G47-1,G47/I47-1)</f>
        <v>5.3121452894438148E-2</v>
      </c>
      <c r="H54" s="627" t="str">
        <f>IF(OR(G54&gt;=0.3,G54&lt;=-0.3),"超过30%","")</f>
        <v/>
      </c>
      <c r="I54" s="626">
        <f>IF(I47&lt;E47,E47/I47-1,I47/E47-1)</f>
        <v>5.1078320090805818E-2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28" t="str">
        <f>YEAR(C7)&amp;"-"&amp;MONTH(C7)</f>
        <v>2018-5</v>
      </c>
      <c r="D58" s="2828">
        <f>EDATE(C58,-1)</f>
        <v>43191</v>
      </c>
      <c r="E58" s="2828">
        <f t="shared" ref="E58:O58" si="13">EDATE(D58,-1)</f>
        <v>43160</v>
      </c>
      <c r="F58" s="2828">
        <f t="shared" si="13"/>
        <v>43132</v>
      </c>
      <c r="G58" s="2828">
        <f t="shared" si="13"/>
        <v>43101</v>
      </c>
      <c r="H58" s="2828">
        <f t="shared" si="13"/>
        <v>43070</v>
      </c>
      <c r="I58" s="2828">
        <f t="shared" si="13"/>
        <v>43040</v>
      </c>
      <c r="J58" s="2828">
        <f t="shared" si="13"/>
        <v>43009</v>
      </c>
      <c r="K58" s="2828">
        <f t="shared" si="13"/>
        <v>42979</v>
      </c>
      <c r="L58" s="2828">
        <f t="shared" si="13"/>
        <v>42948</v>
      </c>
      <c r="M58" s="2828">
        <f t="shared" si="13"/>
        <v>42917</v>
      </c>
      <c r="N58" s="2828">
        <f t="shared" si="13"/>
        <v>42887</v>
      </c>
      <c r="O58" s="2828">
        <f t="shared" si="13"/>
        <v>42856</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4">C66-$K10</f>
        <v>98</v>
      </c>
      <c r="E66" s="679">
        <f t="shared" si="14"/>
        <v>96</v>
      </c>
      <c r="F66" s="679">
        <f t="shared" si="14"/>
        <v>94</v>
      </c>
      <c r="G66" s="679">
        <f t="shared" si="14"/>
        <v>92</v>
      </c>
      <c r="H66" s="679">
        <f t="shared" si="14"/>
        <v>90</v>
      </c>
      <c r="I66" s="679">
        <f t="shared" si="14"/>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0（含）-2</v>
      </c>
      <c r="D67" s="682" t="str">
        <f t="shared" ref="D67:L67" si="15">D68&amp;"（含）"&amp;"-"&amp;E68</f>
        <v>2（含）-4</v>
      </c>
      <c r="E67" s="682" t="str">
        <f t="shared" si="15"/>
        <v>4（含）-6</v>
      </c>
      <c r="F67" s="682" t="str">
        <f t="shared" si="15"/>
        <v>6（含）-8</v>
      </c>
      <c r="G67" s="682" t="str">
        <f t="shared" si="15"/>
        <v>8（含）-</v>
      </c>
      <c r="H67" s="682" t="str">
        <f t="shared" si="15"/>
        <v>（含）-</v>
      </c>
      <c r="I67" s="682" t="str">
        <f t="shared" si="15"/>
        <v>（含）-</v>
      </c>
      <c r="J67" s="682" t="str">
        <f t="shared" si="15"/>
        <v>（含）-</v>
      </c>
      <c r="K67" s="682" t="str">
        <f t="shared" si="15"/>
        <v>（含）-</v>
      </c>
      <c r="L67" s="682" t="str">
        <f t="shared" si="15"/>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v>8</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6">C69-$K11</f>
        <v>97</v>
      </c>
      <c r="E69" s="679">
        <f t="shared" si="16"/>
        <v>94</v>
      </c>
      <c r="F69" s="679">
        <f t="shared" si="16"/>
        <v>91</v>
      </c>
      <c r="G69" s="679">
        <f t="shared" si="16"/>
        <v>88</v>
      </c>
      <c r="H69" s="679">
        <f t="shared" si="16"/>
        <v>85</v>
      </c>
      <c r="I69" s="679">
        <f t="shared" si="16"/>
        <v>82</v>
      </c>
      <c r="J69" s="679">
        <f t="shared" si="16"/>
        <v>79</v>
      </c>
      <c r="K69" s="679">
        <f t="shared" si="16"/>
        <v>76</v>
      </c>
      <c r="L69" s="679">
        <f t="shared" si="16"/>
        <v>73</v>
      </c>
      <c r="M69" s="680">
        <f t="shared" si="16"/>
        <v>70</v>
      </c>
      <c r="N69" s="2166"/>
      <c r="O69" s="2166"/>
      <c r="P69" s="2165"/>
      <c r="Q69" s="2158"/>
      <c r="R69" s="2145"/>
      <c r="S69" s="2145"/>
      <c r="T69" s="2145"/>
      <c r="U69" s="2145"/>
      <c r="V69" s="2145"/>
      <c r="W69" s="2145"/>
      <c r="X69" s="2145"/>
      <c r="Y69" s="2145"/>
      <c r="Z69" s="2145"/>
      <c r="AA69" s="2145"/>
      <c r="AB69" s="2145"/>
      <c r="AC69" s="2145"/>
    </row>
    <row r="70" spans="1:29" s="1339" customFormat="1" ht="15.75" hidden="1"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hidden="1"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hidden="1"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hidden="1"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hidden="1"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hidden="1"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2557</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2558</v>
      </c>
      <c r="C82" s="2622" t="s">
        <v>2559</v>
      </c>
      <c r="D82" s="2622" t="s">
        <v>2560</v>
      </c>
      <c r="E82" s="2622" t="s">
        <v>2561</v>
      </c>
      <c r="F82" s="2622" t="s">
        <v>2562</v>
      </c>
      <c r="G82" s="2622" t="s">
        <v>2563</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97</v>
      </c>
      <c r="E85" s="679">
        <f>D85-$K23</f>
        <v>94</v>
      </c>
      <c r="F85" s="679">
        <f>E85-$K23</f>
        <v>91</v>
      </c>
      <c r="G85" s="679">
        <f>F85-$K23</f>
        <v>88</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hidden="1" thickTop="1">
      <c r="A86" s="709"/>
      <c r="B86" s="1896" t="s">
        <v>2257</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hidden="1"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66"/>
      <c r="O87" s="2166"/>
      <c r="P87" s="2165"/>
      <c r="Q87" s="2158"/>
      <c r="R87" s="1993"/>
      <c r="S87" s="1993"/>
      <c r="T87" s="1993"/>
      <c r="U87" s="1993"/>
      <c r="V87" s="1993"/>
      <c r="W87" s="1993"/>
      <c r="X87" s="1993"/>
      <c r="Y87" s="1993"/>
      <c r="Z87" s="1993"/>
      <c r="AA87" s="1993"/>
      <c r="AB87" s="1993"/>
      <c r="AC87" s="1993"/>
    </row>
    <row r="88" spans="1:29" s="1220" customFormat="1" ht="15.75" hidden="1"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hidden="1"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66"/>
      <c r="O89" s="2166"/>
      <c r="P89" s="2165"/>
      <c r="Q89" s="2158"/>
      <c r="R89" s="1993"/>
      <c r="S89" s="1993"/>
      <c r="T89" s="1993"/>
      <c r="U89" s="1993"/>
      <c r="V89" s="1993"/>
      <c r="W89" s="1993"/>
      <c r="X89" s="1993"/>
      <c r="Y89" s="1993"/>
      <c r="Z89" s="1993"/>
      <c r="AA89" s="1993"/>
      <c r="AB89" s="1993"/>
      <c r="AC89" s="1993"/>
    </row>
    <row r="90" spans="1:29" s="1339" customFormat="1" ht="15.75" hidden="1"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hidden="1"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hidden="1"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hidden="1"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hidden="1"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hidden="1"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hidden="1"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hidden="1"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hidden="1"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hidden="1"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5" thickTop="1">
      <c r="A100" s="664" t="s">
        <v>551</v>
      </c>
      <c r="B100" s="665" t="s">
        <v>747</v>
      </c>
      <c r="C100" s="3182" t="s">
        <v>3070</v>
      </c>
      <c r="D100" s="3182" t="s">
        <v>3071</v>
      </c>
      <c r="E100" s="3182" t="s">
        <v>3072</v>
      </c>
      <c r="F100" s="3182" t="s">
        <v>3073</v>
      </c>
      <c r="G100" s="3182" t="s">
        <v>3075</v>
      </c>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0">D103&amp;"(含)"&amp;"-"&amp;E103</f>
        <v>100000(含)-200000</v>
      </c>
      <c r="E102" s="708" t="str">
        <f t="shared" si="20"/>
        <v>200000(含)-300000</v>
      </c>
      <c r="F102" s="708" t="str">
        <f t="shared" si="20"/>
        <v>300000(含)-400000</v>
      </c>
      <c r="G102" s="708" t="str">
        <f t="shared" si="20"/>
        <v>400000(含)-500000</v>
      </c>
      <c r="H102" s="708" t="str">
        <f t="shared" si="20"/>
        <v>500000(含)-</v>
      </c>
      <c r="I102" s="708" t="str">
        <f t="shared" si="20"/>
        <v>(含)-</v>
      </c>
      <c r="J102" s="708" t="str">
        <f t="shared" si="20"/>
        <v>(含)-</v>
      </c>
      <c r="K102" s="708" t="str">
        <f t="shared" si="20"/>
        <v>(含)-</v>
      </c>
      <c r="L102" s="708" t="str">
        <f t="shared" si="20"/>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v>400000</v>
      </c>
      <c r="H103" s="730">
        <v>500000</v>
      </c>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101</v>
      </c>
      <c r="E104" s="671">
        <v>102</v>
      </c>
      <c r="F104" s="671">
        <v>103</v>
      </c>
      <c r="G104" s="671">
        <v>104</v>
      </c>
      <c r="H104" s="671">
        <v>105</v>
      </c>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4" t="s">
        <v>3076</v>
      </c>
      <c r="D105" s="3184" t="s">
        <v>3077</v>
      </c>
      <c r="E105" s="3183" t="s">
        <v>3078</v>
      </c>
      <c r="F105" s="3183" t="s">
        <v>3079</v>
      </c>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83" t="s">
        <v>3081</v>
      </c>
      <c r="D107" s="3183" t="s">
        <v>3083</v>
      </c>
      <c r="E107" s="3183" t="s">
        <v>3084</v>
      </c>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2">C108-$K35</f>
        <v>95</v>
      </c>
      <c r="E108" s="679">
        <f t="shared" si="22"/>
        <v>90</v>
      </c>
      <c r="F108" s="679">
        <f t="shared" si="22"/>
        <v>85</v>
      </c>
      <c r="G108" s="679">
        <f t="shared" si="22"/>
        <v>80</v>
      </c>
      <c r="H108" s="679">
        <f t="shared" si="22"/>
        <v>75</v>
      </c>
      <c r="I108" s="679">
        <f t="shared" si="22"/>
        <v>70</v>
      </c>
      <c r="J108" s="679">
        <f t="shared" si="22"/>
        <v>65</v>
      </c>
      <c r="K108" s="679">
        <f t="shared" si="22"/>
        <v>60</v>
      </c>
      <c r="L108" s="679">
        <f t="shared" si="22"/>
        <v>55</v>
      </c>
      <c r="M108" s="679">
        <f t="shared" si="22"/>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84" t="s">
        <v>3106</v>
      </c>
      <c r="D109" s="3184" t="s">
        <v>3086</v>
      </c>
      <c r="E109" s="3184" t="s">
        <v>3087</v>
      </c>
      <c r="F109" s="3183" t="s">
        <v>3107</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3">C110-$K36</f>
        <v>97</v>
      </c>
      <c r="E110" s="679">
        <f t="shared" si="23"/>
        <v>94</v>
      </c>
      <c r="F110" s="679">
        <f t="shared" si="23"/>
        <v>91</v>
      </c>
      <c r="G110" s="679">
        <f t="shared" si="23"/>
        <v>88</v>
      </c>
      <c r="H110" s="679">
        <f t="shared" si="23"/>
        <v>85</v>
      </c>
      <c r="I110" s="679">
        <f t="shared" si="23"/>
        <v>82</v>
      </c>
      <c r="J110" s="679">
        <f t="shared" si="23"/>
        <v>79</v>
      </c>
      <c r="K110" s="679">
        <f t="shared" si="23"/>
        <v>76</v>
      </c>
      <c r="L110" s="679">
        <f t="shared" si="23"/>
        <v>73</v>
      </c>
      <c r="M110" s="679">
        <f t="shared" si="23"/>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hidden="1"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hidden="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hidden="1"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84" t="s">
        <v>3090</v>
      </c>
      <c r="D114" s="3184" t="s">
        <v>3091</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2556</v>
      </c>
      <c r="C116" s="3184" t="s">
        <v>3092</v>
      </c>
      <c r="D116" s="3184" t="s">
        <v>3093</v>
      </c>
      <c r="E116" s="3184" t="s">
        <v>3094</v>
      </c>
      <c r="F116" s="3184" t="s">
        <v>3095</v>
      </c>
      <c r="G116" s="3184" t="s">
        <v>3096</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75" hidden="1" customHeight="1"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hidden="1"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t="s">
        <v>3097</v>
      </c>
      <c r="D120" s="688" t="s">
        <v>3098</v>
      </c>
      <c r="E120" s="688" t="s">
        <v>3099</v>
      </c>
      <c r="F120" s="688" t="s">
        <v>3100</v>
      </c>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v>100</v>
      </c>
      <c r="D121" s="671">
        <v>97</v>
      </c>
      <c r="E121" s="671">
        <v>94</v>
      </c>
      <c r="F121" s="671">
        <v>91</v>
      </c>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4" t="s">
        <v>3106</v>
      </c>
      <c r="D122" s="3184" t="s">
        <v>3086</v>
      </c>
      <c r="E122" s="3184" t="s">
        <v>3087</v>
      </c>
      <c r="F122" s="3183" t="s">
        <v>3107</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66"/>
      <c r="O123" s="2166"/>
      <c r="P123" s="2165"/>
      <c r="Q123" s="2158"/>
      <c r="R123" s="2145"/>
      <c r="S123" s="2145"/>
      <c r="T123" s="2145"/>
      <c r="U123" s="2145"/>
      <c r="V123" s="2145"/>
      <c r="W123" s="2145"/>
      <c r="X123" s="2145"/>
      <c r="Y123" s="2145"/>
      <c r="Z123" s="2145"/>
      <c r="AA123" s="2145"/>
      <c r="AB123" s="2145"/>
      <c r="AC123" s="2145"/>
    </row>
    <row r="124" spans="1:29" ht="27.75" hidden="1"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hidden="1"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临海情况</v>
      </c>
      <c r="C126" s="3184" t="s">
        <v>3101</v>
      </c>
      <c r="D126" s="3184" t="s">
        <v>3102</v>
      </c>
      <c r="E126" s="3184" t="s">
        <v>3103</v>
      </c>
      <c r="F126" s="3184" t="s">
        <v>3104</v>
      </c>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v>100</v>
      </c>
      <c r="D127" s="671">
        <v>95</v>
      </c>
      <c r="E127" s="671">
        <v>90</v>
      </c>
      <c r="F127" s="671">
        <v>85</v>
      </c>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3" priority="15" stopIfTrue="1" operator="containsText" text="超过">
      <formula>NOT(ISERROR(SEARCH("超过",F52)))</formula>
    </cfRule>
  </conditionalFormatting>
  <conditionalFormatting sqref="J54">
    <cfRule type="containsText" dxfId="92" priority="14" stopIfTrue="1" operator="containsText" text="超过">
      <formula>NOT(ISERROR(SEARCH("超过",J54)))</formula>
    </cfRule>
  </conditionalFormatting>
  <conditionalFormatting sqref="H54">
    <cfRule type="containsText" dxfId="91" priority="13" stopIfTrue="1" operator="containsText" text="超过">
      <formula>NOT(ISERROR(SEARCH("超过",H54)))</formula>
    </cfRule>
  </conditionalFormatting>
  <conditionalFormatting sqref="F54">
    <cfRule type="containsText" dxfId="90" priority="12" stopIfTrue="1" operator="containsText" text="超过">
      <formula>NOT(ISERROR(SEARCH("超过",F54)))</formula>
    </cfRule>
  </conditionalFormatting>
  <conditionalFormatting sqref="F53 H53 J53">
    <cfRule type="containsText" dxfId="89" priority="11" stopIfTrue="1" operator="containsText" text="超过">
      <formula>NOT(ISERROR(SEARCH("超过",F53)))</formula>
    </cfRule>
  </conditionalFormatting>
  <conditionalFormatting sqref="E52">
    <cfRule type="expression" dxfId="88" priority="10" stopIfTrue="1">
      <formula>$F$52="超过30%"</formula>
    </cfRule>
  </conditionalFormatting>
  <conditionalFormatting sqref="G54">
    <cfRule type="expression" dxfId="87" priority="8" stopIfTrue="1">
      <formula>$H$54="超过30%"</formula>
    </cfRule>
  </conditionalFormatting>
  <conditionalFormatting sqref="E53">
    <cfRule type="expression" dxfId="86" priority="7" stopIfTrue="1">
      <formula>$F$53="超过20%"</formula>
    </cfRule>
  </conditionalFormatting>
  <conditionalFormatting sqref="E54">
    <cfRule type="expression" dxfId="85" priority="6" stopIfTrue="1">
      <formula>$F$54="超过30%"</formula>
    </cfRule>
  </conditionalFormatting>
  <conditionalFormatting sqref="G52">
    <cfRule type="expression" dxfId="84" priority="5" stopIfTrue="1">
      <formula>$H$52="超过30%"</formula>
    </cfRule>
  </conditionalFormatting>
  <conditionalFormatting sqref="G53">
    <cfRule type="expression" dxfId="83" priority="4" stopIfTrue="1">
      <formula>$H$53="超过20%"</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dimension ref="B2:K170"/>
  <sheetViews>
    <sheetView topLeftCell="A142" workbookViewId="0">
      <selection activeCell="B146" sqref="B146:I170"/>
    </sheetView>
  </sheetViews>
  <sheetFormatPr defaultRowHeight="13.5"/>
  <cols>
    <col min="4" max="4" width="11.375" customWidth="1"/>
    <col min="6" max="6" width="10.875" bestFit="1" customWidth="1"/>
    <col min="8" max="8" width="11.125" customWidth="1"/>
    <col min="10" max="10" width="11.125" customWidth="1"/>
  </cols>
  <sheetData>
    <row r="2" spans="2:11" ht="15.75" customHeight="1">
      <c r="B2" s="3587" t="s">
        <v>3036</v>
      </c>
      <c r="C2" s="3587"/>
      <c r="D2" s="3587"/>
      <c r="E2" s="3587"/>
    </row>
    <row r="3" spans="2:11" ht="17.25" thickBot="1">
      <c r="B3" s="3186" t="s">
        <v>3037</v>
      </c>
      <c r="C3" s="3187" t="s">
        <v>3038</v>
      </c>
      <c r="D3" s="3187" t="s">
        <v>3039</v>
      </c>
      <c r="E3" s="3187" t="s">
        <v>3040</v>
      </c>
    </row>
    <row r="4" spans="2:11" ht="16.5">
      <c r="B4" s="3188">
        <v>2016.4</v>
      </c>
      <c r="C4" s="3189">
        <v>3804</v>
      </c>
      <c r="D4" s="3189">
        <v>3.34</v>
      </c>
      <c r="E4" s="3189"/>
    </row>
    <row r="5" spans="2:11" ht="16.5">
      <c r="B5" s="3190">
        <v>2017.1</v>
      </c>
      <c r="C5" s="3191">
        <v>4033</v>
      </c>
      <c r="D5" s="3191">
        <v>6.02</v>
      </c>
      <c r="E5" s="3191"/>
    </row>
    <row r="6" spans="2:11" ht="16.5">
      <c r="B6" s="3188">
        <v>2017.2</v>
      </c>
      <c r="C6" s="3189">
        <v>4304</v>
      </c>
      <c r="D6" s="3189">
        <v>6.72</v>
      </c>
      <c r="E6" s="3189"/>
    </row>
    <row r="7" spans="2:11" ht="16.5">
      <c r="B7" s="3190">
        <v>2017.3</v>
      </c>
      <c r="C7" s="3191">
        <v>4483</v>
      </c>
      <c r="D7" s="3191">
        <v>4.18</v>
      </c>
      <c r="E7" s="3191"/>
    </row>
    <row r="8" spans="2:11" ht="16.5">
      <c r="B8" s="3188">
        <v>2017.4</v>
      </c>
      <c r="C8" s="3189">
        <v>4531</v>
      </c>
      <c r="D8" s="3189">
        <v>1.07</v>
      </c>
    </row>
    <row r="9" spans="2:11" ht="16.5">
      <c r="B9" s="3188">
        <v>2018.1</v>
      </c>
      <c r="C9" s="3188">
        <v>4612</v>
      </c>
      <c r="D9" s="3188">
        <v>1.79</v>
      </c>
      <c r="E9" s="3188"/>
    </row>
    <row r="10" spans="2:11">
      <c r="D10">
        <f>AVERAGE(D4:D9)</f>
        <v>3.8533333333333331</v>
      </c>
    </row>
    <row r="15" spans="2:11" ht="14.25" thickBot="1"/>
    <row r="16" spans="2:11" ht="14.25" customHeight="1" thickBot="1">
      <c r="B16" s="3588" t="s">
        <v>3151</v>
      </c>
      <c r="C16" s="3589"/>
      <c r="D16" s="3594" t="s">
        <v>3152</v>
      </c>
      <c r="E16" s="3595"/>
      <c r="F16" s="3582" t="s">
        <v>3153</v>
      </c>
      <c r="G16" s="3583"/>
      <c r="H16" s="3582" t="s">
        <v>3154</v>
      </c>
      <c r="I16" s="3583"/>
      <c r="J16" s="3582" t="s">
        <v>3155</v>
      </c>
      <c r="K16" s="3583"/>
    </row>
    <row r="17" spans="2:11" ht="26.25" customHeight="1" thickBot="1">
      <c r="B17" s="3590"/>
      <c r="C17" s="3591"/>
      <c r="D17" s="3580" t="s">
        <v>3160</v>
      </c>
      <c r="E17" s="3581"/>
      <c r="F17" s="3584" t="s">
        <v>3163</v>
      </c>
      <c r="G17" s="3585"/>
      <c r="H17" s="3584" t="s">
        <v>3163</v>
      </c>
      <c r="I17" s="3585"/>
      <c r="J17" s="3586" t="s">
        <v>3167</v>
      </c>
      <c r="K17" s="3585"/>
    </row>
    <row r="18" spans="2:11" ht="26.25" customHeight="1" thickBot="1">
      <c r="B18" s="3592"/>
      <c r="C18" s="3593"/>
      <c r="D18" s="3580" t="s">
        <v>3161</v>
      </c>
      <c r="E18" s="3581"/>
      <c r="F18" s="3586" t="s">
        <v>3165</v>
      </c>
      <c r="G18" s="3585"/>
      <c r="H18" s="3586" t="s">
        <v>3165</v>
      </c>
      <c r="I18" s="3585"/>
      <c r="J18" s="3586" t="s">
        <v>3165</v>
      </c>
      <c r="K18" s="3585"/>
    </row>
    <row r="19" spans="2:11" ht="14.25" thickBot="1">
      <c r="B19" s="3573" t="str">
        <f>'比较法-住宅、综合'!B9</f>
        <v>交易时间</v>
      </c>
      <c r="C19" s="3574"/>
      <c r="D19" s="3207">
        <v>43244</v>
      </c>
      <c r="E19" s="3206">
        <v>100</v>
      </c>
      <c r="F19" s="3207">
        <v>42732</v>
      </c>
      <c r="G19" s="3206">
        <f>'比较法-住宅、综合'!F9</f>
        <v>82</v>
      </c>
      <c r="H19" s="3207">
        <v>42732</v>
      </c>
      <c r="I19" s="3206">
        <f>'比较法-住宅、综合'!H9</f>
        <v>82</v>
      </c>
      <c r="J19" s="3207">
        <v>43098</v>
      </c>
      <c r="K19" s="3206">
        <v>94</v>
      </c>
    </row>
    <row r="20" spans="2:11" ht="14.25" thickBot="1">
      <c r="B20" s="3573" t="str">
        <f>'比较法-住宅、综合'!B10</f>
        <v>交易情况</v>
      </c>
      <c r="C20" s="3574"/>
      <c r="D20" s="3208" t="str">
        <f>'比较法-住宅、综合'!C10</f>
        <v>正常</v>
      </c>
      <c r="E20" s="3206">
        <v>100</v>
      </c>
      <c r="F20" s="3208" t="str">
        <f>'比较法-住宅、综合'!E10</f>
        <v>正常</v>
      </c>
      <c r="G20" s="3206">
        <v>100</v>
      </c>
      <c r="H20" s="3208" t="str">
        <f>'比较法-住宅、综合'!G10</f>
        <v>正常</v>
      </c>
      <c r="I20" s="3206">
        <v>100</v>
      </c>
      <c r="J20" s="3208" t="str">
        <f>'比较法-住宅、综合'!I10</f>
        <v>正常</v>
      </c>
      <c r="K20" s="3206">
        <v>100</v>
      </c>
    </row>
    <row r="21" spans="2:11" ht="14.25" thickBot="1">
      <c r="B21" s="3573" t="s">
        <v>3156</v>
      </c>
      <c r="C21" s="3574"/>
      <c r="D21" s="3206" t="str">
        <f>'比较法-住宅、综合'!C11</f>
        <v>住宅、商业</v>
      </c>
      <c r="E21" s="3206">
        <v>100</v>
      </c>
      <c r="F21" s="3210" t="str">
        <f>'比较法-住宅、综合'!E11</f>
        <v>住宅、商业</v>
      </c>
      <c r="G21" s="3206">
        <v>100</v>
      </c>
      <c r="H21" s="3210" t="str">
        <f>'比较法-住宅、综合'!G11</f>
        <v>住宅、商业</v>
      </c>
      <c r="I21" s="3206">
        <v>100</v>
      </c>
      <c r="J21" s="3210" t="str">
        <f>'比较法-住宅、综合'!I11</f>
        <v>住宅、商业</v>
      </c>
      <c r="K21" s="3206">
        <v>100</v>
      </c>
    </row>
    <row r="22" spans="2:11" ht="27.75" thickBot="1">
      <c r="B22" s="3573" t="s">
        <v>3157</v>
      </c>
      <c r="C22" s="3574"/>
      <c r="D22" s="3206" t="str">
        <f>'比较法-住宅、综合'!C12</f>
        <v>住宅55.5年、商业25.5年</v>
      </c>
      <c r="E22" s="3206">
        <v>100</v>
      </c>
      <c r="F22" s="3210" t="str">
        <f>'比较法-住宅、综合'!E12</f>
        <v>住宅70年、商业40年</v>
      </c>
      <c r="G22" s="3210">
        <f>'比较法-住宅、综合'!F12</f>
        <v>106</v>
      </c>
      <c r="H22" s="3210" t="str">
        <f>'比较法-住宅、综合'!G12</f>
        <v>住宅70年、商业40年</v>
      </c>
      <c r="I22" s="3210">
        <f>'比较法-住宅、综合'!H12</f>
        <v>106</v>
      </c>
      <c r="J22" s="3210" t="str">
        <f>'比较法-住宅、综合'!I12</f>
        <v>住宅70年、商业40年</v>
      </c>
      <c r="K22" s="3210">
        <f>'比较法-住宅、综合'!J12</f>
        <v>106</v>
      </c>
    </row>
    <row r="23" spans="2:11" ht="14.25" thickBot="1">
      <c r="B23" s="3573" t="s">
        <v>2032</v>
      </c>
      <c r="C23" s="3574"/>
      <c r="D23" s="3206">
        <f>'比较法-住宅、综合'!C13</f>
        <v>4.0599999999999996</v>
      </c>
      <c r="E23" s="3206">
        <v>100</v>
      </c>
      <c r="F23" s="3210">
        <f>'比较法-住宅、综合'!E13</f>
        <v>2.5</v>
      </c>
      <c r="G23" s="3210">
        <f>'比较法-住宅、综合'!F13</f>
        <v>105</v>
      </c>
      <c r="H23" s="3210">
        <f>'比较法-住宅、综合'!G13</f>
        <v>3.5</v>
      </c>
      <c r="I23" s="3210">
        <f>'比较法-住宅、综合'!H13</f>
        <v>105</v>
      </c>
      <c r="J23" s="3210">
        <f>'比较法-住宅、综合'!I13</f>
        <v>3</v>
      </c>
      <c r="K23" s="3210">
        <f>'比较法-住宅、综合'!J13</f>
        <v>105</v>
      </c>
    </row>
    <row r="24" spans="2:11" ht="27.75" thickBot="1">
      <c r="B24" s="3575" t="s">
        <v>3158</v>
      </c>
      <c r="C24" s="3206" t="str">
        <f>'比较法-住宅、综合'!B17</f>
        <v>居住社区成熟度</v>
      </c>
      <c r="D24" s="3206" t="str">
        <f>'比较法-住宅、综合'!C18</f>
        <v>较好</v>
      </c>
      <c r="E24" s="3206">
        <v>100</v>
      </c>
      <c r="F24" s="3210" t="str">
        <f>'比较法-住宅、综合'!E18</f>
        <v>一般</v>
      </c>
      <c r="G24" s="3210">
        <f>'比较法-住宅、综合'!F17</f>
        <v>97</v>
      </c>
      <c r="H24" s="3208" t="str">
        <f>'比较法-住宅、综合'!G18</f>
        <v>一般</v>
      </c>
      <c r="I24" s="3210">
        <f>'比较法-住宅、综合'!H17</f>
        <v>97</v>
      </c>
      <c r="J24" s="3208" t="str">
        <f>'比较法-住宅、综合'!I18</f>
        <v>较好</v>
      </c>
      <c r="K24" s="3210">
        <v>100</v>
      </c>
    </row>
    <row r="25" spans="2:11" ht="27.75" thickBot="1">
      <c r="B25" s="3576"/>
      <c r="C25" s="3206" t="str">
        <f>'比较法-住宅、综合'!B19</f>
        <v>商业繁华度</v>
      </c>
      <c r="D25" s="3206" t="str">
        <f>'比较法-住宅、综合'!C20</f>
        <v>一般</v>
      </c>
      <c r="E25" s="3206">
        <v>100</v>
      </c>
      <c r="F25" s="3210" t="str">
        <f>'比较法-住宅、综合'!E20</f>
        <v>较差</v>
      </c>
      <c r="G25" s="3210">
        <f>'比较法-住宅、综合'!F19</f>
        <v>97</v>
      </c>
      <c r="H25" s="3208" t="str">
        <f>'比较法-住宅、综合'!G20</f>
        <v>较差</v>
      </c>
      <c r="I25" s="3210">
        <f>'比较法-住宅、综合'!H19</f>
        <v>97</v>
      </c>
      <c r="J25" s="3208" t="str">
        <f>'比较法-住宅、综合'!I20</f>
        <v>一般</v>
      </c>
      <c r="K25" s="3210">
        <v>100</v>
      </c>
    </row>
    <row r="26" spans="2:11" ht="27.75" thickBot="1">
      <c r="B26" s="3576"/>
      <c r="C26" s="3206" t="str">
        <f>'比较法-住宅、综合'!B23</f>
        <v>交通便捷度</v>
      </c>
      <c r="D26" s="3206" t="str">
        <f>'比较法-住宅、综合'!C24</f>
        <v>一般</v>
      </c>
      <c r="E26" s="3206">
        <v>100</v>
      </c>
      <c r="F26" s="3208" t="str">
        <f>'比较法-住宅、综合'!G24</f>
        <v>一般</v>
      </c>
      <c r="G26" s="3206">
        <v>100</v>
      </c>
      <c r="H26" s="3208" t="str">
        <f>'比较法-住宅、综合'!G24</f>
        <v>一般</v>
      </c>
      <c r="I26" s="3206">
        <v>100</v>
      </c>
      <c r="J26" s="3208" t="str">
        <f>'比较法-住宅、综合'!I24</f>
        <v>一般</v>
      </c>
      <c r="K26" s="3206">
        <v>100</v>
      </c>
    </row>
    <row r="27" spans="2:11" ht="27.75" thickBot="1">
      <c r="B27" s="3576"/>
      <c r="C27" s="3206" t="str">
        <f>'比较法-住宅、综合'!B25</f>
        <v>区域土地利用方向</v>
      </c>
      <c r="D27" s="3206" t="str">
        <f>'比较法-住宅、综合'!C26</f>
        <v>较好</v>
      </c>
      <c r="E27" s="3206">
        <v>100</v>
      </c>
      <c r="F27" s="3208" t="str">
        <f>'比较法-住宅、综合'!G26</f>
        <v>较好</v>
      </c>
      <c r="G27" s="3206">
        <v>100</v>
      </c>
      <c r="H27" s="3208" t="str">
        <f>'比较法-住宅、综合'!G26</f>
        <v>较好</v>
      </c>
      <c r="I27" s="3206">
        <v>100</v>
      </c>
      <c r="J27" s="3208" t="str">
        <f>'比较法-住宅、综合'!I26</f>
        <v>较好</v>
      </c>
      <c r="K27" s="3206">
        <v>100</v>
      </c>
    </row>
    <row r="28" spans="2:11" ht="41.25" thickBot="1">
      <c r="B28" s="3576"/>
      <c r="C28" s="3206" t="str">
        <f>'比较法-住宅、综合'!B27</f>
        <v>自然及人文环境状况</v>
      </c>
      <c r="D28" s="3206" t="str">
        <f>'比较法-住宅、综合'!C28</f>
        <v>好</v>
      </c>
      <c r="E28" s="3206">
        <v>100</v>
      </c>
      <c r="F28" s="3210" t="str">
        <f>'比较法-住宅、综合'!G28</f>
        <v>好</v>
      </c>
      <c r="G28" s="3206">
        <v>100</v>
      </c>
      <c r="H28" s="3210" t="str">
        <f>'比较法-住宅、综合'!G28</f>
        <v>好</v>
      </c>
      <c r="I28" s="3206">
        <v>100</v>
      </c>
      <c r="J28" s="3210" t="str">
        <f>'比较法-住宅、综合'!I28</f>
        <v>好</v>
      </c>
      <c r="K28" s="3206">
        <v>100</v>
      </c>
    </row>
    <row r="29" spans="2:11" ht="27.75" thickBot="1">
      <c r="B29" s="3576"/>
      <c r="C29" s="3206" t="str">
        <f>'比较法-住宅、综合'!B29</f>
        <v>公共配套设施</v>
      </c>
      <c r="D29" s="3206" t="str">
        <f>'比较法-住宅、综合'!C30</f>
        <v>一般</v>
      </c>
      <c r="E29" s="3206">
        <v>100</v>
      </c>
      <c r="F29" s="3210" t="str">
        <f>'比较法-住宅、综合'!G30</f>
        <v>较差</v>
      </c>
      <c r="G29" s="3210">
        <f>'比较法-住宅、综合'!F29</f>
        <v>98</v>
      </c>
      <c r="H29" s="3210" t="str">
        <f>'比较法-住宅、综合'!G30</f>
        <v>较差</v>
      </c>
      <c r="I29" s="3210">
        <f>'比较法-住宅、综合'!H29</f>
        <v>98</v>
      </c>
      <c r="J29" s="3210" t="str">
        <f>'比较法-住宅、综合'!I30</f>
        <v>一般</v>
      </c>
      <c r="K29" s="3210">
        <v>100</v>
      </c>
    </row>
    <row r="30" spans="2:11" ht="27.75" thickBot="1">
      <c r="B30" s="3576"/>
      <c r="C30" s="3206" t="str">
        <f>'比较法-住宅、综合'!B31</f>
        <v>基础设施水平</v>
      </c>
      <c r="D30" s="3206" t="str">
        <f>'比较法-住宅、综合'!C32</f>
        <v>六通</v>
      </c>
      <c r="E30" s="3206">
        <v>100</v>
      </c>
      <c r="F30" s="3206" t="str">
        <f>'比较法-住宅、综合'!E32</f>
        <v>六通</v>
      </c>
      <c r="G30" s="3206">
        <v>100</v>
      </c>
      <c r="H30" s="3206" t="str">
        <f>'比较法-住宅、综合'!G32</f>
        <v>六通</v>
      </c>
      <c r="I30" s="3206">
        <v>100</v>
      </c>
      <c r="J30" s="3206" t="str">
        <f>'比较法-住宅、综合'!I32</f>
        <v>六通</v>
      </c>
      <c r="K30" s="3206">
        <v>100</v>
      </c>
    </row>
    <row r="31" spans="2:11" ht="14.25" thickBot="1">
      <c r="B31" s="3576"/>
      <c r="C31" s="3206" t="str">
        <f>'比较法-住宅、综合'!B33</f>
        <v>临街状况</v>
      </c>
      <c r="D31" s="3206" t="str">
        <f>'比较法-住宅、综合'!C33</f>
        <v>多面临街</v>
      </c>
      <c r="E31" s="3206">
        <v>100</v>
      </c>
      <c r="F31" s="3210" t="str">
        <f>'比较法-住宅、综合'!G33</f>
        <v>双面临街</v>
      </c>
      <c r="G31" s="3210">
        <f>'比较法-住宅、综合'!F33</f>
        <v>98</v>
      </c>
      <c r="H31" s="3210" t="str">
        <f>'比较法-住宅、综合'!G33</f>
        <v>双面临街</v>
      </c>
      <c r="I31" s="3210">
        <f>'比较法-住宅、综合'!H33</f>
        <v>98</v>
      </c>
      <c r="J31" s="3210" t="str">
        <f>'比较法-住宅、综合'!I33</f>
        <v>双面临街</v>
      </c>
      <c r="K31" s="3210">
        <f>'比较法-住宅、综合'!J33</f>
        <v>98</v>
      </c>
    </row>
    <row r="32" spans="2:11" ht="14.25" thickBot="1">
      <c r="B32" s="3577" t="s">
        <v>3159</v>
      </c>
      <c r="C32" s="3206" t="str">
        <f>'比较法-住宅、综合'!B40</f>
        <v>宗地面积</v>
      </c>
      <c r="D32" s="3206">
        <f>'比较法-住宅、综合'!C40</f>
        <v>15168.4</v>
      </c>
      <c r="E32" s="3206">
        <v>100</v>
      </c>
      <c r="F32" s="3210">
        <f>'比较法-住宅、综合'!E40</f>
        <v>97852.2</v>
      </c>
      <c r="G32" s="3210">
        <f>'比较法-住宅、综合'!F40</f>
        <v>103</v>
      </c>
      <c r="H32" s="3210">
        <f>'比较法-住宅、综合'!G40</f>
        <v>54138.7</v>
      </c>
      <c r="I32" s="3210">
        <f>'比较法-住宅、综合'!H40</f>
        <v>101</v>
      </c>
      <c r="J32" s="3210">
        <f>'比较法-住宅、综合'!I40</f>
        <v>42255.3</v>
      </c>
      <c r="K32" s="3210">
        <f>'比较法-住宅、综合'!J40</f>
        <v>101</v>
      </c>
    </row>
    <row r="33" spans="2:11" ht="14.25" thickBot="1">
      <c r="B33" s="3578"/>
      <c r="C33" s="3206" t="str">
        <f>'比较法-住宅、综合'!B40</f>
        <v>宗地面积</v>
      </c>
      <c r="D33" s="3208" t="str">
        <f>'比较法-住宅、综合'!C41</f>
        <v>不规则</v>
      </c>
      <c r="E33" s="3206">
        <v>100</v>
      </c>
      <c r="F33" s="3208" t="str">
        <f>'比较法-住宅、综合'!G41</f>
        <v>较规则</v>
      </c>
      <c r="G33" s="3210">
        <f>'比较法-住宅、综合'!F41</f>
        <v>104</v>
      </c>
      <c r="H33" s="3208" t="str">
        <f>'比较法-住宅、综合'!G41</f>
        <v>较规则</v>
      </c>
      <c r="I33" s="3210">
        <f>'比较法-住宅、综合'!H41</f>
        <v>104</v>
      </c>
      <c r="J33" s="3208" t="str">
        <f>'比较法-住宅、综合'!I41</f>
        <v>较规则</v>
      </c>
      <c r="K33" s="3210">
        <f>'比较法-住宅、综合'!J41</f>
        <v>104</v>
      </c>
    </row>
    <row r="34" spans="2:11" ht="27.75" thickBot="1">
      <c r="B34" s="3578"/>
      <c r="C34" s="3206" t="str">
        <f>'比较法-住宅、综合'!B43</f>
        <v>宗地开发程度</v>
      </c>
      <c r="D34" s="3209" t="str">
        <f>'比较法-住宅、综合'!C43</f>
        <v>六通</v>
      </c>
      <c r="E34" s="3206">
        <v>100</v>
      </c>
      <c r="F34" s="3209" t="str">
        <f>'比较法-住宅、综合'!E43</f>
        <v>六通</v>
      </c>
      <c r="G34" s="3206">
        <v>100</v>
      </c>
      <c r="H34" s="3209" t="str">
        <f>'比较法-住宅、综合'!G43</f>
        <v>六通</v>
      </c>
      <c r="I34" s="3206">
        <v>100</v>
      </c>
      <c r="J34" s="3209" t="str">
        <f>'比较法-住宅、综合'!I43</f>
        <v>六通</v>
      </c>
      <c r="K34" s="3206">
        <v>100</v>
      </c>
    </row>
    <row r="35" spans="2:11" ht="27.75" thickBot="1">
      <c r="B35" s="3578"/>
      <c r="C35" s="3206" t="str">
        <f>'比较法-住宅、综合'!B44</f>
        <v>工程地质条件</v>
      </c>
      <c r="D35" s="3208" t="str">
        <f>'比较法-住宅、综合'!C44</f>
        <v>较好</v>
      </c>
      <c r="E35" s="3206">
        <v>100</v>
      </c>
      <c r="F35" s="3208" t="str">
        <f>'比较法-住宅、综合'!G44</f>
        <v>较差</v>
      </c>
      <c r="G35" s="3210">
        <f>'比较法-住宅、综合'!F44</f>
        <v>94</v>
      </c>
      <c r="H35" s="3208" t="str">
        <f>'比较法-住宅、综合'!G44</f>
        <v>较差</v>
      </c>
      <c r="I35" s="3210">
        <f>'比较法-住宅、综合'!H44</f>
        <v>94</v>
      </c>
      <c r="J35" s="3208" t="str">
        <f>'比较法-住宅、综合'!I44</f>
        <v>较差</v>
      </c>
      <c r="K35" s="3210">
        <f>'比较法-住宅、综合'!J44</f>
        <v>94</v>
      </c>
    </row>
    <row r="36" spans="2:11" ht="14.25" thickBot="1">
      <c r="B36" s="3579"/>
      <c r="C36" s="3206" t="str">
        <f>'比较法-住宅、综合'!B45</f>
        <v>临海情况</v>
      </c>
      <c r="D36" s="3206" t="str">
        <f>'比较法-住宅、综合'!C45</f>
        <v>一线临海</v>
      </c>
      <c r="E36" s="3206">
        <v>100</v>
      </c>
      <c r="F36" s="3210" t="str">
        <f>'比较法-住宅、综合'!E45</f>
        <v>临近</v>
      </c>
      <c r="G36" s="3210">
        <f>'比较法-住宅、综合'!F45</f>
        <v>95</v>
      </c>
      <c r="H36" s="3210" t="str">
        <f>'比较法-住宅、综合'!G45</f>
        <v>临近</v>
      </c>
      <c r="I36" s="3210">
        <f>'比较法-住宅、综合'!H45</f>
        <v>95</v>
      </c>
      <c r="J36" s="3210" t="str">
        <f>'比较法-住宅、综合'!I45</f>
        <v>临近</v>
      </c>
      <c r="K36" s="3210">
        <f>'比较法-住宅、综合'!J45</f>
        <v>95</v>
      </c>
    </row>
    <row r="41" spans="2:11" ht="14.25" thickBot="1"/>
    <row r="42" spans="2:11" ht="14.25" thickBot="1">
      <c r="B42" s="3569" t="s">
        <v>3151</v>
      </c>
      <c r="C42" s="3570"/>
      <c r="D42" s="3571" t="s">
        <v>3168</v>
      </c>
      <c r="E42" s="3572"/>
      <c r="F42" s="3571" t="s">
        <v>3169</v>
      </c>
      <c r="G42" s="3572"/>
      <c r="H42" s="3571" t="s">
        <v>3170</v>
      </c>
      <c r="I42" s="3572"/>
    </row>
    <row r="43" spans="2:11" ht="14.25" thickBot="1">
      <c r="B43" s="3560" t="str">
        <f>B19</f>
        <v>交易时间</v>
      </c>
      <c r="C43" s="3561"/>
      <c r="D43" s="3211" t="s">
        <v>3171</v>
      </c>
      <c r="E43" s="3212">
        <f>G19</f>
        <v>82</v>
      </c>
      <c r="F43" s="3211" t="s">
        <v>3171</v>
      </c>
      <c r="G43" s="3212">
        <f>I19</f>
        <v>82</v>
      </c>
      <c r="H43" s="3211" t="s">
        <v>3171</v>
      </c>
      <c r="I43" s="3212">
        <f>K19</f>
        <v>94</v>
      </c>
    </row>
    <row r="44" spans="2:11" ht="14.25" thickBot="1">
      <c r="B44" s="3560" t="str">
        <f t="shared" ref="B44:B47" si="0">B20</f>
        <v>交易情况</v>
      </c>
      <c r="C44" s="3561"/>
      <c r="D44" s="3211" t="s">
        <v>3171</v>
      </c>
      <c r="E44" s="3212">
        <f t="shared" ref="E44:E60" si="1">G20</f>
        <v>100</v>
      </c>
      <c r="F44" s="3211" t="s">
        <v>3171</v>
      </c>
      <c r="G44" s="3212">
        <f t="shared" ref="G44:G60" si="2">I20</f>
        <v>100</v>
      </c>
      <c r="H44" s="3211" t="s">
        <v>3171</v>
      </c>
      <c r="I44" s="3212">
        <f t="shared" ref="I44:I60" si="3">K20</f>
        <v>100</v>
      </c>
    </row>
    <row r="45" spans="2:11" ht="14.25" thickBot="1">
      <c r="B45" s="3560" t="str">
        <f t="shared" si="0"/>
        <v>用途</v>
      </c>
      <c r="C45" s="3561"/>
      <c r="D45" s="3211" t="s">
        <v>3171</v>
      </c>
      <c r="E45" s="3212">
        <f t="shared" si="1"/>
        <v>100</v>
      </c>
      <c r="F45" s="3211" t="s">
        <v>3171</v>
      </c>
      <c r="G45" s="3212">
        <f t="shared" si="2"/>
        <v>100</v>
      </c>
      <c r="H45" s="3211" t="s">
        <v>3171</v>
      </c>
      <c r="I45" s="3212">
        <f t="shared" si="3"/>
        <v>100</v>
      </c>
    </row>
    <row r="46" spans="2:11" ht="14.25" thickBot="1">
      <c r="B46" s="3560" t="str">
        <f t="shared" si="0"/>
        <v>土地使用年限（年）</v>
      </c>
      <c r="C46" s="3561"/>
      <c r="D46" s="3211" t="s">
        <v>3171</v>
      </c>
      <c r="E46" s="3212">
        <f t="shared" si="1"/>
        <v>106</v>
      </c>
      <c r="F46" s="3211" t="s">
        <v>3171</v>
      </c>
      <c r="G46" s="3212">
        <f t="shared" si="2"/>
        <v>106</v>
      </c>
      <c r="H46" s="3211" t="s">
        <v>3171</v>
      </c>
      <c r="I46" s="3212">
        <f t="shared" si="3"/>
        <v>106</v>
      </c>
    </row>
    <row r="47" spans="2:11" ht="14.25" thickBot="1">
      <c r="B47" s="3562" t="str">
        <f t="shared" si="0"/>
        <v>容积率</v>
      </c>
      <c r="C47" s="3561"/>
      <c r="D47" s="3211" t="s">
        <v>3171</v>
      </c>
      <c r="E47" s="3212">
        <f t="shared" si="1"/>
        <v>105</v>
      </c>
      <c r="F47" s="3211" t="s">
        <v>3171</v>
      </c>
      <c r="G47" s="3212">
        <f t="shared" si="2"/>
        <v>105</v>
      </c>
      <c r="H47" s="3211" t="s">
        <v>3171</v>
      </c>
      <c r="I47" s="3212">
        <f t="shared" si="3"/>
        <v>105</v>
      </c>
    </row>
    <row r="48" spans="2:11" ht="14.25" thickBot="1">
      <c r="B48" s="3563" t="s">
        <v>3158</v>
      </c>
      <c r="C48" s="3213" t="str">
        <f>C24</f>
        <v>居住社区成熟度</v>
      </c>
      <c r="D48" s="3211" t="s">
        <v>3171</v>
      </c>
      <c r="E48" s="3212">
        <f t="shared" si="1"/>
        <v>97</v>
      </c>
      <c r="F48" s="3211" t="s">
        <v>3171</v>
      </c>
      <c r="G48" s="3212">
        <f t="shared" si="2"/>
        <v>97</v>
      </c>
      <c r="H48" s="3211" t="s">
        <v>3171</v>
      </c>
      <c r="I48" s="3212">
        <f t="shared" si="3"/>
        <v>100</v>
      </c>
    </row>
    <row r="49" spans="2:9" ht="14.25" thickBot="1">
      <c r="B49" s="3564"/>
      <c r="C49" s="3213" t="str">
        <f t="shared" ref="C49:C60" si="4">C25</f>
        <v>商业繁华度</v>
      </c>
      <c r="D49" s="3211" t="s">
        <v>3171</v>
      </c>
      <c r="E49" s="3212">
        <f t="shared" si="1"/>
        <v>97</v>
      </c>
      <c r="F49" s="3211" t="s">
        <v>3171</v>
      </c>
      <c r="G49" s="3212">
        <f t="shared" si="2"/>
        <v>97</v>
      </c>
      <c r="H49" s="3211" t="s">
        <v>3171</v>
      </c>
      <c r="I49" s="3212">
        <f t="shared" si="3"/>
        <v>100</v>
      </c>
    </row>
    <row r="50" spans="2:9" ht="14.25" thickBot="1">
      <c r="B50" s="3564"/>
      <c r="C50" s="3213" t="str">
        <f t="shared" si="4"/>
        <v>交通便捷度</v>
      </c>
      <c r="D50" s="3211" t="s">
        <v>3171</v>
      </c>
      <c r="E50" s="3212">
        <f t="shared" si="1"/>
        <v>100</v>
      </c>
      <c r="F50" s="3211" t="s">
        <v>3171</v>
      </c>
      <c r="G50" s="3212">
        <f t="shared" si="2"/>
        <v>100</v>
      </c>
      <c r="H50" s="3211" t="s">
        <v>3171</v>
      </c>
      <c r="I50" s="3212">
        <f t="shared" si="3"/>
        <v>100</v>
      </c>
    </row>
    <row r="51" spans="2:9" ht="14.25" thickBot="1">
      <c r="B51" s="3564"/>
      <c r="C51" s="3213" t="str">
        <f t="shared" si="4"/>
        <v>区域土地利用方向</v>
      </c>
      <c r="D51" s="3211" t="s">
        <v>3171</v>
      </c>
      <c r="E51" s="3212">
        <f t="shared" si="1"/>
        <v>100</v>
      </c>
      <c r="F51" s="3211" t="s">
        <v>3171</v>
      </c>
      <c r="G51" s="3212">
        <f t="shared" si="2"/>
        <v>100</v>
      </c>
      <c r="H51" s="3211" t="s">
        <v>3171</v>
      </c>
      <c r="I51" s="3212">
        <f t="shared" si="3"/>
        <v>100</v>
      </c>
    </row>
    <row r="52" spans="2:9" ht="14.25" thickBot="1">
      <c r="B52" s="3564"/>
      <c r="C52" s="3213" t="str">
        <f t="shared" si="4"/>
        <v>自然及人文环境状况</v>
      </c>
      <c r="D52" s="3211" t="s">
        <v>3171</v>
      </c>
      <c r="E52" s="3212">
        <f t="shared" si="1"/>
        <v>100</v>
      </c>
      <c r="F52" s="3211" t="s">
        <v>3171</v>
      </c>
      <c r="G52" s="3212">
        <f t="shared" si="2"/>
        <v>100</v>
      </c>
      <c r="H52" s="3211" t="s">
        <v>3171</v>
      </c>
      <c r="I52" s="3212">
        <f t="shared" si="3"/>
        <v>100</v>
      </c>
    </row>
    <row r="53" spans="2:9" ht="14.25" thickBot="1">
      <c r="B53" s="3564"/>
      <c r="C53" s="3213" t="str">
        <f t="shared" si="4"/>
        <v>公共配套设施</v>
      </c>
      <c r="D53" s="3211" t="s">
        <v>3171</v>
      </c>
      <c r="E53" s="3212">
        <f t="shared" si="1"/>
        <v>98</v>
      </c>
      <c r="F53" s="3211" t="s">
        <v>3171</v>
      </c>
      <c r="G53" s="3212">
        <f t="shared" si="2"/>
        <v>98</v>
      </c>
      <c r="H53" s="3211" t="s">
        <v>3171</v>
      </c>
      <c r="I53" s="3212">
        <f t="shared" si="3"/>
        <v>100</v>
      </c>
    </row>
    <row r="54" spans="2:9" ht="14.25" thickBot="1">
      <c r="B54" s="3564"/>
      <c r="C54" s="3213" t="str">
        <f t="shared" si="4"/>
        <v>基础设施水平</v>
      </c>
      <c r="D54" s="3211" t="s">
        <v>3171</v>
      </c>
      <c r="E54" s="3212">
        <f t="shared" si="1"/>
        <v>100</v>
      </c>
      <c r="F54" s="3211" t="s">
        <v>3171</v>
      </c>
      <c r="G54" s="3212">
        <f t="shared" si="2"/>
        <v>100</v>
      </c>
      <c r="H54" s="3211" t="s">
        <v>3171</v>
      </c>
      <c r="I54" s="3212">
        <f t="shared" si="3"/>
        <v>100</v>
      </c>
    </row>
    <row r="55" spans="2:9" ht="14.25" thickBot="1">
      <c r="B55" s="3565"/>
      <c r="C55" s="3213" t="str">
        <f t="shared" si="4"/>
        <v>临街状况</v>
      </c>
      <c r="D55" s="3211" t="s">
        <v>3171</v>
      </c>
      <c r="E55" s="3212">
        <f t="shared" si="1"/>
        <v>98</v>
      </c>
      <c r="F55" s="3211" t="s">
        <v>3171</v>
      </c>
      <c r="G55" s="3212">
        <f t="shared" si="2"/>
        <v>98</v>
      </c>
      <c r="H55" s="3211" t="s">
        <v>3171</v>
      </c>
      <c r="I55" s="3212">
        <f t="shared" si="3"/>
        <v>98</v>
      </c>
    </row>
    <row r="56" spans="2:9" ht="14.25" thickBot="1">
      <c r="B56" s="3568" t="s">
        <v>3159</v>
      </c>
      <c r="C56" s="3213" t="str">
        <f t="shared" si="4"/>
        <v>宗地面积</v>
      </c>
      <c r="D56" s="3211" t="s">
        <v>3171</v>
      </c>
      <c r="E56" s="3212">
        <f t="shared" si="1"/>
        <v>103</v>
      </c>
      <c r="F56" s="3211" t="s">
        <v>3171</v>
      </c>
      <c r="G56" s="3212">
        <f t="shared" si="2"/>
        <v>101</v>
      </c>
      <c r="H56" s="3211" t="s">
        <v>3171</v>
      </c>
      <c r="I56" s="3212">
        <f t="shared" si="3"/>
        <v>101</v>
      </c>
    </row>
    <row r="57" spans="2:9" ht="14.25" thickBot="1">
      <c r="B57" s="3568"/>
      <c r="C57" s="3213" t="str">
        <f t="shared" si="4"/>
        <v>宗地面积</v>
      </c>
      <c r="D57" s="3211" t="s">
        <v>3171</v>
      </c>
      <c r="E57" s="3212">
        <f t="shared" si="1"/>
        <v>104</v>
      </c>
      <c r="F57" s="3211" t="s">
        <v>3171</v>
      </c>
      <c r="G57" s="3212">
        <f t="shared" si="2"/>
        <v>104</v>
      </c>
      <c r="H57" s="3211" t="s">
        <v>3171</v>
      </c>
      <c r="I57" s="3212">
        <f t="shared" si="3"/>
        <v>104</v>
      </c>
    </row>
    <row r="58" spans="2:9" ht="14.25" thickBot="1">
      <c r="B58" s="3568"/>
      <c r="C58" s="3213" t="str">
        <f t="shared" si="4"/>
        <v>宗地开发程度</v>
      </c>
      <c r="D58" s="3211" t="s">
        <v>3171</v>
      </c>
      <c r="E58" s="3212">
        <f t="shared" si="1"/>
        <v>100</v>
      </c>
      <c r="F58" s="3211" t="s">
        <v>3171</v>
      </c>
      <c r="G58" s="3212">
        <f t="shared" si="2"/>
        <v>100</v>
      </c>
      <c r="H58" s="3211" t="s">
        <v>3171</v>
      </c>
      <c r="I58" s="3212">
        <f t="shared" si="3"/>
        <v>100</v>
      </c>
    </row>
    <row r="59" spans="2:9" ht="14.25" thickBot="1">
      <c r="B59" s="3568"/>
      <c r="C59" s="3213" t="str">
        <f t="shared" si="4"/>
        <v>工程地质条件</v>
      </c>
      <c r="D59" s="3211" t="s">
        <v>3171</v>
      </c>
      <c r="E59" s="3212">
        <f t="shared" si="1"/>
        <v>94</v>
      </c>
      <c r="F59" s="3211" t="s">
        <v>3171</v>
      </c>
      <c r="G59" s="3212">
        <f t="shared" si="2"/>
        <v>94</v>
      </c>
      <c r="H59" s="3211" t="s">
        <v>3171</v>
      </c>
      <c r="I59" s="3212">
        <f t="shared" si="3"/>
        <v>94</v>
      </c>
    </row>
    <row r="60" spans="2:9" ht="14.25" thickBot="1">
      <c r="B60" s="3568"/>
      <c r="C60" s="3213" t="str">
        <f t="shared" si="4"/>
        <v>临海情况</v>
      </c>
      <c r="D60" s="3211" t="s">
        <v>3171</v>
      </c>
      <c r="E60" s="3212">
        <f t="shared" si="1"/>
        <v>95</v>
      </c>
      <c r="F60" s="3211" t="s">
        <v>3171</v>
      </c>
      <c r="G60" s="3212">
        <f t="shared" si="2"/>
        <v>95</v>
      </c>
      <c r="H60" s="3211" t="s">
        <v>3171</v>
      </c>
      <c r="I60" s="3212">
        <f t="shared" si="3"/>
        <v>95</v>
      </c>
    </row>
    <row r="61" spans="2:9" ht="26.25" customHeight="1" thickBot="1">
      <c r="B61" s="3566" t="s">
        <v>3172</v>
      </c>
      <c r="C61" s="3567"/>
      <c r="D61" s="3558">
        <f>'比较法-住宅、综合'!E48</f>
        <v>7824</v>
      </c>
      <c r="E61" s="3559"/>
      <c r="F61" s="3558">
        <f>'比较法-住宅、综合'!G48</f>
        <v>8048</v>
      </c>
      <c r="G61" s="3559"/>
      <c r="H61" s="3558">
        <f>'比较法-住宅、综合'!I48</f>
        <v>11052</v>
      </c>
      <c r="I61" s="3559"/>
    </row>
    <row r="62" spans="2:9" ht="26.25" customHeight="1" thickBot="1">
      <c r="B62" s="3566" t="s">
        <v>3173</v>
      </c>
      <c r="C62" s="3567"/>
      <c r="D62" s="3558">
        <f>'比较法-住宅、综合'!E49</f>
        <v>9917</v>
      </c>
      <c r="E62" s="3559"/>
      <c r="F62" s="3558">
        <f>'比较法-住宅、综合'!G49</f>
        <v>10403</v>
      </c>
      <c r="G62" s="3559"/>
      <c r="H62" s="3558">
        <f>'比较法-住宅、综合'!I49</f>
        <v>11492</v>
      </c>
      <c r="I62" s="3559"/>
    </row>
    <row r="67" spans="2:11" ht="14.25" thickBot="1"/>
    <row r="68" spans="2:11" ht="14.25" thickBot="1">
      <c r="B68" s="3543" t="s">
        <v>3151</v>
      </c>
      <c r="C68" s="3544"/>
      <c r="D68" s="3529" t="s">
        <v>3152</v>
      </c>
      <c r="E68" s="3530"/>
      <c r="F68" s="3529" t="s">
        <v>3174</v>
      </c>
      <c r="G68" s="3530"/>
      <c r="H68" s="3529" t="s">
        <v>3175</v>
      </c>
      <c r="I68" s="3530"/>
      <c r="J68" s="3529" t="s">
        <v>3176</v>
      </c>
      <c r="K68" s="3530"/>
    </row>
    <row r="69" spans="2:11" ht="14.25" thickBot="1">
      <c r="B69" s="3545"/>
      <c r="C69" s="3546"/>
      <c r="D69" s="3214" t="s">
        <v>3160</v>
      </c>
      <c r="E69" s="3549" t="s">
        <v>3177</v>
      </c>
      <c r="F69" s="3214" t="s">
        <v>3180</v>
      </c>
      <c r="G69" s="3549" t="s">
        <v>3177</v>
      </c>
      <c r="H69" s="3214" t="s">
        <v>3183</v>
      </c>
      <c r="I69" s="3549" t="s">
        <v>3177</v>
      </c>
      <c r="J69" s="3214" t="s">
        <v>3186</v>
      </c>
      <c r="K69" s="3549" t="s">
        <v>3177</v>
      </c>
    </row>
    <row r="70" spans="2:11" ht="23.25" thickBot="1">
      <c r="B70" s="3547"/>
      <c r="C70" s="3548"/>
      <c r="D70" s="3214" t="s">
        <v>3161</v>
      </c>
      <c r="E70" s="3550"/>
      <c r="F70" s="3214" t="s">
        <v>3182</v>
      </c>
      <c r="G70" s="3550"/>
      <c r="H70" s="3214" t="s">
        <v>3185</v>
      </c>
      <c r="I70" s="3550"/>
      <c r="J70" s="3214" t="s">
        <v>3185</v>
      </c>
      <c r="K70" s="3550"/>
    </row>
    <row r="71" spans="2:11" ht="14.25" thickBot="1">
      <c r="B71" s="3541" t="str">
        <f>'不动产比较法-住宅'!B7</f>
        <v>交易时间</v>
      </c>
      <c r="C71" s="3542"/>
      <c r="D71" s="3220">
        <v>43221</v>
      </c>
      <c r="E71" s="3219">
        <v>100</v>
      </c>
      <c r="F71" s="3220">
        <v>43221</v>
      </c>
      <c r="G71" s="3219">
        <v>100</v>
      </c>
      <c r="H71" s="3220">
        <v>43221</v>
      </c>
      <c r="I71" s="3219">
        <v>100</v>
      </c>
      <c r="J71" s="3220">
        <v>43221</v>
      </c>
      <c r="K71" s="3219">
        <v>100</v>
      </c>
    </row>
    <row r="72" spans="2:11" ht="14.25" thickBot="1">
      <c r="B72" s="3541" t="str">
        <f>'不动产比较法-住宅'!B8</f>
        <v>交易情况</v>
      </c>
      <c r="C72" s="3542"/>
      <c r="D72" s="3216" t="s">
        <v>3007</v>
      </c>
      <c r="E72" s="3219">
        <v>100</v>
      </c>
      <c r="F72" s="3216" t="s">
        <v>3007</v>
      </c>
      <c r="G72" s="3215">
        <v>100</v>
      </c>
      <c r="H72" s="3216" t="s">
        <v>3007</v>
      </c>
      <c r="I72" s="3215">
        <v>100</v>
      </c>
      <c r="J72" s="3216" t="s">
        <v>3007</v>
      </c>
      <c r="K72" s="3215">
        <v>100</v>
      </c>
    </row>
    <row r="73" spans="2:11" ht="14.25" thickBot="1">
      <c r="B73" s="3541" t="str">
        <f>'不动产比较法-住宅'!B9</f>
        <v>用途</v>
      </c>
      <c r="C73" s="3542"/>
      <c r="D73" s="3216" t="str">
        <f>'不动产比较法-住宅'!C9</f>
        <v>住宅</v>
      </c>
      <c r="E73" s="3219">
        <v>100</v>
      </c>
      <c r="F73" s="3216" t="str">
        <f>'不动产比较法-住宅'!E9</f>
        <v>住宅</v>
      </c>
      <c r="G73" s="3215">
        <v>100</v>
      </c>
      <c r="H73" s="3216" t="str">
        <f>'不动产比较法-住宅'!G9</f>
        <v>住宅</v>
      </c>
      <c r="I73" s="3215">
        <v>100</v>
      </c>
      <c r="J73" s="3216" t="str">
        <f>'不动产比较法-住宅'!I9</f>
        <v>住宅</v>
      </c>
      <c r="K73" s="3217">
        <v>100</v>
      </c>
    </row>
    <row r="74" spans="2:11" ht="14.25" thickBot="1">
      <c r="B74" s="3541" t="str">
        <f>'不动产比较法-住宅'!B10</f>
        <v>土地使用年限（年）</v>
      </c>
      <c r="C74" s="3542"/>
      <c r="D74" s="3222" t="str">
        <f>'不动产比较法-住宅'!C10</f>
        <v>50-60（含）</v>
      </c>
      <c r="E74" s="3219">
        <v>100</v>
      </c>
      <c r="F74" s="3222" t="str">
        <f>'不动产比较法-住宅'!E10</f>
        <v>60-70（含）</v>
      </c>
      <c r="G74" s="3215">
        <f>'不动产比较法-住宅'!F10</f>
        <v>102</v>
      </c>
      <c r="H74" s="3222" t="str">
        <f>'不动产比较法-住宅'!G10</f>
        <v>60-70（含）</v>
      </c>
      <c r="I74" s="3215">
        <f>'不动产比较法-住宅'!H10</f>
        <v>102</v>
      </c>
      <c r="J74" s="3222" t="str">
        <f>'不动产比较法-住宅'!I10</f>
        <v>60-70（含）</v>
      </c>
      <c r="K74" s="3215">
        <f>'不动产比较法-住宅'!J10</f>
        <v>102</v>
      </c>
    </row>
    <row r="75" spans="2:11" ht="14.25" customHeight="1" thickBot="1">
      <c r="B75" s="3541" t="str">
        <f>'不动产比较法-住宅'!B11</f>
        <v>容积率</v>
      </c>
      <c r="C75" s="3542"/>
      <c r="D75" s="3216">
        <f>'不动产比较法-住宅'!C11</f>
        <v>4.0599999999999996</v>
      </c>
      <c r="E75" s="3219">
        <v>100</v>
      </c>
      <c r="F75" s="3216">
        <f>'不动产比较法-住宅'!E11</f>
        <v>4.5</v>
      </c>
      <c r="G75" s="3215">
        <f>'不动产比较法-住宅'!F11</f>
        <v>100</v>
      </c>
      <c r="H75" s="3216">
        <f>'不动产比较法-住宅'!G11</f>
        <v>3.5</v>
      </c>
      <c r="I75" s="3215">
        <f>'不动产比较法-住宅'!H11</f>
        <v>103</v>
      </c>
      <c r="J75" s="3216">
        <f>'不动产比较法-住宅'!I11</f>
        <v>2.5</v>
      </c>
      <c r="K75" s="3217">
        <f>'不动产比较法-住宅'!J11</f>
        <v>103</v>
      </c>
    </row>
    <row r="76" spans="2:11" ht="14.25" thickBot="1">
      <c r="B76" s="3536" t="s">
        <v>3158</v>
      </c>
      <c r="C76" s="3218" t="str">
        <f>'不动产比较法-住宅'!B15</f>
        <v>居住社区成熟度</v>
      </c>
      <c r="D76" s="3216" t="str">
        <f>'不动产比较法-住宅'!C16</f>
        <v>较好</v>
      </c>
      <c r="E76" s="3219">
        <v>100</v>
      </c>
      <c r="F76" s="3216" t="str">
        <f>'不动产比较法-住宅'!E16</f>
        <v>一般</v>
      </c>
      <c r="G76" s="3215">
        <f>'不动产比较法-住宅'!F15</f>
        <v>97</v>
      </c>
      <c r="H76" s="3216" t="str">
        <f>'不动产比较法-住宅'!G16</f>
        <v>一般</v>
      </c>
      <c r="I76" s="3215">
        <f>'不动产比较法-住宅'!H15</f>
        <v>97</v>
      </c>
      <c r="J76" s="3216" t="str">
        <f>'不动产比较法-住宅'!I16</f>
        <v>一般</v>
      </c>
      <c r="K76" s="3215">
        <f>'不动产比较法-住宅'!J15</f>
        <v>97</v>
      </c>
    </row>
    <row r="77" spans="2:11" ht="14.25" thickBot="1">
      <c r="B77" s="3537"/>
      <c r="C77" s="3218" t="str">
        <f>'不动产比较法-住宅'!B17</f>
        <v>交通便捷度</v>
      </c>
      <c r="D77" s="3216" t="str">
        <f>'不动产比较法-住宅'!C18</f>
        <v>一般</v>
      </c>
      <c r="E77" s="3219">
        <v>100</v>
      </c>
      <c r="F77" s="3223" t="str">
        <f>'不动产比较法-住宅'!E18</f>
        <v>一般</v>
      </c>
      <c r="G77" s="3215">
        <v>100</v>
      </c>
      <c r="H77" s="3223" t="str">
        <f>'不动产比较法-住宅'!G18</f>
        <v>一般</v>
      </c>
      <c r="I77" s="3215">
        <v>100</v>
      </c>
      <c r="J77" s="3223" t="str">
        <f>'不动产比较法-住宅'!I18</f>
        <v>一般</v>
      </c>
      <c r="K77" s="3217">
        <v>100</v>
      </c>
    </row>
    <row r="78" spans="2:11" ht="14.25" thickBot="1">
      <c r="B78" s="3537"/>
      <c r="C78" s="3218" t="str">
        <f>'不动产比较法-住宅'!B19</f>
        <v>公共配套设施</v>
      </c>
      <c r="D78" s="3216" t="str">
        <f>'不动产比较法-住宅'!C20</f>
        <v>一般</v>
      </c>
      <c r="E78" s="3219">
        <v>100</v>
      </c>
      <c r="F78" s="3216" t="str">
        <f>'不动产比较法-住宅'!E20</f>
        <v>较差</v>
      </c>
      <c r="G78" s="3215">
        <f>'不动产比较法-住宅'!F19</f>
        <v>98</v>
      </c>
      <c r="H78" s="3216" t="str">
        <f>'不动产比较法-住宅'!G20</f>
        <v>较差</v>
      </c>
      <c r="I78" s="3215">
        <f>'不动产比较法-住宅'!H19</f>
        <v>98</v>
      </c>
      <c r="J78" s="3223">
        <f>'不动产比较法-住宅'!I19</f>
        <v>0</v>
      </c>
      <c r="K78" s="3217">
        <v>100</v>
      </c>
    </row>
    <row r="79" spans="2:11" ht="14.25" thickBot="1">
      <c r="B79" s="3537"/>
      <c r="C79" s="3218" t="str">
        <f>'不动产比较法-住宅'!B21</f>
        <v>基础设施水平</v>
      </c>
      <c r="D79" s="3216" t="str">
        <f>'不动产比较法-住宅'!C22</f>
        <v>六通</v>
      </c>
      <c r="E79" s="3219">
        <v>100</v>
      </c>
      <c r="F79" s="3216" t="str">
        <f>'不动产比较法-住宅'!E22</f>
        <v>六通</v>
      </c>
      <c r="G79" s="3215">
        <v>100</v>
      </c>
      <c r="H79" s="3216" t="str">
        <f>'不动产比较法-住宅'!G22</f>
        <v>六通</v>
      </c>
      <c r="I79" s="3215">
        <v>100</v>
      </c>
      <c r="J79" s="3216" t="str">
        <f>'不动产比较法-住宅'!I22</f>
        <v>六通</v>
      </c>
      <c r="K79" s="3217">
        <v>100</v>
      </c>
    </row>
    <row r="80" spans="2:11" ht="14.25" thickBot="1">
      <c r="B80" s="3537"/>
      <c r="C80" s="3218" t="str">
        <f>'不动产比较法-住宅'!B23</f>
        <v>自然及人文环境</v>
      </c>
      <c r="D80" s="3216" t="str">
        <f>'不动产比较法-住宅'!C24</f>
        <v>好</v>
      </c>
      <c r="E80" s="3219">
        <v>100</v>
      </c>
      <c r="F80" s="3223" t="str">
        <f>'不动产比较法-住宅'!E24</f>
        <v>好</v>
      </c>
      <c r="G80" s="3215">
        <v>100</v>
      </c>
      <c r="H80" s="3223" t="str">
        <f>'不动产比较法-住宅'!G24</f>
        <v>好</v>
      </c>
      <c r="I80" s="3215">
        <v>100</v>
      </c>
      <c r="J80" s="3223" t="str">
        <f>'不动产比较法-住宅'!I24</f>
        <v>好</v>
      </c>
      <c r="K80" s="3217">
        <v>100</v>
      </c>
    </row>
    <row r="81" spans="2:11" ht="14.25" thickBot="1">
      <c r="B81" s="3538" t="s">
        <v>3159</v>
      </c>
      <c r="C81" s="3218" t="str">
        <f>'不动产比较法-住宅'!B32</f>
        <v>建筑类型</v>
      </c>
      <c r="D81" s="3216" t="str">
        <f>'不动产比较法-住宅'!C32</f>
        <v>普通住宅</v>
      </c>
      <c r="E81" s="3219">
        <v>100</v>
      </c>
      <c r="F81" s="3216" t="str">
        <f>'不动产比较法-住宅'!E32</f>
        <v>普通住宅</v>
      </c>
      <c r="G81" s="3215">
        <v>100</v>
      </c>
      <c r="H81" s="3216" t="str">
        <f>'不动产比较法-住宅'!G32</f>
        <v>普通住宅</v>
      </c>
      <c r="I81" s="3215">
        <v>100</v>
      </c>
      <c r="J81" s="3216" t="str">
        <f>'不动产比较法-住宅'!I32</f>
        <v>普通住宅</v>
      </c>
      <c r="K81" s="3217">
        <v>100</v>
      </c>
    </row>
    <row r="82" spans="2:11" ht="14.25" thickBot="1">
      <c r="B82" s="3539"/>
      <c r="C82" s="3218" t="str">
        <f>'不动产比较法-住宅'!B33</f>
        <v>项目建筑规模</v>
      </c>
      <c r="D82" s="3216">
        <f>'不动产比较法-住宅'!C33</f>
        <v>877761</v>
      </c>
      <c r="E82" s="3219">
        <v>100</v>
      </c>
      <c r="F82" s="3216">
        <f>'不动产比较法-住宅'!E33</f>
        <v>230552</v>
      </c>
      <c r="G82" s="3215">
        <f>'不动产比较法-住宅'!F33</f>
        <v>97</v>
      </c>
      <c r="H82" s="3216">
        <f>'不动产比较法-住宅'!G33</f>
        <v>203418</v>
      </c>
      <c r="I82" s="3215">
        <f>'不动产比较法-住宅'!H33</f>
        <v>97</v>
      </c>
      <c r="J82" s="3216">
        <f>'不动产比较法-住宅'!I33</f>
        <v>370000</v>
      </c>
      <c r="K82" s="3217">
        <v>98</v>
      </c>
    </row>
    <row r="83" spans="2:11" ht="14.25" thickBot="1">
      <c r="B83" s="3539"/>
      <c r="C83" s="3218" t="str">
        <f>'不动产比较法-住宅'!B34</f>
        <v>建筑结构</v>
      </c>
      <c r="D83" s="3216" t="str">
        <f>'不动产比较法-住宅'!C34</f>
        <v>钢混</v>
      </c>
      <c r="E83" s="3219">
        <v>100</v>
      </c>
      <c r="F83" s="3216" t="str">
        <f>'不动产比较法-住宅'!E34</f>
        <v>钢混</v>
      </c>
      <c r="G83" s="3215">
        <v>100</v>
      </c>
      <c r="H83" s="3216" t="str">
        <f>'不动产比较法-住宅'!G34</f>
        <v>钢混</v>
      </c>
      <c r="I83" s="3215">
        <v>100</v>
      </c>
      <c r="J83" s="3216" t="str">
        <f>'不动产比较法-住宅'!I34</f>
        <v>钢混</v>
      </c>
      <c r="K83" s="3217">
        <v>100</v>
      </c>
    </row>
    <row r="84" spans="2:11" ht="14.25" thickBot="1">
      <c r="B84" s="3539"/>
      <c r="C84" s="3218" t="str">
        <f>'不动产比较法-住宅'!B35</f>
        <v>建筑品质</v>
      </c>
      <c r="D84" s="3223" t="str">
        <f>'不动产比较法-住宅'!C35</f>
        <v>高档</v>
      </c>
      <c r="E84" s="3219">
        <v>100</v>
      </c>
      <c r="F84" s="3223" t="str">
        <f>'不动产比较法-住宅'!E35</f>
        <v>中档</v>
      </c>
      <c r="G84" s="3215">
        <f>'不动产比较法-住宅'!F35</f>
        <v>95</v>
      </c>
      <c r="H84" s="3223" t="str">
        <f>'不动产比较法-住宅'!G35</f>
        <v>中档</v>
      </c>
      <c r="I84" s="3215">
        <f>'不动产比较法-住宅'!H35</f>
        <v>95</v>
      </c>
      <c r="J84" s="3223" t="str">
        <f>'不动产比较法-住宅'!I35</f>
        <v>中档</v>
      </c>
      <c r="K84" s="3215">
        <f>'不动产比较法-住宅'!J35</f>
        <v>95</v>
      </c>
    </row>
    <row r="85" spans="2:11" ht="14.25" thickBot="1">
      <c r="B85" s="3539"/>
      <c r="C85" s="3218" t="str">
        <f>'不动产比较法-住宅'!B36</f>
        <v>公共部分装修</v>
      </c>
      <c r="D85" s="3223" t="str">
        <f>'不动产比较法-住宅'!C36</f>
        <v>豪华装修</v>
      </c>
      <c r="E85" s="3219">
        <v>100</v>
      </c>
      <c r="F85" s="3223" t="str">
        <f>'不动产比较法-住宅'!E36</f>
        <v>精装修</v>
      </c>
      <c r="G85" s="3215">
        <f>'不动产比较法-住宅'!F36</f>
        <v>97</v>
      </c>
      <c r="H85" s="3223" t="str">
        <f>'不动产比较法-住宅'!G36</f>
        <v>精装修</v>
      </c>
      <c r="I85" s="3215">
        <f>'不动产比较法-住宅'!H36</f>
        <v>97</v>
      </c>
      <c r="J85" s="3223" t="str">
        <f>'不动产比较法-住宅'!I36</f>
        <v>精装修</v>
      </c>
      <c r="K85" s="3215">
        <f>'不动产比较法-住宅'!J36</f>
        <v>97</v>
      </c>
    </row>
    <row r="86" spans="2:11" ht="14.25" thickBot="1">
      <c r="B86" s="3539"/>
      <c r="C86" s="3218" t="str">
        <f>'不动产比较法-住宅'!B38</f>
        <v>物业管理</v>
      </c>
      <c r="D86" s="3223" t="str">
        <f>'不动产比较法-住宅'!C38</f>
        <v>专业</v>
      </c>
      <c r="E86" s="3219">
        <v>100</v>
      </c>
      <c r="F86" s="3223" t="str">
        <f>'不动产比较法-住宅'!E38</f>
        <v>专业</v>
      </c>
      <c r="G86" s="3219">
        <v>100</v>
      </c>
      <c r="H86" s="3223" t="str">
        <f>'不动产比较法-住宅'!G38</f>
        <v>专业</v>
      </c>
      <c r="I86" s="3219">
        <v>100</v>
      </c>
      <c r="J86" s="3223" t="str">
        <f>'不动产比较法-住宅'!I38</f>
        <v>专业</v>
      </c>
      <c r="K86" s="3219">
        <v>100</v>
      </c>
    </row>
    <row r="87" spans="2:11" ht="14.25" thickBot="1">
      <c r="B87" s="3539"/>
      <c r="C87" s="3218" t="str">
        <f>'不动产比较法-住宅'!B39</f>
        <v>市政基础设施</v>
      </c>
      <c r="D87" s="3223" t="str">
        <f>'不动产比较法-住宅'!C39</f>
        <v>六通</v>
      </c>
      <c r="E87" s="3219">
        <v>100</v>
      </c>
      <c r="F87" s="3223" t="str">
        <f>'不动产比较法-住宅'!E39</f>
        <v>六通</v>
      </c>
      <c r="G87" s="3219">
        <v>100</v>
      </c>
      <c r="H87" s="3223" t="str">
        <f>'不动产比较法-住宅'!G39</f>
        <v>六通</v>
      </c>
      <c r="I87" s="3219">
        <v>100</v>
      </c>
      <c r="J87" s="3223" t="str">
        <f>'不动产比较法-住宅'!I39</f>
        <v>六通</v>
      </c>
      <c r="K87" s="3219">
        <v>100</v>
      </c>
    </row>
    <row r="88" spans="2:11" ht="14.25" thickBot="1">
      <c r="B88" s="3539"/>
      <c r="C88" s="3221" t="s">
        <v>3178</v>
      </c>
      <c r="D88" s="3216" t="str">
        <f>'不动产比较法-住宅'!C41</f>
        <v>180-240</v>
      </c>
      <c r="E88" s="3219">
        <v>100</v>
      </c>
      <c r="F88" s="3216" t="str">
        <f>'不动产比较法-住宅'!E41</f>
        <v>140-180</v>
      </c>
      <c r="G88" s="3215">
        <f>'不动产比较法-住宅'!F41</f>
        <v>103</v>
      </c>
      <c r="H88" s="3216" t="str">
        <f>'不动产比较法-住宅'!G41</f>
        <v>140-180</v>
      </c>
      <c r="I88" s="3215">
        <f>'不动产比较法-住宅'!H41</f>
        <v>103</v>
      </c>
      <c r="J88" s="3216" t="str">
        <f>'不动产比较法-住宅'!I41</f>
        <v>120-140</v>
      </c>
      <c r="K88" s="3217">
        <f>'不动产比较法-住宅'!J41</f>
        <v>106</v>
      </c>
    </row>
    <row r="89" spans="2:11" ht="14.25" thickBot="1">
      <c r="B89" s="3539"/>
      <c r="C89" s="3221" t="str">
        <f>'不动产比较法-住宅'!B42</f>
        <v>内部装修</v>
      </c>
      <c r="D89" s="3223" t="str">
        <f>'不动产比较法-住宅'!C42</f>
        <v>毛坯</v>
      </c>
      <c r="E89" s="3219">
        <v>100</v>
      </c>
      <c r="F89" s="3223" t="str">
        <f>'不动产比较法-住宅'!E42</f>
        <v>毛坯</v>
      </c>
      <c r="G89" s="3219">
        <v>100</v>
      </c>
      <c r="H89" s="3223" t="str">
        <f>'不动产比较法-住宅'!G42</f>
        <v>毛坯</v>
      </c>
      <c r="I89" s="3219">
        <v>100</v>
      </c>
      <c r="J89" s="3223" t="str">
        <f>'不动产比较法-住宅'!I42</f>
        <v>毛坯</v>
      </c>
      <c r="K89" s="3219">
        <v>100</v>
      </c>
    </row>
    <row r="90" spans="2:11" ht="14.25" thickBot="1">
      <c r="B90" s="3540"/>
      <c r="C90" s="3221" t="str">
        <f>'不动产比较法-住宅'!B44</f>
        <v>临海情况</v>
      </c>
      <c r="D90" s="3216" t="str">
        <f>'不动产比较法-住宅'!C44</f>
        <v>一线临海</v>
      </c>
      <c r="E90" s="3219">
        <v>100</v>
      </c>
      <c r="F90" s="3216" t="str">
        <f>'不动产比较法-住宅'!E44</f>
        <v>一线临海</v>
      </c>
      <c r="G90" s="3219">
        <v>100</v>
      </c>
      <c r="H90" s="3216" t="str">
        <f>'不动产比较法-住宅'!G44</f>
        <v>临近</v>
      </c>
      <c r="I90" s="3215">
        <f>'不动产比较法-住宅'!H44</f>
        <v>95</v>
      </c>
      <c r="J90" s="3216" t="str">
        <f>'不动产比较法-住宅'!I44</f>
        <v>较远</v>
      </c>
      <c r="K90" s="3217">
        <f>'不动产比较法-住宅'!J44</f>
        <v>90</v>
      </c>
    </row>
    <row r="92" spans="2:11" ht="14.25" thickBot="1"/>
    <row r="93" spans="2:11" ht="14.25" thickBot="1">
      <c r="B93" s="3525" t="s">
        <v>3151</v>
      </c>
      <c r="C93" s="3526"/>
      <c r="D93" s="3556" t="s">
        <v>3187</v>
      </c>
      <c r="E93" s="3557"/>
      <c r="F93" s="3554" t="s">
        <v>3188</v>
      </c>
      <c r="G93" s="3557"/>
      <c r="H93" s="3554" t="s">
        <v>3189</v>
      </c>
      <c r="I93" s="3555"/>
    </row>
    <row r="94" spans="2:11" ht="14.25" thickBot="1">
      <c r="B94" s="3527"/>
      <c r="C94" s="3528"/>
      <c r="D94" s="3531" t="s">
        <v>3193</v>
      </c>
      <c r="E94" s="3532"/>
      <c r="F94" s="3533" t="s">
        <v>3195</v>
      </c>
      <c r="G94" s="3532"/>
      <c r="H94" s="3533" t="s">
        <v>3197</v>
      </c>
      <c r="I94" s="3535"/>
    </row>
    <row r="95" spans="2:11" ht="14.25" thickBot="1">
      <c r="B95" s="3523" t="str">
        <f>B71</f>
        <v>交易时间</v>
      </c>
      <c r="C95" s="3524"/>
      <c r="D95" s="3224" t="s">
        <v>3171</v>
      </c>
      <c r="E95" s="3225">
        <f>G71</f>
        <v>100</v>
      </c>
      <c r="F95" s="3224" t="s">
        <v>3171</v>
      </c>
      <c r="G95" s="3225">
        <f>I71</f>
        <v>100</v>
      </c>
      <c r="H95" s="3224" t="s">
        <v>3171</v>
      </c>
      <c r="I95" s="3225">
        <f>K71</f>
        <v>100</v>
      </c>
    </row>
    <row r="96" spans="2:11" ht="14.25" thickBot="1">
      <c r="B96" s="3523" t="str">
        <f t="shared" ref="B96:B99" si="5">B72</f>
        <v>交易情况</v>
      </c>
      <c r="C96" s="3524"/>
      <c r="D96" s="3224" t="s">
        <v>3171</v>
      </c>
      <c r="E96" s="3225">
        <f t="shared" ref="E96:E114" si="6">G72</f>
        <v>100</v>
      </c>
      <c r="F96" s="3224" t="s">
        <v>3171</v>
      </c>
      <c r="G96" s="3225">
        <f t="shared" ref="G96:G114" si="7">I72</f>
        <v>100</v>
      </c>
      <c r="H96" s="3224" t="s">
        <v>3171</v>
      </c>
      <c r="I96" s="3225">
        <f t="shared" ref="I96:I114" si="8">K72</f>
        <v>100</v>
      </c>
    </row>
    <row r="97" spans="2:9" ht="14.25" thickBot="1">
      <c r="B97" s="3523" t="str">
        <f t="shared" si="5"/>
        <v>用途</v>
      </c>
      <c r="C97" s="3524"/>
      <c r="D97" s="3224" t="s">
        <v>3171</v>
      </c>
      <c r="E97" s="3225">
        <f t="shared" si="6"/>
        <v>100</v>
      </c>
      <c r="F97" s="3224" t="s">
        <v>3171</v>
      </c>
      <c r="G97" s="3225">
        <f t="shared" si="7"/>
        <v>100</v>
      </c>
      <c r="H97" s="3224" t="s">
        <v>3171</v>
      </c>
      <c r="I97" s="3225">
        <f t="shared" si="8"/>
        <v>100</v>
      </c>
    </row>
    <row r="98" spans="2:9" ht="14.25" thickBot="1">
      <c r="B98" s="3523" t="str">
        <f t="shared" si="5"/>
        <v>土地使用年限（年）</v>
      </c>
      <c r="C98" s="3524"/>
      <c r="D98" s="3224" t="s">
        <v>3171</v>
      </c>
      <c r="E98" s="3225">
        <f t="shared" si="6"/>
        <v>102</v>
      </c>
      <c r="F98" s="3224" t="s">
        <v>3171</v>
      </c>
      <c r="G98" s="3225">
        <f t="shared" si="7"/>
        <v>102</v>
      </c>
      <c r="H98" s="3224" t="s">
        <v>3171</v>
      </c>
      <c r="I98" s="3225">
        <f t="shared" si="8"/>
        <v>102</v>
      </c>
    </row>
    <row r="99" spans="2:9" ht="14.25" customHeight="1" thickBot="1">
      <c r="B99" s="3523" t="str">
        <f t="shared" si="5"/>
        <v>容积率</v>
      </c>
      <c r="C99" s="3524"/>
      <c r="D99" s="3224" t="s">
        <v>3171</v>
      </c>
      <c r="E99" s="3225">
        <f t="shared" si="6"/>
        <v>100</v>
      </c>
      <c r="F99" s="3224" t="s">
        <v>3171</v>
      </c>
      <c r="G99" s="3225">
        <f t="shared" si="7"/>
        <v>103</v>
      </c>
      <c r="H99" s="3224" t="s">
        <v>3171</v>
      </c>
      <c r="I99" s="3225">
        <f t="shared" si="8"/>
        <v>103</v>
      </c>
    </row>
    <row r="100" spans="2:9" ht="14.25" thickBot="1">
      <c r="B100" s="3553" t="s">
        <v>3158</v>
      </c>
      <c r="C100" s="3226" t="str">
        <f>C76</f>
        <v>居住社区成熟度</v>
      </c>
      <c r="D100" s="3224" t="s">
        <v>3171</v>
      </c>
      <c r="E100" s="3225">
        <f t="shared" si="6"/>
        <v>97</v>
      </c>
      <c r="F100" s="3224" t="s">
        <v>3171</v>
      </c>
      <c r="G100" s="3225">
        <f t="shared" si="7"/>
        <v>97</v>
      </c>
      <c r="H100" s="3224" t="s">
        <v>3171</v>
      </c>
      <c r="I100" s="3225">
        <f t="shared" si="8"/>
        <v>97</v>
      </c>
    </row>
    <row r="101" spans="2:9" ht="14.25" thickBot="1">
      <c r="B101" s="3551"/>
      <c r="C101" s="3226" t="str">
        <f t="shared" ref="C101:C114" si="9">C77</f>
        <v>交通便捷度</v>
      </c>
      <c r="D101" s="3224" t="s">
        <v>3171</v>
      </c>
      <c r="E101" s="3225">
        <f t="shared" si="6"/>
        <v>100</v>
      </c>
      <c r="F101" s="3224" t="s">
        <v>3171</v>
      </c>
      <c r="G101" s="3225">
        <f t="shared" si="7"/>
        <v>100</v>
      </c>
      <c r="H101" s="3224" t="s">
        <v>3171</v>
      </c>
      <c r="I101" s="3225">
        <f t="shared" si="8"/>
        <v>100</v>
      </c>
    </row>
    <row r="102" spans="2:9" ht="14.25" thickBot="1">
      <c r="B102" s="3551"/>
      <c r="C102" s="3226" t="str">
        <f t="shared" si="9"/>
        <v>公共配套设施</v>
      </c>
      <c r="D102" s="3224" t="s">
        <v>3171</v>
      </c>
      <c r="E102" s="3225">
        <f t="shared" si="6"/>
        <v>98</v>
      </c>
      <c r="F102" s="3224" t="s">
        <v>3171</v>
      </c>
      <c r="G102" s="3225">
        <f t="shared" si="7"/>
        <v>98</v>
      </c>
      <c r="H102" s="3224" t="s">
        <v>3171</v>
      </c>
      <c r="I102" s="3225">
        <f t="shared" si="8"/>
        <v>100</v>
      </c>
    </row>
    <row r="103" spans="2:9" ht="14.25" thickBot="1">
      <c r="B103" s="3551"/>
      <c r="C103" s="3226" t="str">
        <f t="shared" si="9"/>
        <v>基础设施水平</v>
      </c>
      <c r="D103" s="3224" t="s">
        <v>3171</v>
      </c>
      <c r="E103" s="3225">
        <f t="shared" si="6"/>
        <v>100</v>
      </c>
      <c r="F103" s="3224" t="s">
        <v>3171</v>
      </c>
      <c r="G103" s="3225">
        <f t="shared" si="7"/>
        <v>100</v>
      </c>
      <c r="H103" s="3224" t="s">
        <v>3171</v>
      </c>
      <c r="I103" s="3225">
        <f t="shared" si="8"/>
        <v>100</v>
      </c>
    </row>
    <row r="104" spans="2:9" ht="14.25" thickBot="1">
      <c r="B104" s="3551"/>
      <c r="C104" s="3226" t="str">
        <f t="shared" si="9"/>
        <v>自然及人文环境</v>
      </c>
      <c r="D104" s="3224" t="s">
        <v>3171</v>
      </c>
      <c r="E104" s="3225">
        <f t="shared" si="6"/>
        <v>100</v>
      </c>
      <c r="F104" s="3224" t="s">
        <v>3171</v>
      </c>
      <c r="G104" s="3225">
        <f t="shared" si="7"/>
        <v>100</v>
      </c>
      <c r="H104" s="3224" t="s">
        <v>3171</v>
      </c>
      <c r="I104" s="3225">
        <f t="shared" si="8"/>
        <v>100</v>
      </c>
    </row>
    <row r="105" spans="2:9" ht="14.25" thickBot="1">
      <c r="B105" s="3551" t="s">
        <v>3159</v>
      </c>
      <c r="C105" s="3226" t="str">
        <f t="shared" si="9"/>
        <v>建筑类型</v>
      </c>
      <c r="D105" s="3224" t="s">
        <v>3171</v>
      </c>
      <c r="E105" s="3225">
        <f t="shared" si="6"/>
        <v>100</v>
      </c>
      <c r="F105" s="3224" t="s">
        <v>3171</v>
      </c>
      <c r="G105" s="3225">
        <f t="shared" si="7"/>
        <v>100</v>
      </c>
      <c r="H105" s="3224" t="s">
        <v>3171</v>
      </c>
      <c r="I105" s="3225">
        <f t="shared" si="8"/>
        <v>100</v>
      </c>
    </row>
    <row r="106" spans="2:9" ht="14.25" thickBot="1">
      <c r="B106" s="3551"/>
      <c r="C106" s="3226" t="str">
        <f t="shared" si="9"/>
        <v>项目建筑规模</v>
      </c>
      <c r="D106" s="3224" t="s">
        <v>3171</v>
      </c>
      <c r="E106" s="3225">
        <f t="shared" si="6"/>
        <v>97</v>
      </c>
      <c r="F106" s="3224" t="s">
        <v>3171</v>
      </c>
      <c r="G106" s="3225">
        <f t="shared" si="7"/>
        <v>97</v>
      </c>
      <c r="H106" s="3224" t="s">
        <v>3171</v>
      </c>
      <c r="I106" s="3225">
        <f t="shared" si="8"/>
        <v>98</v>
      </c>
    </row>
    <row r="107" spans="2:9" ht="14.25" thickBot="1">
      <c r="B107" s="3551"/>
      <c r="C107" s="3226" t="str">
        <f t="shared" si="9"/>
        <v>建筑结构</v>
      </c>
      <c r="D107" s="3224" t="s">
        <v>3171</v>
      </c>
      <c r="E107" s="3225">
        <f t="shared" si="6"/>
        <v>100</v>
      </c>
      <c r="F107" s="3224" t="s">
        <v>3171</v>
      </c>
      <c r="G107" s="3225">
        <f t="shared" si="7"/>
        <v>100</v>
      </c>
      <c r="H107" s="3224" t="s">
        <v>3171</v>
      </c>
      <c r="I107" s="3225">
        <f t="shared" si="8"/>
        <v>100</v>
      </c>
    </row>
    <row r="108" spans="2:9" ht="14.25" thickBot="1">
      <c r="B108" s="3551"/>
      <c r="C108" s="3226" t="str">
        <f t="shared" si="9"/>
        <v>建筑品质</v>
      </c>
      <c r="D108" s="3224" t="s">
        <v>3171</v>
      </c>
      <c r="E108" s="3225">
        <f t="shared" si="6"/>
        <v>95</v>
      </c>
      <c r="F108" s="3224" t="s">
        <v>3171</v>
      </c>
      <c r="G108" s="3225">
        <f t="shared" si="7"/>
        <v>95</v>
      </c>
      <c r="H108" s="3224" t="s">
        <v>3171</v>
      </c>
      <c r="I108" s="3225">
        <f t="shared" si="8"/>
        <v>95</v>
      </c>
    </row>
    <row r="109" spans="2:9" ht="14.25" thickBot="1">
      <c r="B109" s="3551"/>
      <c r="C109" s="3226" t="str">
        <f t="shared" si="9"/>
        <v>公共部分装修</v>
      </c>
      <c r="D109" s="3224" t="s">
        <v>3171</v>
      </c>
      <c r="E109" s="3225">
        <f t="shared" si="6"/>
        <v>97</v>
      </c>
      <c r="F109" s="3224" t="s">
        <v>3171</v>
      </c>
      <c r="G109" s="3225">
        <f t="shared" si="7"/>
        <v>97</v>
      </c>
      <c r="H109" s="3224" t="s">
        <v>3171</v>
      </c>
      <c r="I109" s="3225">
        <f t="shared" si="8"/>
        <v>97</v>
      </c>
    </row>
    <row r="110" spans="2:9" ht="14.25" thickBot="1">
      <c r="B110" s="3551"/>
      <c r="C110" s="3226" t="str">
        <f t="shared" si="9"/>
        <v>物业管理</v>
      </c>
      <c r="D110" s="3224" t="s">
        <v>3171</v>
      </c>
      <c r="E110" s="3225">
        <f t="shared" si="6"/>
        <v>100</v>
      </c>
      <c r="F110" s="3224" t="s">
        <v>3171</v>
      </c>
      <c r="G110" s="3225">
        <f t="shared" si="7"/>
        <v>100</v>
      </c>
      <c r="H110" s="3224" t="s">
        <v>3171</v>
      </c>
      <c r="I110" s="3225">
        <f t="shared" si="8"/>
        <v>100</v>
      </c>
    </row>
    <row r="111" spans="2:9" ht="14.25" thickBot="1">
      <c r="B111" s="3551"/>
      <c r="C111" s="3226" t="str">
        <f t="shared" si="9"/>
        <v>市政基础设施</v>
      </c>
      <c r="D111" s="3224" t="s">
        <v>3171</v>
      </c>
      <c r="E111" s="3225">
        <f t="shared" si="6"/>
        <v>100</v>
      </c>
      <c r="F111" s="3224" t="s">
        <v>3171</v>
      </c>
      <c r="G111" s="3225">
        <f t="shared" si="7"/>
        <v>100</v>
      </c>
      <c r="H111" s="3224" t="s">
        <v>3171</v>
      </c>
      <c r="I111" s="3225">
        <f t="shared" si="8"/>
        <v>100</v>
      </c>
    </row>
    <row r="112" spans="2:9" ht="14.25" thickBot="1">
      <c r="B112" s="3551"/>
      <c r="C112" s="3226" t="str">
        <f t="shared" si="9"/>
        <v>主力户型面积</v>
      </c>
      <c r="D112" s="3224" t="s">
        <v>3171</v>
      </c>
      <c r="E112" s="3225">
        <f t="shared" si="6"/>
        <v>103</v>
      </c>
      <c r="F112" s="3224" t="s">
        <v>3171</v>
      </c>
      <c r="G112" s="3225">
        <f t="shared" si="7"/>
        <v>103</v>
      </c>
      <c r="H112" s="3224" t="s">
        <v>3171</v>
      </c>
      <c r="I112" s="3225">
        <f t="shared" si="8"/>
        <v>106</v>
      </c>
    </row>
    <row r="113" spans="2:11" ht="14.25" thickBot="1">
      <c r="B113" s="3551"/>
      <c r="C113" s="3226" t="str">
        <f t="shared" si="9"/>
        <v>内部装修</v>
      </c>
      <c r="D113" s="3224" t="s">
        <v>3171</v>
      </c>
      <c r="E113" s="3225">
        <f t="shared" si="6"/>
        <v>100</v>
      </c>
      <c r="F113" s="3224" t="s">
        <v>3171</v>
      </c>
      <c r="G113" s="3225">
        <f t="shared" si="7"/>
        <v>100</v>
      </c>
      <c r="H113" s="3224" t="s">
        <v>3171</v>
      </c>
      <c r="I113" s="3225">
        <f t="shared" si="8"/>
        <v>100</v>
      </c>
    </row>
    <row r="114" spans="2:11" ht="14.25" thickBot="1">
      <c r="B114" s="3552"/>
      <c r="C114" s="3226" t="str">
        <f t="shared" si="9"/>
        <v>临海情况</v>
      </c>
      <c r="D114" s="3224" t="s">
        <v>3171</v>
      </c>
      <c r="E114" s="3225">
        <f t="shared" si="6"/>
        <v>100</v>
      </c>
      <c r="F114" s="3224" t="s">
        <v>3171</v>
      </c>
      <c r="G114" s="3225">
        <f t="shared" si="7"/>
        <v>95</v>
      </c>
      <c r="H114" s="3224" t="s">
        <v>3171</v>
      </c>
      <c r="I114" s="3225">
        <f t="shared" si="8"/>
        <v>90</v>
      </c>
    </row>
    <row r="115" spans="2:11" ht="24.75" customHeight="1" thickBot="1">
      <c r="B115" s="3513" t="s">
        <v>3190</v>
      </c>
      <c r="C115" s="3514"/>
      <c r="D115" s="3515">
        <f>'不动产比较法-住宅'!E47</f>
        <v>18520</v>
      </c>
      <c r="E115" s="3517"/>
      <c r="F115" s="3515">
        <f>'不动产比较法-住宅'!G47</f>
        <v>18556</v>
      </c>
      <c r="G115" s="3517"/>
      <c r="H115" s="3515">
        <f>'不动产比较法-住宅'!I47</f>
        <v>17620</v>
      </c>
      <c r="I115" s="3517"/>
    </row>
    <row r="116" spans="2:11" ht="24.75" customHeight="1" thickBot="1">
      <c r="B116" s="3513" t="s">
        <v>3191</v>
      </c>
      <c r="C116" s="3514"/>
      <c r="D116" s="3515">
        <f>'不动产比较法-住宅'!E48</f>
        <v>20746</v>
      </c>
      <c r="E116" s="3517"/>
      <c r="F116" s="3515">
        <f>'不动产比较法-住宅'!G48</f>
        <v>21243</v>
      </c>
      <c r="G116" s="3517"/>
      <c r="H116" s="3515">
        <f>'不动产比较法-住宅'!I48</f>
        <v>20069</v>
      </c>
      <c r="I116" s="3517"/>
    </row>
    <row r="117" spans="2:11" ht="24.75" customHeight="1" thickBot="1">
      <c r="B117" s="3513" t="s">
        <v>3192</v>
      </c>
      <c r="C117" s="3514"/>
      <c r="D117" s="3515">
        <f>'不动产比较法-住宅'!C48</f>
        <v>20686</v>
      </c>
      <c r="E117" s="3516"/>
      <c r="F117" s="3516"/>
      <c r="G117" s="3516"/>
      <c r="H117" s="3516"/>
      <c r="I117" s="3517"/>
    </row>
    <row r="120" spans="2:11" ht="14.25" thickBot="1"/>
    <row r="121" spans="2:11" ht="14.25" thickBot="1">
      <c r="B121" s="3543" t="s">
        <v>3151</v>
      </c>
      <c r="C121" s="3544"/>
      <c r="D121" s="3529" t="s">
        <v>3152</v>
      </c>
      <c r="E121" s="3530"/>
      <c r="F121" s="3529" t="s">
        <v>3206</v>
      </c>
      <c r="G121" s="3530"/>
      <c r="H121" s="3529" t="s">
        <v>3207</v>
      </c>
      <c r="I121" s="3530"/>
      <c r="J121" s="3529" t="s">
        <v>3208</v>
      </c>
      <c r="K121" s="3530"/>
    </row>
    <row r="122" spans="2:11" ht="15" customHeight="1" thickBot="1">
      <c r="B122" s="3545"/>
      <c r="C122" s="3546"/>
      <c r="D122" s="3214" t="s">
        <v>3160</v>
      </c>
      <c r="E122" s="3549" t="s">
        <v>3177</v>
      </c>
      <c r="F122" s="3214" t="s">
        <v>3200</v>
      </c>
      <c r="G122" s="3549" t="s">
        <v>3177</v>
      </c>
      <c r="H122" s="3214" t="s">
        <v>3202</v>
      </c>
      <c r="I122" s="3549" t="s">
        <v>3177</v>
      </c>
      <c r="J122" s="3214" t="s">
        <v>3204</v>
      </c>
      <c r="K122" s="3549" t="s">
        <v>3177</v>
      </c>
    </row>
    <row r="123" spans="2:11" ht="23.25" customHeight="1" thickBot="1">
      <c r="B123" s="3547"/>
      <c r="C123" s="3548"/>
      <c r="D123" s="3214" t="s">
        <v>3161</v>
      </c>
      <c r="E123" s="3550"/>
      <c r="F123" s="3214" t="s">
        <v>3201</v>
      </c>
      <c r="G123" s="3550"/>
      <c r="H123" s="3214" t="s">
        <v>3203</v>
      </c>
      <c r="I123" s="3550"/>
      <c r="J123" s="3214" t="s">
        <v>3205</v>
      </c>
      <c r="K123" s="3550"/>
    </row>
    <row r="124" spans="2:11" ht="14.25" thickBot="1">
      <c r="B124" s="3541" t="str">
        <f>B95</f>
        <v>交易时间</v>
      </c>
      <c r="C124" s="3542"/>
      <c r="D124" s="3220">
        <f>D71</f>
        <v>43221</v>
      </c>
      <c r="E124" s="3215">
        <v>100</v>
      </c>
      <c r="F124" s="3220">
        <f>F71</f>
        <v>43221</v>
      </c>
      <c r="G124" s="3215">
        <v>100</v>
      </c>
      <c r="H124" s="3220">
        <f>H71</f>
        <v>43221</v>
      </c>
      <c r="I124" s="3215">
        <v>100</v>
      </c>
      <c r="J124" s="3220">
        <f>J71</f>
        <v>43221</v>
      </c>
      <c r="K124" s="3215">
        <v>100</v>
      </c>
    </row>
    <row r="125" spans="2:11" ht="14.25" thickBot="1">
      <c r="B125" s="3541" t="str">
        <f t="shared" ref="B125:B128" si="10">B96</f>
        <v>交易情况</v>
      </c>
      <c r="C125" s="3542"/>
      <c r="D125" s="3216" t="s">
        <v>3007</v>
      </c>
      <c r="E125" s="3215">
        <v>100</v>
      </c>
      <c r="F125" s="3216" t="s">
        <v>3007</v>
      </c>
      <c r="G125" s="3215">
        <v>100</v>
      </c>
      <c r="H125" s="3216" t="s">
        <v>3007</v>
      </c>
      <c r="I125" s="3215">
        <v>100</v>
      </c>
      <c r="J125" s="3216" t="s">
        <v>3007</v>
      </c>
      <c r="K125" s="3215">
        <v>100</v>
      </c>
    </row>
    <row r="126" spans="2:11" ht="14.25" thickBot="1">
      <c r="B126" s="3541" t="str">
        <f t="shared" si="10"/>
        <v>用途</v>
      </c>
      <c r="C126" s="3542"/>
      <c r="D126" s="3216" t="str">
        <f>'不动产比较法-商业'!C9</f>
        <v>商业</v>
      </c>
      <c r="E126" s="3215">
        <v>100</v>
      </c>
      <c r="F126" s="3216" t="str">
        <f>'不动产比较法-商业'!E9</f>
        <v>商业</v>
      </c>
      <c r="G126" s="3215">
        <v>100</v>
      </c>
      <c r="H126" s="3216" t="str">
        <f>'不动产比较法-商业'!G9</f>
        <v>商业</v>
      </c>
      <c r="I126" s="3215">
        <v>100</v>
      </c>
      <c r="J126" s="3216" t="str">
        <f>'不动产比较法-商业'!I9</f>
        <v>商业</v>
      </c>
      <c r="K126" s="3217">
        <v>100</v>
      </c>
    </row>
    <row r="127" spans="2:11" ht="14.25" thickBot="1">
      <c r="B127" s="3541" t="str">
        <f t="shared" si="10"/>
        <v>土地使用年限（年）</v>
      </c>
      <c r="C127" s="3542"/>
      <c r="D127" s="3222" t="str">
        <f>'不动产比较法-商业'!C10</f>
        <v>20-30（含）</v>
      </c>
      <c r="E127" s="3215">
        <v>100</v>
      </c>
      <c r="F127" s="3222" t="str">
        <f>'不动产比较法-商业'!E10</f>
        <v>30-40（含）</v>
      </c>
      <c r="G127" s="3215">
        <f>'不动产比较法-商业'!F10</f>
        <v>105</v>
      </c>
      <c r="H127" s="3222" t="str">
        <f>'不动产比较法-商业'!G10</f>
        <v>30-40（含）</v>
      </c>
      <c r="I127" s="3215">
        <f>'不动产比较法-商业'!H10</f>
        <v>105</v>
      </c>
      <c r="J127" s="3222" t="str">
        <f>'不动产比较法-商业'!I10</f>
        <v>30-40（含）</v>
      </c>
      <c r="K127" s="3215">
        <f>'不动产比较法-商业'!J10</f>
        <v>105</v>
      </c>
    </row>
    <row r="128" spans="2:11" ht="14.25" customHeight="1" thickBot="1">
      <c r="B128" s="3541" t="str">
        <f t="shared" si="10"/>
        <v>容积率</v>
      </c>
      <c r="C128" s="3542"/>
      <c r="D128" s="3216">
        <f>'不动产比较法-商业'!C11</f>
        <v>4.0599999999999996</v>
      </c>
      <c r="E128" s="3215">
        <v>100</v>
      </c>
      <c r="F128" s="3216">
        <f>'不动产比较法-商业'!E11</f>
        <v>3</v>
      </c>
      <c r="G128" s="3215">
        <f>'不动产比较法-商业'!F11</f>
        <v>103</v>
      </c>
      <c r="H128" s="3216">
        <f>'不动产比较法-商业'!G11</f>
        <v>3.5</v>
      </c>
      <c r="I128" s="3215">
        <f>'不动产比较法-商业'!H11</f>
        <v>103</v>
      </c>
      <c r="J128" s="3216">
        <f>'不动产比较法-商业'!I11</f>
        <v>4.37</v>
      </c>
      <c r="K128" s="3217">
        <v>100</v>
      </c>
    </row>
    <row r="129" spans="2:11" ht="14.25" thickBot="1">
      <c r="B129" s="3536" t="s">
        <v>3158</v>
      </c>
      <c r="C129" s="3218" t="str">
        <f>'不动产比较法-商业'!B15</f>
        <v>商业繁华度</v>
      </c>
      <c r="D129" s="3216" t="str">
        <f>'不动产比较法-商业'!C16</f>
        <v>一般</v>
      </c>
      <c r="E129" s="3215">
        <v>100</v>
      </c>
      <c r="F129" s="3216" t="str">
        <f>'不动产比较法-商业'!E16</f>
        <v>一般</v>
      </c>
      <c r="G129" s="3215">
        <v>100</v>
      </c>
      <c r="H129" s="3216" t="str">
        <f>'不动产比较法-商业'!G16</f>
        <v>一般</v>
      </c>
      <c r="I129" s="3215">
        <v>100</v>
      </c>
      <c r="J129" s="3216" t="str">
        <f>'不动产比较法-商业'!I16</f>
        <v>一般</v>
      </c>
      <c r="K129" s="3217">
        <v>100</v>
      </c>
    </row>
    <row r="130" spans="2:11" ht="14.25" thickBot="1">
      <c r="B130" s="3537"/>
      <c r="C130" s="3218" t="str">
        <f>'不动产比较法-商业'!B17</f>
        <v>交通便捷度</v>
      </c>
      <c r="D130" s="3216" t="str">
        <f>'不动产比较法-商业'!C18</f>
        <v>一般</v>
      </c>
      <c r="E130" s="3215">
        <v>100</v>
      </c>
      <c r="F130" s="3223" t="str">
        <f>'不动产比较法-商业'!E18</f>
        <v>一般</v>
      </c>
      <c r="G130" s="3215">
        <v>100</v>
      </c>
      <c r="H130" s="3223" t="str">
        <f>'不动产比较法-商业'!G18</f>
        <v>一般</v>
      </c>
      <c r="I130" s="3215">
        <v>100</v>
      </c>
      <c r="J130" s="3223" t="str">
        <f>'不动产比较法-商业'!I18</f>
        <v>一般</v>
      </c>
      <c r="K130" s="3217">
        <v>100</v>
      </c>
    </row>
    <row r="131" spans="2:11" ht="14.25" thickBot="1">
      <c r="B131" s="3537"/>
      <c r="C131" s="3218" t="str">
        <f>'不动产比较法-商业'!B19</f>
        <v>公共配套设施</v>
      </c>
      <c r="D131" s="3216" t="str">
        <f>'不动产比较法-商业'!C20</f>
        <v>一般</v>
      </c>
      <c r="E131" s="3215">
        <v>100</v>
      </c>
      <c r="F131" s="3216" t="str">
        <f>'不动产比较法-商业'!E20</f>
        <v>较差</v>
      </c>
      <c r="G131" s="3215">
        <f>'不动产比较法-商业'!F19</f>
        <v>98</v>
      </c>
      <c r="H131" s="3216" t="str">
        <f>'不动产比较法-商业'!G20</f>
        <v>较差</v>
      </c>
      <c r="I131" s="3215">
        <f>'不动产比较法-商业'!H19</f>
        <v>98</v>
      </c>
      <c r="J131" s="3216" t="str">
        <f>'不动产比较法-商业'!I20</f>
        <v>一般</v>
      </c>
      <c r="K131" s="3217">
        <v>100</v>
      </c>
    </row>
    <row r="132" spans="2:11" ht="14.25" thickBot="1">
      <c r="B132" s="3537"/>
      <c r="C132" s="3218" t="str">
        <f>'不动产比较法-商业'!B21</f>
        <v>基础设施水平</v>
      </c>
      <c r="D132" s="3216" t="str">
        <f>'不动产比较法-商业'!C22</f>
        <v>六通</v>
      </c>
      <c r="E132" s="3215">
        <v>100</v>
      </c>
      <c r="F132" s="3216" t="str">
        <f>'不动产比较法-商业'!E22</f>
        <v>六通</v>
      </c>
      <c r="G132" s="3215">
        <v>100</v>
      </c>
      <c r="H132" s="3216" t="str">
        <f>'不动产比较法-商业'!G22</f>
        <v>六通</v>
      </c>
      <c r="I132" s="3215">
        <v>100</v>
      </c>
      <c r="J132" s="3216" t="str">
        <f>'不动产比较法-商业'!I22</f>
        <v>六通</v>
      </c>
      <c r="K132" s="3217">
        <v>100</v>
      </c>
    </row>
    <row r="133" spans="2:11" ht="14.25" thickBot="1">
      <c r="B133" s="3537"/>
      <c r="C133" s="3218" t="str">
        <f>'不动产比较法-商业'!B23</f>
        <v>自然及人文环境</v>
      </c>
      <c r="D133" s="3216" t="str">
        <f>'不动产比较法-商业'!C24</f>
        <v>好</v>
      </c>
      <c r="E133" s="3215">
        <v>100</v>
      </c>
      <c r="F133" s="3223" t="str">
        <f>'不动产比较法-商业'!E24</f>
        <v>好</v>
      </c>
      <c r="G133" s="3215">
        <v>100</v>
      </c>
      <c r="H133" s="3223" t="str">
        <f>'不动产比较法-商业'!G24</f>
        <v>好</v>
      </c>
      <c r="I133" s="3215">
        <v>100</v>
      </c>
      <c r="J133" s="3223" t="str">
        <f>'不动产比较法-商业'!I24</f>
        <v>好</v>
      </c>
      <c r="K133" s="3217">
        <v>100</v>
      </c>
    </row>
    <row r="134" spans="2:11" ht="14.25" thickBot="1">
      <c r="B134" s="3537"/>
      <c r="C134" s="3221" t="s">
        <v>3199</v>
      </c>
      <c r="D134" s="3216" t="str">
        <f>'不动产比较法-商业'!C26</f>
        <v>一般</v>
      </c>
      <c r="E134" s="3215">
        <v>100</v>
      </c>
      <c r="F134" s="3216" t="str">
        <f>'不动产比较法-商业'!E26</f>
        <v>一般</v>
      </c>
      <c r="G134" s="3215">
        <v>100</v>
      </c>
      <c r="H134" s="3216" t="str">
        <f>'不动产比较法-商业'!G26</f>
        <v>一般</v>
      </c>
      <c r="I134" s="3215">
        <v>100</v>
      </c>
      <c r="J134" s="3216" t="str">
        <f>'不动产比较法-商业'!I26</f>
        <v>一般</v>
      </c>
      <c r="K134" s="3217">
        <v>100</v>
      </c>
    </row>
    <row r="135" spans="2:11" ht="14.25" thickBot="1">
      <c r="B135" s="3537"/>
      <c r="C135" s="3218" t="str">
        <f>'不动产比较法-商业'!B27</f>
        <v>人流量</v>
      </c>
      <c r="D135" s="3216" t="str">
        <f>'不动产比较法-商业'!C27</f>
        <v>较差</v>
      </c>
      <c r="E135" s="3215">
        <v>100</v>
      </c>
      <c r="F135" s="3216" t="str">
        <f>'不动产比较法-商业'!E27</f>
        <v>较差</v>
      </c>
      <c r="G135" s="3215">
        <v>100</v>
      </c>
      <c r="H135" s="3216" t="str">
        <f>'不动产比较法-商业'!G27</f>
        <v>较差</v>
      </c>
      <c r="I135" s="3215">
        <v>100</v>
      </c>
      <c r="J135" s="3216" t="str">
        <f>'不动产比较法-商业'!I27</f>
        <v>较差</v>
      </c>
      <c r="K135" s="3217">
        <v>100</v>
      </c>
    </row>
    <row r="136" spans="2:11" ht="14.25" thickBot="1">
      <c r="B136" s="3537"/>
      <c r="C136" s="3218" t="str">
        <f>'不动产比较法-商业'!B28</f>
        <v>楼层</v>
      </c>
      <c r="D136" s="3216" t="str">
        <f>'不动产比较法-商业'!C28</f>
        <v>1层</v>
      </c>
      <c r="E136" s="3215">
        <v>100</v>
      </c>
      <c r="F136" s="3216" t="str">
        <f>'不动产比较法-商业'!E28</f>
        <v>1层</v>
      </c>
      <c r="G136" s="3215">
        <v>100</v>
      </c>
      <c r="H136" s="3216" t="str">
        <f>'不动产比较法-商业'!G28</f>
        <v>1层</v>
      </c>
      <c r="I136" s="3215">
        <v>100</v>
      </c>
      <c r="J136" s="3216" t="str">
        <f>'不动产比较法-商业'!I28</f>
        <v>1层</v>
      </c>
      <c r="K136" s="3217">
        <v>100</v>
      </c>
    </row>
    <row r="137" spans="2:11" ht="14.25" thickBot="1">
      <c r="B137" s="3538" t="s">
        <v>3159</v>
      </c>
      <c r="C137" s="3218" t="str">
        <f>'不动产比较法-商业'!B32</f>
        <v>商业类型</v>
      </c>
      <c r="D137" s="3216" t="str">
        <f>'不动产比较法-商业'!C32</f>
        <v>住宅底商</v>
      </c>
      <c r="E137" s="3215">
        <v>100</v>
      </c>
      <c r="F137" s="3216" t="str">
        <f>'不动产比较法-商业'!E32</f>
        <v>住宅底商</v>
      </c>
      <c r="G137" s="3215">
        <v>100</v>
      </c>
      <c r="H137" s="3216" t="str">
        <f>'不动产比较法-商业'!G32</f>
        <v>住宅底商</v>
      </c>
      <c r="I137" s="3215">
        <v>100</v>
      </c>
      <c r="J137" s="3216" t="str">
        <f>'不动产比较法-商业'!I32</f>
        <v>住宅底商</v>
      </c>
      <c r="K137" s="3217">
        <v>100</v>
      </c>
    </row>
    <row r="138" spans="2:11" ht="14.25" thickBot="1">
      <c r="B138" s="3539"/>
      <c r="C138" s="3218" t="str">
        <f>'不动产比较法-商业'!B33</f>
        <v>项目建筑规模</v>
      </c>
      <c r="D138" s="3216">
        <f>'不动产比较法-商业'!C33</f>
        <v>877761</v>
      </c>
      <c r="E138" s="3215">
        <v>100</v>
      </c>
      <c r="F138" s="3216">
        <f>'不动产比较法-商业'!E33</f>
        <v>66820</v>
      </c>
      <c r="G138" s="3215">
        <f>'不动产比较法-商业'!F33</f>
        <v>95</v>
      </c>
      <c r="H138" s="3216">
        <f>'不动产比较法-商业'!G33</f>
        <v>362797</v>
      </c>
      <c r="I138" s="3215">
        <f>'不动产比较法-商业'!H33</f>
        <v>98</v>
      </c>
      <c r="J138" s="3216">
        <f>'不动产比较法-商业'!I33</f>
        <v>407514</v>
      </c>
      <c r="K138" s="3217">
        <v>99</v>
      </c>
    </row>
    <row r="139" spans="2:11" ht="14.25" thickBot="1">
      <c r="B139" s="3539"/>
      <c r="C139" s="3218" t="str">
        <f>'不动产比较法-商业'!B34</f>
        <v>建筑结构</v>
      </c>
      <c r="D139" s="3216" t="str">
        <f>'不动产比较法-商业'!C34</f>
        <v>钢混</v>
      </c>
      <c r="E139" s="3215">
        <v>100</v>
      </c>
      <c r="F139" s="3216" t="str">
        <f>'不动产比较法-商业'!E34</f>
        <v>钢混</v>
      </c>
      <c r="G139" s="3215">
        <v>100</v>
      </c>
      <c r="H139" s="3216" t="str">
        <f>'不动产比较法-商业'!G34</f>
        <v>钢混</v>
      </c>
      <c r="I139" s="3215">
        <v>100</v>
      </c>
      <c r="J139" s="3216" t="str">
        <f>'不动产比较法-商业'!I34</f>
        <v>钢混</v>
      </c>
      <c r="K139" s="3217">
        <v>100</v>
      </c>
    </row>
    <row r="140" spans="2:11" ht="14.25" thickBot="1">
      <c r="B140" s="3539"/>
      <c r="C140" s="3218" t="str">
        <f>'不动产比较法-商业'!B35</f>
        <v>公共部分装修</v>
      </c>
      <c r="D140" s="3223" t="str">
        <f>'不动产比较法-商业'!C35</f>
        <v>精装修</v>
      </c>
      <c r="E140" s="3215">
        <v>100</v>
      </c>
      <c r="F140" s="3223" t="str">
        <f>'不动产比较法-商业'!E35</f>
        <v>精装修</v>
      </c>
      <c r="G140" s="3215">
        <v>100</v>
      </c>
      <c r="H140" s="3223" t="str">
        <f>'不动产比较法-商业'!G35</f>
        <v>精装修</v>
      </c>
      <c r="I140" s="3215">
        <v>100</v>
      </c>
      <c r="J140" s="3223" t="str">
        <f>'不动产比较法-商业'!I35</f>
        <v>精装修</v>
      </c>
      <c r="K140" s="3217">
        <v>100</v>
      </c>
    </row>
    <row r="141" spans="2:11" ht="14.25" thickBot="1">
      <c r="B141" s="3539"/>
      <c r="C141" s="3218" t="str">
        <f>'不动产比较法-商业'!B37</f>
        <v>市政基础设施</v>
      </c>
      <c r="D141" s="3223" t="str">
        <f>'不动产比较法-商业'!C37</f>
        <v>六通</v>
      </c>
      <c r="E141" s="3215">
        <v>100</v>
      </c>
      <c r="F141" s="3223" t="str">
        <f>'不动产比较法-商业'!E37</f>
        <v>六通</v>
      </c>
      <c r="G141" s="3215">
        <v>100</v>
      </c>
      <c r="H141" s="3223" t="str">
        <f>'不动产比较法-商业'!G37</f>
        <v>六通</v>
      </c>
      <c r="I141" s="3215">
        <v>100</v>
      </c>
      <c r="J141" s="3223" t="str">
        <f>'不动产比较法-商业'!I37</f>
        <v>六通</v>
      </c>
      <c r="K141" s="3217">
        <v>100</v>
      </c>
    </row>
    <row r="142" spans="2:11" ht="14.25" thickBot="1">
      <c r="B142" s="3539"/>
      <c r="C142" s="3218" t="str">
        <f>'不动产比较法-商业'!B39</f>
        <v>层高</v>
      </c>
      <c r="D142" s="3223" t="str">
        <f>'不动产比较法-商业'!C39</f>
        <v>普通层高</v>
      </c>
      <c r="E142" s="3215">
        <v>100</v>
      </c>
      <c r="F142" s="3223" t="str">
        <f>'不动产比较法-商业'!E39</f>
        <v>普通层高</v>
      </c>
      <c r="G142" s="3215">
        <v>100</v>
      </c>
      <c r="H142" s="3223" t="str">
        <f>'不动产比较法-商业'!G39</f>
        <v>普通层高</v>
      </c>
      <c r="I142" s="3215">
        <v>100</v>
      </c>
      <c r="J142" s="3223" t="str">
        <f>'不动产比较法-商业'!I39</f>
        <v>普通层高</v>
      </c>
      <c r="K142" s="3215">
        <v>100</v>
      </c>
    </row>
    <row r="143" spans="2:11" ht="14.25" thickBot="1">
      <c r="B143" s="3540"/>
      <c r="C143" s="3218" t="str">
        <f>'不动产比较法-商业'!B42</f>
        <v>内部装修</v>
      </c>
      <c r="D143" s="3223" t="str">
        <f>'不动产比较法-商业'!C42</f>
        <v>毛坯</v>
      </c>
      <c r="E143" s="3215">
        <v>100</v>
      </c>
      <c r="F143" s="3223" t="str">
        <f>'不动产比较法-商业'!E42</f>
        <v>毛坯</v>
      </c>
      <c r="G143" s="3215">
        <v>100</v>
      </c>
      <c r="H143" s="3223" t="str">
        <f>'不动产比较法-商业'!G42</f>
        <v>毛坯</v>
      </c>
      <c r="I143" s="3215">
        <v>100</v>
      </c>
      <c r="J143" s="3223" t="str">
        <f>'不动产比较法-商业'!I42</f>
        <v>毛坯</v>
      </c>
      <c r="K143" s="3217">
        <v>100</v>
      </c>
    </row>
    <row r="145" spans="2:9" ht="14.25" thickBot="1"/>
    <row r="146" spans="2:9" ht="14.25" thickBot="1">
      <c r="B146" s="3525" t="s">
        <v>3151</v>
      </c>
      <c r="C146" s="3526"/>
      <c r="D146" s="3529" t="s">
        <v>3206</v>
      </c>
      <c r="E146" s="3530"/>
      <c r="F146" s="3529" t="s">
        <v>3207</v>
      </c>
      <c r="G146" s="3530"/>
      <c r="H146" s="3529" t="s">
        <v>3208</v>
      </c>
      <c r="I146" s="3530"/>
    </row>
    <row r="147" spans="2:9" ht="14.25" thickBot="1">
      <c r="B147" s="3527"/>
      <c r="C147" s="3528"/>
      <c r="D147" s="3531" t="s">
        <v>3209</v>
      </c>
      <c r="E147" s="3532"/>
      <c r="F147" s="3533" t="s">
        <v>3210</v>
      </c>
      <c r="G147" s="3532"/>
      <c r="H147" s="3534" t="s">
        <v>3204</v>
      </c>
      <c r="I147" s="3535"/>
    </row>
    <row r="148" spans="2:9" ht="14.25" thickBot="1">
      <c r="B148" s="3523" t="str">
        <f>B124</f>
        <v>交易时间</v>
      </c>
      <c r="C148" s="3524"/>
      <c r="D148" s="3224" t="s">
        <v>3171</v>
      </c>
      <c r="E148" s="3225">
        <f>G124</f>
        <v>100</v>
      </c>
      <c r="F148" s="3224" t="s">
        <v>3171</v>
      </c>
      <c r="G148" s="3225">
        <f>I124</f>
        <v>100</v>
      </c>
      <c r="H148" s="3224" t="s">
        <v>3171</v>
      </c>
      <c r="I148" s="3225">
        <f>K124</f>
        <v>100</v>
      </c>
    </row>
    <row r="149" spans="2:9" ht="14.25" thickBot="1">
      <c r="B149" s="3523" t="str">
        <f t="shared" ref="B149:B152" si="11">B125</f>
        <v>交易情况</v>
      </c>
      <c r="C149" s="3524"/>
      <c r="D149" s="3224" t="s">
        <v>3171</v>
      </c>
      <c r="E149" s="3225">
        <f t="shared" ref="E149:E167" si="12">G125</f>
        <v>100</v>
      </c>
      <c r="F149" s="3224" t="s">
        <v>3171</v>
      </c>
      <c r="G149" s="3225">
        <f t="shared" ref="G149:G167" si="13">I125</f>
        <v>100</v>
      </c>
      <c r="H149" s="3224" t="s">
        <v>3171</v>
      </c>
      <c r="I149" s="3225">
        <f t="shared" ref="I149:I167" si="14">K125</f>
        <v>100</v>
      </c>
    </row>
    <row r="150" spans="2:9" ht="14.25" thickBot="1">
      <c r="B150" s="3523" t="str">
        <f t="shared" si="11"/>
        <v>用途</v>
      </c>
      <c r="C150" s="3524"/>
      <c r="D150" s="3224" t="s">
        <v>3171</v>
      </c>
      <c r="E150" s="3225">
        <f t="shared" si="12"/>
        <v>100</v>
      </c>
      <c r="F150" s="3224" t="s">
        <v>3171</v>
      </c>
      <c r="G150" s="3225">
        <f t="shared" si="13"/>
        <v>100</v>
      </c>
      <c r="H150" s="3224" t="s">
        <v>3171</v>
      </c>
      <c r="I150" s="3225">
        <f t="shared" si="14"/>
        <v>100</v>
      </c>
    </row>
    <row r="151" spans="2:9" ht="14.25" thickBot="1">
      <c r="B151" s="3523" t="str">
        <f t="shared" si="11"/>
        <v>土地使用年限（年）</v>
      </c>
      <c r="C151" s="3524"/>
      <c r="D151" s="3224"/>
      <c r="E151" s="3225">
        <f t="shared" si="12"/>
        <v>105</v>
      </c>
      <c r="F151" s="3224"/>
      <c r="G151" s="3225">
        <f t="shared" si="13"/>
        <v>105</v>
      </c>
      <c r="H151" s="3224"/>
      <c r="I151" s="3225">
        <f t="shared" si="14"/>
        <v>105</v>
      </c>
    </row>
    <row r="152" spans="2:9" ht="14.25" customHeight="1" thickBot="1">
      <c r="B152" s="3523" t="str">
        <f t="shared" si="11"/>
        <v>容积率</v>
      </c>
      <c r="C152" s="3524"/>
      <c r="D152" s="3224" t="s">
        <v>3171</v>
      </c>
      <c r="E152" s="3225">
        <f t="shared" si="12"/>
        <v>103</v>
      </c>
      <c r="F152" s="3224" t="s">
        <v>3171</v>
      </c>
      <c r="G152" s="3225">
        <f t="shared" si="13"/>
        <v>103</v>
      </c>
      <c r="H152" s="3224" t="s">
        <v>3171</v>
      </c>
      <c r="I152" s="3225">
        <f t="shared" si="14"/>
        <v>100</v>
      </c>
    </row>
    <row r="153" spans="2:9" ht="14.25" thickBot="1">
      <c r="B153" s="3518" t="s">
        <v>3158</v>
      </c>
      <c r="C153" s="3226" t="str">
        <f>C129</f>
        <v>商业繁华度</v>
      </c>
      <c r="D153" s="3224" t="s">
        <v>3171</v>
      </c>
      <c r="E153" s="3225">
        <f t="shared" si="12"/>
        <v>100</v>
      </c>
      <c r="F153" s="3224" t="s">
        <v>3171</v>
      </c>
      <c r="G153" s="3225">
        <f t="shared" si="13"/>
        <v>100</v>
      </c>
      <c r="H153" s="3224" t="s">
        <v>3171</v>
      </c>
      <c r="I153" s="3225">
        <f t="shared" si="14"/>
        <v>100</v>
      </c>
    </row>
    <row r="154" spans="2:9" ht="14.25" thickBot="1">
      <c r="B154" s="3519"/>
      <c r="C154" s="3226" t="str">
        <f t="shared" ref="C154:C159" si="15">C130</f>
        <v>交通便捷度</v>
      </c>
      <c r="D154" s="3224" t="s">
        <v>3171</v>
      </c>
      <c r="E154" s="3225">
        <f t="shared" si="12"/>
        <v>100</v>
      </c>
      <c r="F154" s="3224" t="s">
        <v>3171</v>
      </c>
      <c r="G154" s="3225">
        <f t="shared" si="13"/>
        <v>100</v>
      </c>
      <c r="H154" s="3224" t="s">
        <v>3171</v>
      </c>
      <c r="I154" s="3225">
        <f t="shared" si="14"/>
        <v>100</v>
      </c>
    </row>
    <row r="155" spans="2:9" ht="14.25" thickBot="1">
      <c r="B155" s="3519"/>
      <c r="C155" s="3226" t="str">
        <f t="shared" si="15"/>
        <v>公共配套设施</v>
      </c>
      <c r="D155" s="3224" t="s">
        <v>3171</v>
      </c>
      <c r="E155" s="3225">
        <f t="shared" si="12"/>
        <v>98</v>
      </c>
      <c r="F155" s="3224" t="s">
        <v>3171</v>
      </c>
      <c r="G155" s="3225">
        <f t="shared" si="13"/>
        <v>98</v>
      </c>
      <c r="H155" s="3224" t="s">
        <v>3171</v>
      </c>
      <c r="I155" s="3225">
        <f t="shared" si="14"/>
        <v>100</v>
      </c>
    </row>
    <row r="156" spans="2:9" ht="14.25" thickBot="1">
      <c r="B156" s="3519"/>
      <c r="C156" s="3226" t="str">
        <f t="shared" si="15"/>
        <v>基础设施水平</v>
      </c>
      <c r="D156" s="3224" t="s">
        <v>3171</v>
      </c>
      <c r="E156" s="3225">
        <f t="shared" si="12"/>
        <v>100</v>
      </c>
      <c r="F156" s="3224" t="s">
        <v>3171</v>
      </c>
      <c r="G156" s="3225">
        <f t="shared" si="13"/>
        <v>100</v>
      </c>
      <c r="H156" s="3224" t="s">
        <v>3171</v>
      </c>
      <c r="I156" s="3225">
        <f t="shared" si="14"/>
        <v>100</v>
      </c>
    </row>
    <row r="157" spans="2:9" ht="14.25" thickBot="1">
      <c r="B157" s="3519"/>
      <c r="C157" s="3226" t="str">
        <f t="shared" si="15"/>
        <v>自然及人文环境</v>
      </c>
      <c r="D157" s="3224" t="s">
        <v>3171</v>
      </c>
      <c r="E157" s="3225">
        <f t="shared" si="12"/>
        <v>100</v>
      </c>
      <c r="F157" s="3224" t="s">
        <v>3171</v>
      </c>
      <c r="G157" s="3225">
        <f t="shared" si="13"/>
        <v>100</v>
      </c>
      <c r="H157" s="3224" t="s">
        <v>3171</v>
      </c>
      <c r="I157" s="3225">
        <f t="shared" si="14"/>
        <v>100</v>
      </c>
    </row>
    <row r="158" spans="2:9" ht="14.25" thickBot="1">
      <c r="B158" s="3519"/>
      <c r="C158" s="3226" t="str">
        <f t="shared" si="15"/>
        <v>可视性</v>
      </c>
      <c r="D158" s="3224" t="s">
        <v>3171</v>
      </c>
      <c r="E158" s="3225">
        <f t="shared" si="12"/>
        <v>100</v>
      </c>
      <c r="F158" s="3224" t="s">
        <v>3171</v>
      </c>
      <c r="G158" s="3225">
        <f t="shared" si="13"/>
        <v>100</v>
      </c>
      <c r="H158" s="3224" t="s">
        <v>3171</v>
      </c>
      <c r="I158" s="3225">
        <f t="shared" si="14"/>
        <v>100</v>
      </c>
    </row>
    <row r="159" spans="2:9" ht="14.25" thickBot="1">
      <c r="B159" s="3519"/>
      <c r="C159" s="3226" t="str">
        <f t="shared" si="15"/>
        <v>人流量</v>
      </c>
      <c r="D159" s="3224" t="s">
        <v>3171</v>
      </c>
      <c r="E159" s="3225">
        <f t="shared" si="12"/>
        <v>100</v>
      </c>
      <c r="F159" s="3224" t="s">
        <v>3171</v>
      </c>
      <c r="G159" s="3225">
        <f t="shared" si="13"/>
        <v>100</v>
      </c>
      <c r="H159" s="3224" t="s">
        <v>3171</v>
      </c>
      <c r="I159" s="3225">
        <f t="shared" si="14"/>
        <v>100</v>
      </c>
    </row>
    <row r="160" spans="2:9" ht="14.25" thickBot="1">
      <c r="B160" s="3520"/>
      <c r="C160" s="3226" t="str">
        <f>C136</f>
        <v>楼层</v>
      </c>
      <c r="D160" s="3224" t="s">
        <v>3171</v>
      </c>
      <c r="E160" s="3225">
        <f t="shared" si="12"/>
        <v>100</v>
      </c>
      <c r="F160" s="3224" t="s">
        <v>3171</v>
      </c>
      <c r="G160" s="3225">
        <f t="shared" si="13"/>
        <v>100</v>
      </c>
      <c r="H160" s="3224" t="s">
        <v>3171</v>
      </c>
      <c r="I160" s="3225">
        <f t="shared" si="14"/>
        <v>100</v>
      </c>
    </row>
    <row r="161" spans="2:9" ht="14.25" thickBot="1">
      <c r="B161" s="3521" t="s">
        <v>3159</v>
      </c>
      <c r="C161" s="3226" t="str">
        <f>C137</f>
        <v>商业类型</v>
      </c>
      <c r="D161" s="3224" t="s">
        <v>3171</v>
      </c>
      <c r="E161" s="3225">
        <f t="shared" si="12"/>
        <v>100</v>
      </c>
      <c r="F161" s="3224" t="s">
        <v>3171</v>
      </c>
      <c r="G161" s="3225">
        <f t="shared" si="13"/>
        <v>100</v>
      </c>
      <c r="H161" s="3224" t="s">
        <v>3171</v>
      </c>
      <c r="I161" s="3225">
        <f t="shared" si="14"/>
        <v>100</v>
      </c>
    </row>
    <row r="162" spans="2:9" ht="14.25" thickBot="1">
      <c r="B162" s="3519"/>
      <c r="C162" s="3226" t="str">
        <f t="shared" ref="C162:C167" si="16">C138</f>
        <v>项目建筑规模</v>
      </c>
      <c r="D162" s="3224" t="s">
        <v>3171</v>
      </c>
      <c r="E162" s="3225">
        <f t="shared" si="12"/>
        <v>95</v>
      </c>
      <c r="F162" s="3224" t="s">
        <v>3171</v>
      </c>
      <c r="G162" s="3225">
        <f t="shared" si="13"/>
        <v>98</v>
      </c>
      <c r="H162" s="3224" t="s">
        <v>3171</v>
      </c>
      <c r="I162" s="3225">
        <f t="shared" si="14"/>
        <v>99</v>
      </c>
    </row>
    <row r="163" spans="2:9" ht="14.25" thickBot="1">
      <c r="B163" s="3519"/>
      <c r="C163" s="3226" t="str">
        <f t="shared" si="16"/>
        <v>建筑结构</v>
      </c>
      <c r="D163" s="3224" t="s">
        <v>3171</v>
      </c>
      <c r="E163" s="3225">
        <f t="shared" si="12"/>
        <v>100</v>
      </c>
      <c r="F163" s="3224" t="s">
        <v>3171</v>
      </c>
      <c r="G163" s="3225">
        <f t="shared" si="13"/>
        <v>100</v>
      </c>
      <c r="H163" s="3224" t="s">
        <v>3171</v>
      </c>
      <c r="I163" s="3225">
        <f t="shared" si="14"/>
        <v>100</v>
      </c>
    </row>
    <row r="164" spans="2:9" ht="14.25" thickBot="1">
      <c r="B164" s="3519"/>
      <c r="C164" s="3226" t="str">
        <f t="shared" si="16"/>
        <v>公共部分装修</v>
      </c>
      <c r="D164" s="3224" t="s">
        <v>3171</v>
      </c>
      <c r="E164" s="3225">
        <f t="shared" si="12"/>
        <v>100</v>
      </c>
      <c r="F164" s="3224" t="s">
        <v>3171</v>
      </c>
      <c r="G164" s="3225">
        <f t="shared" si="13"/>
        <v>100</v>
      </c>
      <c r="H164" s="3224" t="s">
        <v>3171</v>
      </c>
      <c r="I164" s="3225">
        <f t="shared" si="14"/>
        <v>100</v>
      </c>
    </row>
    <row r="165" spans="2:9" ht="14.25" thickBot="1">
      <c r="B165" s="3519"/>
      <c r="C165" s="3226" t="str">
        <f t="shared" si="16"/>
        <v>市政基础设施</v>
      </c>
      <c r="D165" s="3224" t="s">
        <v>3171</v>
      </c>
      <c r="E165" s="3225">
        <f t="shared" si="12"/>
        <v>100</v>
      </c>
      <c r="F165" s="3224" t="s">
        <v>3171</v>
      </c>
      <c r="G165" s="3225">
        <f t="shared" si="13"/>
        <v>100</v>
      </c>
      <c r="H165" s="3224" t="s">
        <v>3171</v>
      </c>
      <c r="I165" s="3225">
        <f t="shared" si="14"/>
        <v>100</v>
      </c>
    </row>
    <row r="166" spans="2:9" ht="14.25" thickBot="1">
      <c r="B166" s="3519"/>
      <c r="C166" s="3226" t="str">
        <f t="shared" si="16"/>
        <v>层高</v>
      </c>
      <c r="D166" s="3224" t="s">
        <v>3171</v>
      </c>
      <c r="E166" s="3225">
        <f t="shared" si="12"/>
        <v>100</v>
      </c>
      <c r="F166" s="3224" t="s">
        <v>3171</v>
      </c>
      <c r="G166" s="3225">
        <f t="shared" si="13"/>
        <v>100</v>
      </c>
      <c r="H166" s="3224" t="s">
        <v>3171</v>
      </c>
      <c r="I166" s="3225">
        <f t="shared" si="14"/>
        <v>100</v>
      </c>
    </row>
    <row r="167" spans="2:9" ht="14.25" thickBot="1">
      <c r="B167" s="3522"/>
      <c r="C167" s="3226" t="str">
        <f t="shared" si="16"/>
        <v>内部装修</v>
      </c>
      <c r="D167" s="3224" t="s">
        <v>3171</v>
      </c>
      <c r="E167" s="3225">
        <f t="shared" si="12"/>
        <v>100</v>
      </c>
      <c r="F167" s="3224" t="s">
        <v>3171</v>
      </c>
      <c r="G167" s="3225">
        <f t="shared" si="13"/>
        <v>100</v>
      </c>
      <c r="H167" s="3224" t="s">
        <v>3171</v>
      </c>
      <c r="I167" s="3225">
        <f t="shared" si="14"/>
        <v>100</v>
      </c>
    </row>
    <row r="168" spans="2:9" ht="24.75" customHeight="1" thickBot="1">
      <c r="B168" s="3513" t="s">
        <v>3190</v>
      </c>
      <c r="C168" s="3514"/>
      <c r="D168" s="3515">
        <f>'不动产比较法-商业'!E47</f>
        <v>33950</v>
      </c>
      <c r="E168" s="3517"/>
      <c r="F168" s="3515">
        <f>'不动产比较法-商业'!G47</f>
        <v>31850</v>
      </c>
      <c r="G168" s="3517"/>
      <c r="H168" s="3515">
        <f>'不动产比较法-商业'!I47</f>
        <v>33250</v>
      </c>
      <c r="I168" s="3517"/>
    </row>
    <row r="169" spans="2:9" ht="24.75" customHeight="1" thickBot="1">
      <c r="B169" s="3513" t="s">
        <v>3191</v>
      </c>
      <c r="C169" s="3514"/>
      <c r="D169" s="3515">
        <f>'不动产比较法-商业'!E48</f>
        <v>33718</v>
      </c>
      <c r="E169" s="3517"/>
      <c r="F169" s="3515">
        <f>'不动产比较法-商业'!G48</f>
        <v>30664</v>
      </c>
      <c r="G169" s="3517"/>
      <c r="H169" s="3515">
        <f>'不动产比较法-商业'!I48</f>
        <v>31987</v>
      </c>
      <c r="I169" s="3517"/>
    </row>
    <row r="170" spans="2:9" ht="24.75" customHeight="1" thickBot="1">
      <c r="B170" s="3513" t="s">
        <v>3192</v>
      </c>
      <c r="C170" s="3514"/>
      <c r="D170" s="3515">
        <f>'不动产比较法-商业'!C49</f>
        <v>32123</v>
      </c>
      <c r="E170" s="3516"/>
      <c r="F170" s="3516"/>
      <c r="G170" s="3516"/>
      <c r="H170" s="3516"/>
      <c r="I170" s="3517"/>
    </row>
  </sheetData>
  <mergeCells count="120">
    <mergeCell ref="B2:E2"/>
    <mergeCell ref="B16:C18"/>
    <mergeCell ref="D16:E16"/>
    <mergeCell ref="F16:G16"/>
    <mergeCell ref="H16:I16"/>
    <mergeCell ref="J16:K16"/>
    <mergeCell ref="B19:C19"/>
    <mergeCell ref="B20:C20"/>
    <mergeCell ref="B21:C21"/>
    <mergeCell ref="B22:C22"/>
    <mergeCell ref="F17:G17"/>
    <mergeCell ref="F18:G18"/>
    <mergeCell ref="H17:I17"/>
    <mergeCell ref="H18:I18"/>
    <mergeCell ref="J17:K17"/>
    <mergeCell ref="J18:K18"/>
    <mergeCell ref="B42:C42"/>
    <mergeCell ref="D42:E42"/>
    <mergeCell ref="F42:G42"/>
    <mergeCell ref="H42:I42"/>
    <mergeCell ref="B43:C43"/>
    <mergeCell ref="B23:C23"/>
    <mergeCell ref="B24:B31"/>
    <mergeCell ref="B32:B36"/>
    <mergeCell ref="D17:E17"/>
    <mergeCell ref="D18:E18"/>
    <mergeCell ref="B44:C44"/>
    <mergeCell ref="B45:C45"/>
    <mergeCell ref="B46:C46"/>
    <mergeCell ref="B47:C47"/>
    <mergeCell ref="B48:B55"/>
    <mergeCell ref="B62:C62"/>
    <mergeCell ref="D62:E62"/>
    <mergeCell ref="F62:G62"/>
    <mergeCell ref="H62:I62"/>
    <mergeCell ref="B56:B60"/>
    <mergeCell ref="B61:C61"/>
    <mergeCell ref="D61:E61"/>
    <mergeCell ref="B71:C71"/>
    <mergeCell ref="B72:C72"/>
    <mergeCell ref="B73:C73"/>
    <mergeCell ref="B74:C74"/>
    <mergeCell ref="B75:C75"/>
    <mergeCell ref="F61:G61"/>
    <mergeCell ref="H61:I61"/>
    <mergeCell ref="J68:K68"/>
    <mergeCell ref="E69:E70"/>
    <mergeCell ref="G69:G70"/>
    <mergeCell ref="I69:I70"/>
    <mergeCell ref="K69:K70"/>
    <mergeCell ref="B68:C70"/>
    <mergeCell ref="D68:E68"/>
    <mergeCell ref="F68:G68"/>
    <mergeCell ref="H68:I68"/>
    <mergeCell ref="H93:I93"/>
    <mergeCell ref="D94:E94"/>
    <mergeCell ref="F94:G94"/>
    <mergeCell ref="H94:I94"/>
    <mergeCell ref="B95:C95"/>
    <mergeCell ref="B76:B80"/>
    <mergeCell ref="B81:B90"/>
    <mergeCell ref="B93:C94"/>
    <mergeCell ref="D93:E93"/>
    <mergeCell ref="F93:G93"/>
    <mergeCell ref="B115:C115"/>
    <mergeCell ref="D115:E115"/>
    <mergeCell ref="F115:G115"/>
    <mergeCell ref="H115:I115"/>
    <mergeCell ref="B105:B114"/>
    <mergeCell ref="B96:C96"/>
    <mergeCell ref="B97:C97"/>
    <mergeCell ref="B98:C98"/>
    <mergeCell ref="B99:C99"/>
    <mergeCell ref="B100:B104"/>
    <mergeCell ref="F121:G121"/>
    <mergeCell ref="H121:I121"/>
    <mergeCell ref="J121:K121"/>
    <mergeCell ref="E122:E123"/>
    <mergeCell ref="G122:G123"/>
    <mergeCell ref="I122:I123"/>
    <mergeCell ref="K122:K123"/>
    <mergeCell ref="B116:C116"/>
    <mergeCell ref="D116:E116"/>
    <mergeCell ref="F116:G116"/>
    <mergeCell ref="H116:I116"/>
    <mergeCell ref="B117:C117"/>
    <mergeCell ref="D117:I117"/>
    <mergeCell ref="B129:B136"/>
    <mergeCell ref="B137:B143"/>
    <mergeCell ref="B124:C124"/>
    <mergeCell ref="B125:C125"/>
    <mergeCell ref="B126:C126"/>
    <mergeCell ref="B127:C127"/>
    <mergeCell ref="B128:C128"/>
    <mergeCell ref="B121:C123"/>
    <mergeCell ref="D121:E121"/>
    <mergeCell ref="B148:C148"/>
    <mergeCell ref="B149:C149"/>
    <mergeCell ref="B150:C150"/>
    <mergeCell ref="B151:C151"/>
    <mergeCell ref="B152:C152"/>
    <mergeCell ref="B146:C147"/>
    <mergeCell ref="D146:E146"/>
    <mergeCell ref="F146:G146"/>
    <mergeCell ref="H146:I146"/>
    <mergeCell ref="D147:E147"/>
    <mergeCell ref="F147:G147"/>
    <mergeCell ref="H147:I147"/>
    <mergeCell ref="B170:C170"/>
    <mergeCell ref="D170:I170"/>
    <mergeCell ref="H168:I168"/>
    <mergeCell ref="B169:C169"/>
    <mergeCell ref="D169:E169"/>
    <mergeCell ref="F169:G169"/>
    <mergeCell ref="H169:I169"/>
    <mergeCell ref="B153:B160"/>
    <mergeCell ref="B161:B167"/>
    <mergeCell ref="B168:C168"/>
    <mergeCell ref="D168:E168"/>
    <mergeCell ref="F168:G168"/>
  </mergeCells>
  <phoneticPr fontId="233"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18" zoomScale="80" zoomScaleNormal="80" workbookViewId="0">
      <selection activeCell="I6" sqref="I6:J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t="s">
        <v>2987</v>
      </c>
      <c r="E1" s="506"/>
      <c r="F1" s="2831" t="s">
        <v>3109</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12177</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f>C49</f>
        <v>32123</v>
      </c>
      <c r="C3" s="852" t="s">
        <v>722</v>
      </c>
      <c r="D3" s="851">
        <f>SUMIF('数据-汇总表'!$C19:$C33,D1,'数据-汇总表'!$E19:$E33)</f>
        <v>3790.85</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401" t="s">
        <v>522</v>
      </c>
      <c r="D4" s="3402"/>
      <c r="E4" s="3438" t="s">
        <v>523</v>
      </c>
      <c r="F4" s="3439"/>
      <c r="G4" s="3401" t="s">
        <v>524</v>
      </c>
      <c r="H4" s="3402"/>
      <c r="I4" s="3401" t="s">
        <v>525</v>
      </c>
      <c r="J4" s="3402"/>
      <c r="K4" s="514" t="s">
        <v>526</v>
      </c>
      <c r="L4" s="2133"/>
      <c r="M4" s="2134"/>
      <c r="N4" s="2134"/>
      <c r="O4" s="2134"/>
      <c r="P4" s="3403" t="s">
        <v>527</v>
      </c>
      <c r="Q4" s="3404"/>
      <c r="R4" s="3409" t="s">
        <v>523</v>
      </c>
      <c r="S4" s="3410"/>
      <c r="T4" s="3409" t="s">
        <v>524</v>
      </c>
      <c r="U4" s="3410"/>
      <c r="V4" s="3396" t="s">
        <v>525</v>
      </c>
      <c r="W4" s="3396"/>
      <c r="X4" s="1568"/>
      <c r="Y4" s="3409" t="s">
        <v>527</v>
      </c>
      <c r="Z4" s="3410"/>
      <c r="AA4" s="3398" t="s">
        <v>523</v>
      </c>
      <c r="AB4" s="3396" t="s">
        <v>524</v>
      </c>
      <c r="AC4" s="3398" t="s">
        <v>525</v>
      </c>
    </row>
    <row r="5" spans="1:29" ht="15">
      <c r="A5" s="515"/>
      <c r="B5" s="516"/>
      <c r="C5" s="3419" t="s">
        <v>2926</v>
      </c>
      <c r="D5" s="3418"/>
      <c r="E5" s="3512" t="s">
        <v>3198</v>
      </c>
      <c r="F5" s="3441"/>
      <c r="G5" s="3417" t="s">
        <v>3143</v>
      </c>
      <c r="H5" s="3418"/>
      <c r="I5" s="3417" t="s">
        <v>3144</v>
      </c>
      <c r="J5" s="3418"/>
      <c r="K5" s="514"/>
      <c r="L5" s="2133"/>
      <c r="M5" s="2134"/>
      <c r="N5" s="2134"/>
      <c r="O5" s="2134"/>
      <c r="P5" s="3405"/>
      <c r="Q5" s="3406"/>
      <c r="R5" s="3411"/>
      <c r="S5" s="3412"/>
      <c r="T5" s="3411"/>
      <c r="U5" s="3412"/>
      <c r="V5" s="3396"/>
      <c r="W5" s="3396"/>
      <c r="X5" s="1568"/>
      <c r="Y5" s="3411"/>
      <c r="Z5" s="3412"/>
      <c r="AA5" s="3399"/>
      <c r="AB5" s="3396"/>
      <c r="AC5" s="3399"/>
    </row>
    <row r="6" spans="1:29" ht="15.75" thickBot="1">
      <c r="A6" s="517"/>
      <c r="B6" s="518"/>
      <c r="C6" s="3435" t="s">
        <v>2930</v>
      </c>
      <c r="D6" s="3416"/>
      <c r="E6" s="3511" t="s">
        <v>3111</v>
      </c>
      <c r="F6" s="3437"/>
      <c r="G6" s="3415" t="s">
        <v>3146</v>
      </c>
      <c r="H6" s="3416"/>
      <c r="I6" s="3415" t="s">
        <v>3145</v>
      </c>
      <c r="J6" s="3416"/>
      <c r="K6" s="514" t="s">
        <v>528</v>
      </c>
      <c r="L6" s="2133"/>
      <c r="M6" s="2134"/>
      <c r="N6" s="2134"/>
      <c r="O6" s="2134"/>
      <c r="P6" s="3407"/>
      <c r="Q6" s="3408"/>
      <c r="R6" s="3411"/>
      <c r="S6" s="3412"/>
      <c r="T6" s="3413"/>
      <c r="U6" s="3414"/>
      <c r="V6" s="3396"/>
      <c r="W6" s="3396"/>
      <c r="X6" s="1568"/>
      <c r="Y6" s="3413"/>
      <c r="Z6" s="3414"/>
      <c r="AA6" s="3400"/>
      <c r="AB6" s="3396"/>
      <c r="AC6" s="3400"/>
    </row>
    <row r="7" spans="1:29" s="1220" customFormat="1" ht="15.75" thickBot="1">
      <c r="A7" s="2936"/>
      <c r="B7" s="2943" t="s">
        <v>529</v>
      </c>
      <c r="C7" s="519">
        <f>'数据-取费表'!B2</f>
        <v>43244</v>
      </c>
      <c r="D7" s="520">
        <v>100</v>
      </c>
      <c r="E7" s="521">
        <f>C7</f>
        <v>43244</v>
      </c>
      <c r="F7" s="522">
        <f>SUMIF(58:58,YEAR(E7)&amp;"-"&amp;MONTH(E7),59:59)</f>
        <v>100</v>
      </c>
      <c r="G7" s="521">
        <f>C7</f>
        <v>43244</v>
      </c>
      <c r="H7" s="520">
        <f>SUMIF(58:58,YEAR(G7)&amp;"-"&amp;MONTH(G7),59:59)</f>
        <v>100</v>
      </c>
      <c r="I7" s="521">
        <f>C7</f>
        <v>43244</v>
      </c>
      <c r="J7" s="520">
        <f>SUMIF(58:58,YEAR(I7)&amp;"-"&amp;MONTH(I7),59:59)</f>
        <v>100</v>
      </c>
      <c r="K7" s="524"/>
      <c r="L7" s="2135"/>
      <c r="M7" s="2136"/>
      <c r="N7" s="2136"/>
      <c r="O7" s="2136"/>
      <c r="P7" s="3428" t="s">
        <v>530</v>
      </c>
      <c r="Q7" s="3430"/>
      <c r="R7" s="1569" t="s">
        <v>8</v>
      </c>
      <c r="S7" s="1570">
        <f t="shared" ref="S7:S15" si="0">F7</f>
        <v>100</v>
      </c>
      <c r="T7" s="1569" t="s">
        <v>8</v>
      </c>
      <c r="U7" s="1570">
        <f t="shared" ref="U7:U15" si="1">H7</f>
        <v>100</v>
      </c>
      <c r="V7" s="1569" t="s">
        <v>8</v>
      </c>
      <c r="W7" s="1570">
        <f t="shared" ref="W7:W15" si="2">J7</f>
        <v>100</v>
      </c>
      <c r="X7" s="1571"/>
      <c r="Y7" s="3428" t="s">
        <v>530</v>
      </c>
      <c r="Z7" s="3429"/>
      <c r="AA7" s="1572">
        <f>D7/F7</f>
        <v>1</v>
      </c>
      <c r="AB7" s="1572">
        <f>D7/H7</f>
        <v>1</v>
      </c>
      <c r="AC7" s="1572">
        <f>D7/J7</f>
        <v>1</v>
      </c>
    </row>
    <row r="8" spans="1:29" s="1220" customFormat="1" ht="15.75" thickBot="1">
      <c r="A8" s="2937"/>
      <c r="B8" s="2944" t="s">
        <v>531</v>
      </c>
      <c r="C8" s="525" t="s">
        <v>576</v>
      </c>
      <c r="D8" s="520">
        <v>100</v>
      </c>
      <c r="E8" s="525" t="s">
        <v>3007</v>
      </c>
      <c r="F8" s="522">
        <f>SUMIF(61:61,E8,62:62)-SUMIF(61:61,C8,62:62)+100</f>
        <v>100</v>
      </c>
      <c r="G8" s="525" t="s">
        <v>3007</v>
      </c>
      <c r="H8" s="520">
        <f>SUMIF(61:61,G8,62:62)-SUMIF(61:61,C8,62:62)+100</f>
        <v>100</v>
      </c>
      <c r="I8" s="525" t="s">
        <v>3007</v>
      </c>
      <c r="J8" s="520">
        <f>SUMIF(61:61,I8,62:62)-SUMIF(61:61,C8,62:62)+100</f>
        <v>100</v>
      </c>
      <c r="K8" s="524"/>
      <c r="L8" s="2135"/>
      <c r="M8" s="2136"/>
      <c r="N8" s="2136"/>
      <c r="O8" s="2136"/>
      <c r="P8" s="3428" t="s">
        <v>533</v>
      </c>
      <c r="Q8" s="3429"/>
      <c r="R8" s="1569" t="s">
        <v>8</v>
      </c>
      <c r="S8" s="1570">
        <f t="shared" si="0"/>
        <v>100</v>
      </c>
      <c r="T8" s="1569" t="s">
        <v>8</v>
      </c>
      <c r="U8" s="1570">
        <f t="shared" si="1"/>
        <v>100</v>
      </c>
      <c r="V8" s="1569" t="s">
        <v>8</v>
      </c>
      <c r="W8" s="1570">
        <f t="shared" si="2"/>
        <v>100</v>
      </c>
      <c r="X8" s="1571"/>
      <c r="Y8" s="3428" t="s">
        <v>533</v>
      </c>
      <c r="Z8" s="3429"/>
      <c r="AA8" s="1572">
        <f t="shared" ref="AA8:AA46" si="3">D8/F8</f>
        <v>1</v>
      </c>
      <c r="AB8" s="1572">
        <f t="shared" ref="AB8:AB46" si="4">D8/H8</f>
        <v>1</v>
      </c>
      <c r="AC8" s="1572">
        <f t="shared" ref="AC8:AC46" si="5">D8/J8</f>
        <v>1</v>
      </c>
    </row>
    <row r="9" spans="1:29" s="1220" customFormat="1" ht="15">
      <c r="A9" s="2938"/>
      <c r="B9" s="2945" t="s">
        <v>2756</v>
      </c>
      <c r="C9" s="3192" t="s">
        <v>3112</v>
      </c>
      <c r="D9" s="254">
        <v>100</v>
      </c>
      <c r="E9" s="860" t="s">
        <v>2987</v>
      </c>
      <c r="F9" s="254">
        <f>SUMIF(63:63,E9,64:64)-SUMIF(63:63,C9,64:64)+100</f>
        <v>100</v>
      </c>
      <c r="G9" s="858" t="s">
        <v>2987</v>
      </c>
      <c r="H9" s="254">
        <f>SUMIF(63:63,G9,64:64)-SUMIF(63:63,C9,64:64)+100</f>
        <v>100</v>
      </c>
      <c r="I9" s="858" t="s">
        <v>2987</v>
      </c>
      <c r="J9" s="254">
        <f>SUMIF(63:63,I9,64:64)-SUMIF(63:63,C9,64:64)+100</f>
        <v>100</v>
      </c>
      <c r="K9" s="524"/>
      <c r="L9" s="2135"/>
      <c r="M9" s="2136"/>
      <c r="N9" s="2136"/>
      <c r="O9" s="2137"/>
      <c r="P9" s="3395" t="s">
        <v>535</v>
      </c>
      <c r="Q9" s="1151" t="str">
        <f t="shared" ref="Q9:Q15" si="6">B9</f>
        <v>用途</v>
      </c>
      <c r="R9" s="1569" t="s">
        <v>8</v>
      </c>
      <c r="S9" s="1570">
        <f t="shared" si="0"/>
        <v>100</v>
      </c>
      <c r="T9" s="1569" t="s">
        <v>8</v>
      </c>
      <c r="U9" s="1570">
        <f t="shared" si="1"/>
        <v>100</v>
      </c>
      <c r="V9" s="1569" t="s">
        <v>8</v>
      </c>
      <c r="W9" s="1570">
        <f t="shared" si="2"/>
        <v>100</v>
      </c>
      <c r="X9" s="1571"/>
      <c r="Y9" s="3341" t="s">
        <v>536</v>
      </c>
      <c r="Z9" s="1150" t="str">
        <f t="shared" ref="Z9:Z15" si="7">Q9</f>
        <v>用途</v>
      </c>
      <c r="AA9" s="1572">
        <f t="shared" si="3"/>
        <v>1</v>
      </c>
      <c r="AB9" s="1572">
        <f t="shared" si="4"/>
        <v>1</v>
      </c>
      <c r="AC9" s="1572">
        <f t="shared" si="5"/>
        <v>1</v>
      </c>
    </row>
    <row r="10" spans="1:29" s="1338" customFormat="1" ht="27">
      <c r="A10" s="2939"/>
      <c r="B10" s="2944" t="s">
        <v>2757</v>
      </c>
      <c r="C10" s="861" t="s">
        <v>3113</v>
      </c>
      <c r="D10" s="255">
        <v>100</v>
      </c>
      <c r="E10" s="861" t="s">
        <v>3114</v>
      </c>
      <c r="F10" s="255">
        <f>SUMIF(65:65,E10,66:66)-SUMIF(65:65,C10,66:66)+100</f>
        <v>105</v>
      </c>
      <c r="G10" s="862" t="s">
        <v>3114</v>
      </c>
      <c r="H10" s="255">
        <f>SUMIF(65:65,G10,66:66)-SUMIF(65:65,C10,66:66)+100</f>
        <v>105</v>
      </c>
      <c r="I10" s="861" t="s">
        <v>3114</v>
      </c>
      <c r="J10" s="255">
        <f>SUMIF(65:65,I10,66:66)-SUMIF(65:65,C10,66:66)+100</f>
        <v>105</v>
      </c>
      <c r="K10" s="584">
        <v>5</v>
      </c>
      <c r="L10" s="2138"/>
      <c r="M10" s="2178"/>
      <c r="N10" s="2178"/>
      <c r="O10" s="2139"/>
      <c r="P10" s="3395"/>
      <c r="Q10" s="1151" t="str">
        <f t="shared" si="6"/>
        <v>土地使用年限（年）</v>
      </c>
      <c r="R10" s="1569" t="s">
        <v>8</v>
      </c>
      <c r="S10" s="1570">
        <f t="shared" si="0"/>
        <v>105</v>
      </c>
      <c r="T10" s="1569" t="s">
        <v>8</v>
      </c>
      <c r="U10" s="1570">
        <f t="shared" si="1"/>
        <v>105</v>
      </c>
      <c r="V10" s="1569" t="s">
        <v>8</v>
      </c>
      <c r="W10" s="1570">
        <f t="shared" si="2"/>
        <v>105</v>
      </c>
      <c r="X10" s="1571"/>
      <c r="Y10" s="3341"/>
      <c r="Z10" s="1150" t="str">
        <f t="shared" si="7"/>
        <v>土地使用年限（年）</v>
      </c>
      <c r="AA10" s="1572">
        <f t="shared" si="3"/>
        <v>0.95238095238095233</v>
      </c>
      <c r="AB10" s="1572">
        <f t="shared" si="4"/>
        <v>0.95238095238095233</v>
      </c>
      <c r="AC10" s="1572">
        <f t="shared" si="5"/>
        <v>0.95238095238095233</v>
      </c>
    </row>
    <row r="11" spans="1:29" ht="15.75" thickBot="1">
      <c r="A11" s="2940"/>
      <c r="B11" s="2944" t="s">
        <v>2758</v>
      </c>
      <c r="C11" s="533">
        <f>'不动产比较法-住宅'!C11</f>
        <v>4.0599999999999996</v>
      </c>
      <c r="D11" s="255">
        <v>100</v>
      </c>
      <c r="E11" s="533">
        <v>3</v>
      </c>
      <c r="F11" s="255">
        <f>LOOKUP(E11,68:68,69:69)-LOOKUP(C11,68:68,69:69)+100</f>
        <v>103</v>
      </c>
      <c r="G11" s="534">
        <v>3.5</v>
      </c>
      <c r="H11" s="255">
        <f>LOOKUP(G11,68:68,69:69)-LOOKUP(C11,68:68,69:69)+100</f>
        <v>103</v>
      </c>
      <c r="I11" s="533">
        <v>4.37</v>
      </c>
      <c r="J11" s="255">
        <f>LOOKUP(I11,68:68,69:69)-LOOKUP(C11,68:68,69:69)+100</f>
        <v>100</v>
      </c>
      <c r="K11" s="584">
        <f>'不动产比较法-住宅'!K11</f>
        <v>3</v>
      </c>
      <c r="L11" s="2140"/>
      <c r="M11" s="2134"/>
      <c r="N11" s="2134"/>
      <c r="O11" s="2141"/>
      <c r="P11" s="3395"/>
      <c r="Q11" s="1151" t="str">
        <f t="shared" si="6"/>
        <v>容积率</v>
      </c>
      <c r="R11" s="1569" t="s">
        <v>8</v>
      </c>
      <c r="S11" s="1570">
        <f t="shared" si="0"/>
        <v>103</v>
      </c>
      <c r="T11" s="1569" t="s">
        <v>8</v>
      </c>
      <c r="U11" s="1570">
        <f t="shared" si="1"/>
        <v>103</v>
      </c>
      <c r="V11" s="1569" t="s">
        <v>8</v>
      </c>
      <c r="W11" s="1570">
        <f t="shared" si="2"/>
        <v>100</v>
      </c>
      <c r="X11" s="1571"/>
      <c r="Y11" s="3341"/>
      <c r="Z11" s="1150" t="str">
        <f t="shared" si="7"/>
        <v>容积率</v>
      </c>
      <c r="AA11" s="1572">
        <f t="shared" si="3"/>
        <v>0.970873786407767</v>
      </c>
      <c r="AB11" s="1572">
        <f t="shared" si="4"/>
        <v>0.970873786407767</v>
      </c>
      <c r="AC11" s="1572">
        <f t="shared" si="5"/>
        <v>1</v>
      </c>
    </row>
    <row r="12" spans="1:29" s="1220" customFormat="1" ht="15" hidden="1">
      <c r="A12" s="2941"/>
      <c r="B12" s="2947">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95"/>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 hidden="1">
      <c r="A13" s="2941"/>
      <c r="B13" s="2947">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95"/>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15.75" hidden="1" thickBot="1">
      <c r="A14" s="2942"/>
      <c r="B14" s="2948">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95"/>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 t="shared" si="3"/>
        <v>1</v>
      </c>
      <c r="AB14" s="1572">
        <f t="shared" si="4"/>
        <v>1</v>
      </c>
      <c r="AC14" s="1572">
        <f t="shared" si="5"/>
        <v>1</v>
      </c>
    </row>
    <row r="15" spans="1:29" ht="71.25">
      <c r="A15" s="2934"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f>'比较法-住宅、综合'!K19</f>
        <v>3</v>
      </c>
      <c r="L15" s="2142"/>
      <c r="M15" s="2134"/>
      <c r="N15" s="2134"/>
      <c r="O15" s="2141"/>
      <c r="P15" s="3431" t="s">
        <v>540</v>
      </c>
      <c r="Q15" s="1573" t="str">
        <f t="shared" si="6"/>
        <v>商业繁华度</v>
      </c>
      <c r="R15" s="1574" t="s">
        <v>8</v>
      </c>
      <c r="S15" s="1575">
        <f t="shared" si="0"/>
        <v>100</v>
      </c>
      <c r="T15" s="1574" t="s">
        <v>8</v>
      </c>
      <c r="U15" s="1575">
        <f t="shared" si="1"/>
        <v>100</v>
      </c>
      <c r="V15" s="1574" t="s">
        <v>8</v>
      </c>
      <c r="W15" s="1575">
        <f t="shared" si="2"/>
        <v>100</v>
      </c>
      <c r="X15" s="1568"/>
      <c r="Y15" s="3431" t="s">
        <v>540</v>
      </c>
      <c r="Z15" s="1576" t="str">
        <f t="shared" si="7"/>
        <v>商业繁华度</v>
      </c>
      <c r="AA15" s="1577">
        <f t="shared" si="3"/>
        <v>1</v>
      </c>
      <c r="AB15" s="1577">
        <f t="shared" si="4"/>
        <v>1</v>
      </c>
      <c r="AC15" s="1577">
        <f t="shared" si="5"/>
        <v>1</v>
      </c>
    </row>
    <row r="16" spans="1:29" ht="15">
      <c r="A16" s="532"/>
      <c r="B16" s="869"/>
      <c r="C16" s="576" t="str">
        <f>'比较法-住宅、综合'!C20</f>
        <v>一般</v>
      </c>
      <c r="D16" s="555"/>
      <c r="E16" s="576" t="s">
        <v>3011</v>
      </c>
      <c r="F16" s="557"/>
      <c r="G16" s="576" t="s">
        <v>3011</v>
      </c>
      <c r="H16" s="559"/>
      <c r="I16" s="576" t="s">
        <v>3011</v>
      </c>
      <c r="J16" s="555"/>
      <c r="K16" s="899"/>
      <c r="L16" s="2142"/>
      <c r="M16" s="2134"/>
      <c r="N16" s="2134"/>
      <c r="O16" s="2141"/>
      <c r="P16" s="3432"/>
      <c r="Q16" s="1573"/>
      <c r="R16" s="1574"/>
      <c r="S16" s="1575"/>
      <c r="T16" s="1574"/>
      <c r="U16" s="1575"/>
      <c r="V16" s="1574"/>
      <c r="W16" s="1575"/>
      <c r="X16" s="1568"/>
      <c r="Y16" s="343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f>'比较法-住宅、综合'!K23</f>
        <v>3</v>
      </c>
      <c r="L17" s="2142"/>
      <c r="M17" s="2134"/>
      <c r="N17" s="2134"/>
      <c r="O17" s="2141"/>
      <c r="P17" s="3432"/>
      <c r="Q17" s="1573" t="str">
        <f>B17</f>
        <v>交通便捷度</v>
      </c>
      <c r="R17" s="1574" t="s">
        <v>8</v>
      </c>
      <c r="S17" s="1575">
        <f>F17</f>
        <v>100</v>
      </c>
      <c r="T17" s="1574" t="s">
        <v>8</v>
      </c>
      <c r="U17" s="1575">
        <f>H17</f>
        <v>100</v>
      </c>
      <c r="V17" s="1574" t="s">
        <v>8</v>
      </c>
      <c r="W17" s="1575">
        <f>J17</f>
        <v>100</v>
      </c>
      <c r="X17" s="1568"/>
      <c r="Y17" s="3432"/>
      <c r="Z17" s="1576" t="str">
        <f>Q17</f>
        <v>交通便捷度</v>
      </c>
      <c r="AA17" s="1577">
        <f t="shared" si="3"/>
        <v>1</v>
      </c>
      <c r="AB17" s="1577">
        <f t="shared" si="4"/>
        <v>1</v>
      </c>
      <c r="AC17" s="1577">
        <f t="shared" si="5"/>
        <v>1</v>
      </c>
    </row>
    <row r="18" spans="1:29" ht="15">
      <c r="A18" s="532"/>
      <c r="B18" s="595"/>
      <c r="C18" s="873" t="str">
        <f>'比较法-住宅、综合'!C24</f>
        <v>一般</v>
      </c>
      <c r="D18" s="559"/>
      <c r="E18" s="568" t="s">
        <v>3011</v>
      </c>
      <c r="F18" s="563"/>
      <c r="G18" s="569" t="s">
        <v>3011</v>
      </c>
      <c r="H18" s="555"/>
      <c r="I18" s="568" t="s">
        <v>3011</v>
      </c>
      <c r="J18" s="555"/>
      <c r="K18" s="899"/>
      <c r="L18" s="2142"/>
      <c r="M18" s="2134"/>
      <c r="N18" s="2134"/>
      <c r="O18" s="2141"/>
      <c r="P18" s="3432"/>
      <c r="Q18" s="1573"/>
      <c r="R18" s="1574"/>
      <c r="S18" s="1575"/>
      <c r="T18" s="1574"/>
      <c r="U18" s="1575"/>
      <c r="V18" s="1574"/>
      <c r="W18" s="1575"/>
      <c r="X18" s="1568"/>
      <c r="Y18" s="3432"/>
      <c r="Z18" s="1576"/>
      <c r="AA18" s="1577">
        <v>1</v>
      </c>
      <c r="AB18" s="1577">
        <v>1</v>
      </c>
      <c r="AC18" s="1577">
        <v>1</v>
      </c>
    </row>
    <row r="19" spans="1:29" ht="42.75">
      <c r="A19" s="532"/>
      <c r="B19" s="2624" t="s">
        <v>2546</v>
      </c>
      <c r="C19" s="872" t="str">
        <f>估价对象房地状况!C7</f>
        <v>估价对象所在区域公共配套设施齐备情况</v>
      </c>
      <c r="D19" s="565">
        <v>100</v>
      </c>
      <c r="E19" s="570"/>
      <c r="F19" s="571">
        <f>SUMIF(80:80,E20,81:81)-SUMIF(80:80,C20,81:81)+100</f>
        <v>98</v>
      </c>
      <c r="G19" s="572"/>
      <c r="H19" s="559">
        <f>SUMIF(80:80,G20,81:81)-SUMIF(80:80,C20,81:81)+100</f>
        <v>98</v>
      </c>
      <c r="I19" s="570"/>
      <c r="J19" s="559">
        <f>SUMIF(80:80,I20,81:81)-SUMIF(80:80,C20,81:81)+100</f>
        <v>100</v>
      </c>
      <c r="K19" s="898">
        <f>'比较法-住宅、综合'!K29</f>
        <v>2</v>
      </c>
      <c r="L19" s="2142"/>
      <c r="M19" s="2134"/>
      <c r="N19" s="2134"/>
      <c r="O19" s="2141"/>
      <c r="P19" s="3432"/>
      <c r="Q19" s="1573" t="str">
        <f>B19</f>
        <v>公共配套设施</v>
      </c>
      <c r="R19" s="1574" t="s">
        <v>8</v>
      </c>
      <c r="S19" s="1575">
        <f>F19</f>
        <v>98</v>
      </c>
      <c r="T19" s="1574" t="s">
        <v>8</v>
      </c>
      <c r="U19" s="1575">
        <f>H19</f>
        <v>98</v>
      </c>
      <c r="V19" s="1574" t="s">
        <v>8</v>
      </c>
      <c r="W19" s="1575">
        <f>J19</f>
        <v>100</v>
      </c>
      <c r="X19" s="1568"/>
      <c r="Y19" s="3432"/>
      <c r="Z19" s="1576" t="str">
        <f>Q19</f>
        <v>公共配套设施</v>
      </c>
      <c r="AA19" s="1577">
        <f t="shared" si="3"/>
        <v>1.0204081632653061</v>
      </c>
      <c r="AB19" s="1577">
        <f t="shared" si="4"/>
        <v>1.0204081632653061</v>
      </c>
      <c r="AC19" s="1577">
        <f t="shared" si="5"/>
        <v>1</v>
      </c>
    </row>
    <row r="20" spans="1:29" ht="15">
      <c r="A20" s="532"/>
      <c r="B20" s="595"/>
      <c r="C20" s="576" t="str">
        <f>'比较法-住宅、综合'!C30</f>
        <v>一般</v>
      </c>
      <c r="D20" s="555"/>
      <c r="E20" s="3196" t="str">
        <f>'比较法-住宅、综合'!E30</f>
        <v>较差</v>
      </c>
      <c r="F20" s="557"/>
      <c r="G20" s="3196" t="str">
        <f>'比较法-住宅、综合'!G30</f>
        <v>较差</v>
      </c>
      <c r="H20" s="555"/>
      <c r="I20" s="576" t="str">
        <f>'比较法-住宅、综合'!I30</f>
        <v>一般</v>
      </c>
      <c r="J20" s="555"/>
      <c r="K20" s="899"/>
      <c r="L20" s="2142"/>
      <c r="M20" s="2134"/>
      <c r="N20" s="2134"/>
      <c r="O20" s="2141"/>
      <c r="P20" s="3432"/>
      <c r="Q20" s="1573"/>
      <c r="R20" s="1574"/>
      <c r="S20" s="1575"/>
      <c r="T20" s="1574"/>
      <c r="U20" s="1575"/>
      <c r="V20" s="1574"/>
      <c r="W20" s="1575"/>
      <c r="X20" s="1568"/>
      <c r="Y20" s="3432"/>
      <c r="Z20" s="1576"/>
      <c r="AA20" s="1577">
        <v>1</v>
      </c>
      <c r="AB20" s="1577">
        <v>1</v>
      </c>
      <c r="AC20" s="1577">
        <v>1</v>
      </c>
    </row>
    <row r="21" spans="1:29" ht="28.5">
      <c r="A21" s="532"/>
      <c r="B21" s="2617"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32"/>
      <c r="Q21" s="2603" t="str">
        <f>B21</f>
        <v>基础设施水平</v>
      </c>
      <c r="R21" s="1574" t="s">
        <v>8</v>
      </c>
      <c r="S21" s="1575">
        <f>F21</f>
        <v>100</v>
      </c>
      <c r="T21" s="1574" t="s">
        <v>8</v>
      </c>
      <c r="U21" s="1575">
        <f>H21</f>
        <v>100</v>
      </c>
      <c r="V21" s="1574" t="s">
        <v>8</v>
      </c>
      <c r="W21" s="1575">
        <f>J21</f>
        <v>100</v>
      </c>
      <c r="X21" s="2605"/>
      <c r="Y21" s="3432"/>
      <c r="Z21" s="2604" t="str">
        <f>Q21</f>
        <v>基础设施水平</v>
      </c>
      <c r="AA21" s="1577">
        <f>D21/F21</f>
        <v>1</v>
      </c>
      <c r="AB21" s="1577">
        <f>D21/H21</f>
        <v>1</v>
      </c>
      <c r="AC21" s="1577">
        <f>D21/J21</f>
        <v>1</v>
      </c>
    </row>
    <row r="22" spans="1:29" ht="15">
      <c r="A22" s="532"/>
      <c r="B22" s="922"/>
      <c r="C22" s="873" t="str">
        <f>'比较法-住宅、综合'!C32</f>
        <v>六通</v>
      </c>
      <c r="D22" s="555"/>
      <c r="E22" s="576" t="s">
        <v>3013</v>
      </c>
      <c r="F22" s="557"/>
      <c r="G22" s="576" t="s">
        <v>3013</v>
      </c>
      <c r="H22" s="555"/>
      <c r="I22" s="576" t="s">
        <v>3013</v>
      </c>
      <c r="J22" s="555"/>
      <c r="K22" s="2626"/>
      <c r="L22" s="2142"/>
      <c r="M22" s="2134"/>
      <c r="N22" s="2134"/>
      <c r="O22" s="2141"/>
      <c r="P22" s="3432"/>
      <c r="Q22" s="2603"/>
      <c r="R22" s="1574"/>
      <c r="S22" s="1575"/>
      <c r="T22" s="1574"/>
      <c r="U22" s="1575"/>
      <c r="V22" s="1574"/>
      <c r="W22" s="1575"/>
      <c r="X22" s="2605"/>
      <c r="Y22" s="3432"/>
      <c r="Z22" s="2604"/>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f>'比较法-住宅、综合'!K27</f>
        <v>3</v>
      </c>
      <c r="L23" s="2142"/>
      <c r="M23" s="2134"/>
      <c r="N23" s="2134"/>
      <c r="O23" s="2141"/>
      <c r="P23" s="3432"/>
      <c r="Q23" s="1573" t="str">
        <f>B23</f>
        <v>自然及人文环境</v>
      </c>
      <c r="R23" s="1574" t="s">
        <v>8</v>
      </c>
      <c r="S23" s="1575">
        <f>F23</f>
        <v>100</v>
      </c>
      <c r="T23" s="1574" t="s">
        <v>8</v>
      </c>
      <c r="U23" s="1575">
        <f>H23</f>
        <v>100</v>
      </c>
      <c r="V23" s="1574" t="s">
        <v>8</v>
      </c>
      <c r="W23" s="1575">
        <f>J23</f>
        <v>100</v>
      </c>
      <c r="X23" s="1568"/>
      <c r="Y23" s="3432"/>
      <c r="Z23" s="1576" t="str">
        <f>Q23</f>
        <v>自然及人文环境</v>
      </c>
      <c r="AA23" s="1577">
        <f t="shared" si="3"/>
        <v>1</v>
      </c>
      <c r="AB23" s="1577">
        <f t="shared" si="4"/>
        <v>1</v>
      </c>
      <c r="AC23" s="1577">
        <f t="shared" si="5"/>
        <v>1</v>
      </c>
    </row>
    <row r="24" spans="1:29" ht="15">
      <c r="A24" s="532"/>
      <c r="B24" s="595"/>
      <c r="C24" s="576" t="str">
        <f>'比较法-住宅、综合'!C28</f>
        <v>好</v>
      </c>
      <c r="D24" s="555"/>
      <c r="E24" s="556" t="s">
        <v>3012</v>
      </c>
      <c r="F24" s="557"/>
      <c r="G24" s="558" t="s">
        <v>3012</v>
      </c>
      <c r="H24" s="555"/>
      <c r="I24" s="556" t="s">
        <v>3012</v>
      </c>
      <c r="J24" s="555"/>
      <c r="K24" s="899"/>
      <c r="L24" s="2142"/>
      <c r="M24" s="2134"/>
      <c r="N24" s="2134"/>
      <c r="O24" s="2141"/>
      <c r="P24" s="3432"/>
      <c r="Q24" s="1573"/>
      <c r="R24" s="1574"/>
      <c r="S24" s="1575"/>
      <c r="T24" s="1574"/>
      <c r="U24" s="1575"/>
      <c r="V24" s="1574"/>
      <c r="W24" s="1575"/>
      <c r="X24" s="1568"/>
      <c r="Y24" s="3432"/>
      <c r="Z24" s="1576"/>
      <c r="AA24" s="1577">
        <v>1</v>
      </c>
      <c r="AB24" s="1577">
        <v>1</v>
      </c>
      <c r="AC24" s="1577">
        <v>1</v>
      </c>
    </row>
    <row r="25" spans="1:29" ht="15" hidden="1">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32"/>
      <c r="Q25" s="1573" t="str">
        <f t="shared" ref="Q25:Q46" si="8">B25</f>
        <v>临街状况</v>
      </c>
      <c r="R25" s="1574" t="s">
        <v>8</v>
      </c>
      <c r="S25" s="1575">
        <f>F25</f>
        <v>100</v>
      </c>
      <c r="T25" s="1574" t="s">
        <v>8</v>
      </c>
      <c r="U25" s="1575">
        <f>H25</f>
        <v>100</v>
      </c>
      <c r="V25" s="1574" t="s">
        <v>8</v>
      </c>
      <c r="W25" s="1575">
        <f>J25</f>
        <v>100</v>
      </c>
      <c r="X25" s="1568"/>
      <c r="Y25" s="3432"/>
      <c r="Z25" s="1576" t="str">
        <f>Q25</f>
        <v>临街状况</v>
      </c>
      <c r="AA25" s="1577">
        <f t="shared" si="3"/>
        <v>1</v>
      </c>
      <c r="AB25" s="1577">
        <f t="shared" si="4"/>
        <v>1</v>
      </c>
      <c r="AC25" s="1577">
        <f t="shared" si="5"/>
        <v>1</v>
      </c>
    </row>
    <row r="26" spans="1:29" ht="15">
      <c r="A26" s="532"/>
      <c r="B26" s="877" t="s">
        <v>758</v>
      </c>
      <c r="C26" s="3194" t="s">
        <v>3115</v>
      </c>
      <c r="D26" s="540">
        <v>100</v>
      </c>
      <c r="E26" s="3194" t="s">
        <v>3142</v>
      </c>
      <c r="F26" s="575">
        <f>SUMIF(88:88,E26,89:89)-SUMIF(88:88,C26,89:89)+100</f>
        <v>100</v>
      </c>
      <c r="G26" s="3194" t="s">
        <v>3142</v>
      </c>
      <c r="H26" s="540">
        <f>SUMIF(88:88,G26,89:89)-SUMIF(88:88,C26,89:89)+100</f>
        <v>100</v>
      </c>
      <c r="I26" s="3194" t="s">
        <v>3142</v>
      </c>
      <c r="J26" s="540">
        <f>SUMIF(88:88,I26,89:89)-SUMIF(88:88,C26,89:89)+100</f>
        <v>100</v>
      </c>
      <c r="K26" s="581"/>
      <c r="L26" s="2142"/>
      <c r="M26" s="2134"/>
      <c r="N26" s="2134"/>
      <c r="O26" s="2141"/>
      <c r="P26" s="3432"/>
      <c r="Q26" s="1573" t="str">
        <f t="shared" si="8"/>
        <v>平面位置/可视性</v>
      </c>
      <c r="R26" s="1574" t="s">
        <v>8</v>
      </c>
      <c r="S26" s="1575">
        <f>F26</f>
        <v>100</v>
      </c>
      <c r="T26" s="1574" t="s">
        <v>8</v>
      </c>
      <c r="U26" s="1575">
        <f>H26</f>
        <v>100</v>
      </c>
      <c r="V26" s="1574" t="s">
        <v>8</v>
      </c>
      <c r="W26" s="1575">
        <f>J26</f>
        <v>100</v>
      </c>
      <c r="X26" s="1568"/>
      <c r="Y26" s="3432"/>
      <c r="Z26" s="1576" t="str">
        <f>Q26</f>
        <v>平面位置/可视性</v>
      </c>
      <c r="AA26" s="1577">
        <f t="shared" si="3"/>
        <v>1</v>
      </c>
      <c r="AB26" s="1577">
        <f t="shared" si="4"/>
        <v>1</v>
      </c>
      <c r="AC26" s="1577">
        <f t="shared" si="5"/>
        <v>1</v>
      </c>
    </row>
    <row r="27" spans="1:29" s="1220" customFormat="1" ht="15">
      <c r="A27" s="536"/>
      <c r="B27" s="871" t="s">
        <v>759</v>
      </c>
      <c r="C27" s="901" t="s">
        <v>3028</v>
      </c>
      <c r="D27" s="875">
        <v>100</v>
      </c>
      <c r="E27" s="901" t="s">
        <v>3028</v>
      </c>
      <c r="F27" s="876">
        <f>SUMIF(90:90,E27,91:91)-SUMIF(90:90,C27,91:91)+100</f>
        <v>100</v>
      </c>
      <c r="G27" s="901" t="s">
        <v>3028</v>
      </c>
      <c r="H27" s="875">
        <f>SUMIF(90:90,G27,91:91)-SUMIF(90:90,C27,91:91)+100</f>
        <v>100</v>
      </c>
      <c r="I27" s="901" t="s">
        <v>3028</v>
      </c>
      <c r="J27" s="875">
        <f>SUMIF(90:90,I27,91:91)-SUMIF(90:90,C27,91:91)+100</f>
        <v>100</v>
      </c>
      <c r="K27" s="584"/>
      <c r="L27" s="2135"/>
      <c r="M27" s="2136"/>
      <c r="N27" s="2136"/>
      <c r="O27" s="2137"/>
      <c r="P27" s="3432"/>
      <c r="Q27" s="1151" t="str">
        <f t="shared" si="8"/>
        <v>人流量</v>
      </c>
      <c r="R27" s="1569" t="s">
        <v>8</v>
      </c>
      <c r="S27" s="1570">
        <f>F27</f>
        <v>100</v>
      </c>
      <c r="T27" s="1569" t="s">
        <v>8</v>
      </c>
      <c r="U27" s="1570">
        <f>H27</f>
        <v>100</v>
      </c>
      <c r="V27" s="1569" t="s">
        <v>8</v>
      </c>
      <c r="W27" s="1570">
        <f>J27</f>
        <v>100</v>
      </c>
      <c r="X27" s="1571"/>
      <c r="Y27" s="3432"/>
      <c r="Z27" s="1150" t="str">
        <f>Q27</f>
        <v>人流量</v>
      </c>
      <c r="AA27" s="1577">
        <f>D27/F27</f>
        <v>1</v>
      </c>
      <c r="AB27" s="1577">
        <f>D27/H27</f>
        <v>1</v>
      </c>
      <c r="AC27" s="1577">
        <f>D27/J27</f>
        <v>1</v>
      </c>
    </row>
    <row r="28" spans="1:29" ht="15.75" thickBot="1">
      <c r="A28" s="532"/>
      <c r="B28" s="527" t="s">
        <v>761</v>
      </c>
      <c r="C28" s="583" t="s">
        <v>3141</v>
      </c>
      <c r="D28" s="540">
        <v>100</v>
      </c>
      <c r="E28" s="583" t="s">
        <v>3141</v>
      </c>
      <c r="F28" s="575">
        <f>SUMIF(92:92,E28,93:93)-SUMIF(92:92,C28,93:93)+100</f>
        <v>100</v>
      </c>
      <c r="G28" s="583" t="s">
        <v>3141</v>
      </c>
      <c r="H28" s="540">
        <f>SUMIF(92:92,G28,93:93)-SUMIF(92:92,C28,93:93)+100</f>
        <v>100</v>
      </c>
      <c r="I28" s="583" t="s">
        <v>3141</v>
      </c>
      <c r="J28" s="540">
        <f>SUMIF(92:92,I28,93:93)-SUMIF(92:92,C28,93:93)+100</f>
        <v>100</v>
      </c>
      <c r="K28" s="581"/>
      <c r="L28" s="2142"/>
      <c r="M28" s="2134"/>
      <c r="N28" s="2134"/>
      <c r="O28" s="2141"/>
      <c r="P28" s="3432"/>
      <c r="Q28" s="1573" t="str">
        <f t="shared" si="8"/>
        <v>楼层</v>
      </c>
      <c r="R28" s="1574" t="s">
        <v>8</v>
      </c>
      <c r="S28" s="1575">
        <f t="shared" ref="S28:S46" si="9">F28</f>
        <v>100</v>
      </c>
      <c r="T28" s="1574" t="s">
        <v>8</v>
      </c>
      <c r="U28" s="1575">
        <f t="shared" ref="U28:U46" si="10">H28</f>
        <v>100</v>
      </c>
      <c r="V28" s="1574" t="s">
        <v>8</v>
      </c>
      <c r="W28" s="1575">
        <f t="shared" ref="W28:W46" si="11">J28</f>
        <v>100</v>
      </c>
      <c r="X28" s="1568"/>
      <c r="Y28" s="3432"/>
      <c r="Z28" s="1576" t="str">
        <f t="shared" ref="Z28:Z46" si="12">Q28</f>
        <v>楼层</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32"/>
      <c r="Q29" s="1573">
        <f t="shared" si="8"/>
        <v>111</v>
      </c>
      <c r="R29" s="1574" t="s">
        <v>8</v>
      </c>
      <c r="S29" s="1575">
        <f t="shared" si="9"/>
        <v>100</v>
      </c>
      <c r="T29" s="1574" t="s">
        <v>8</v>
      </c>
      <c r="U29" s="1575">
        <f t="shared" si="10"/>
        <v>100</v>
      </c>
      <c r="V29" s="1574" t="s">
        <v>8</v>
      </c>
      <c r="W29" s="1575">
        <f t="shared" si="11"/>
        <v>100</v>
      </c>
      <c r="X29" s="1568"/>
      <c r="Y29" s="3432"/>
      <c r="Z29" s="1576">
        <f t="shared" si="12"/>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32"/>
      <c r="Q30" s="1573">
        <f t="shared" si="8"/>
        <v>111</v>
      </c>
      <c r="R30" s="1574" t="s">
        <v>8</v>
      </c>
      <c r="S30" s="1575">
        <f t="shared" si="9"/>
        <v>100</v>
      </c>
      <c r="T30" s="1574" t="s">
        <v>8</v>
      </c>
      <c r="U30" s="1575">
        <f t="shared" si="10"/>
        <v>100</v>
      </c>
      <c r="V30" s="1574" t="s">
        <v>8</v>
      </c>
      <c r="W30" s="1575">
        <f t="shared" si="11"/>
        <v>100</v>
      </c>
      <c r="X30" s="1568"/>
      <c r="Y30" s="3432"/>
      <c r="Z30" s="1576">
        <f t="shared" si="12"/>
        <v>111</v>
      </c>
      <c r="AA30" s="1577">
        <f t="shared" si="3"/>
        <v>1</v>
      </c>
      <c r="AB30" s="1577">
        <f t="shared" si="4"/>
        <v>1</v>
      </c>
      <c r="AC30" s="1577">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32"/>
      <c r="Q31" s="1573">
        <f t="shared" si="8"/>
        <v>111</v>
      </c>
      <c r="R31" s="1574" t="s">
        <v>8</v>
      </c>
      <c r="S31" s="1575">
        <f t="shared" si="9"/>
        <v>100</v>
      </c>
      <c r="T31" s="1574" t="s">
        <v>8</v>
      </c>
      <c r="U31" s="1575">
        <f t="shared" si="10"/>
        <v>100</v>
      </c>
      <c r="V31" s="1574" t="s">
        <v>8</v>
      </c>
      <c r="W31" s="1575">
        <f t="shared" si="11"/>
        <v>100</v>
      </c>
      <c r="X31" s="1568"/>
      <c r="Y31" s="3432"/>
      <c r="Z31" s="1576">
        <f t="shared" si="12"/>
        <v>111</v>
      </c>
      <c r="AA31" s="1577">
        <f t="shared" si="3"/>
        <v>1</v>
      </c>
      <c r="AB31" s="1577">
        <f t="shared" si="4"/>
        <v>1</v>
      </c>
      <c r="AC31" s="1577">
        <f t="shared" si="5"/>
        <v>1</v>
      </c>
    </row>
    <row r="32" spans="1:29" ht="15">
      <c r="A32" s="2931" t="s">
        <v>2755</v>
      </c>
      <c r="B32" s="172" t="s">
        <v>762</v>
      </c>
      <c r="C32" s="878" t="s">
        <v>3136</v>
      </c>
      <c r="D32" s="597">
        <v>100</v>
      </c>
      <c r="E32" s="878" t="s">
        <v>3136</v>
      </c>
      <c r="F32" s="575">
        <f>SUMIF(100:100,E32,101:101)-SUMIF(100:100,C32,101:101)+100</f>
        <v>100</v>
      </c>
      <c r="G32" s="878" t="s">
        <v>3136</v>
      </c>
      <c r="H32" s="540">
        <f>SUMIF(100:100,G32,101:101)-SUMIF(100:100,C32,101:101)+100</f>
        <v>100</v>
      </c>
      <c r="I32" s="878" t="s">
        <v>3136</v>
      </c>
      <c r="J32" s="597">
        <f>SUMIF(100:100,I32,101:101)-SUMIF(100:100,C32,101:101)+100</f>
        <v>100</v>
      </c>
      <c r="K32" s="584"/>
      <c r="L32" s="2142"/>
      <c r="M32" s="2134"/>
      <c r="N32" s="2134"/>
      <c r="O32" s="2141"/>
      <c r="P32" s="3433" t="s">
        <v>550</v>
      </c>
      <c r="Q32" s="1573" t="str">
        <f t="shared" si="8"/>
        <v>商业类型</v>
      </c>
      <c r="R32" s="1574" t="s">
        <v>8</v>
      </c>
      <c r="S32" s="1575">
        <f t="shared" si="9"/>
        <v>100</v>
      </c>
      <c r="T32" s="1574" t="s">
        <v>8</v>
      </c>
      <c r="U32" s="1575">
        <f t="shared" si="10"/>
        <v>100</v>
      </c>
      <c r="V32" s="1574" t="s">
        <v>8</v>
      </c>
      <c r="W32" s="1575">
        <f t="shared" si="11"/>
        <v>100</v>
      </c>
      <c r="X32" s="1568"/>
      <c r="Y32" s="3434" t="s">
        <v>550</v>
      </c>
      <c r="Z32" s="1576" t="str">
        <f t="shared" si="12"/>
        <v>商业类型</v>
      </c>
      <c r="AA32" s="1577">
        <f t="shared" si="3"/>
        <v>1</v>
      </c>
      <c r="AB32" s="1577">
        <f t="shared" si="4"/>
        <v>1</v>
      </c>
      <c r="AC32" s="1577">
        <f t="shared" si="5"/>
        <v>1</v>
      </c>
    </row>
    <row r="33" spans="1:29" s="1339" customFormat="1" ht="15">
      <c r="A33" s="603"/>
      <c r="B33" s="527" t="s">
        <v>726</v>
      </c>
      <c r="C33" s="880">
        <f>'不动产比较法-住宅'!C33</f>
        <v>877761</v>
      </c>
      <c r="D33" s="255">
        <v>100</v>
      </c>
      <c r="E33" s="534">
        <v>66820</v>
      </c>
      <c r="F33" s="863">
        <f>LOOKUP(E33,103:103,104:104)-LOOKUP(C33,103:103,104:104)+100</f>
        <v>95</v>
      </c>
      <c r="G33" s="533">
        <v>362797</v>
      </c>
      <c r="H33" s="255">
        <f>LOOKUP(G33,103:103,104:104)-LOOKUP(C33,103:103,104:104)+100</f>
        <v>98</v>
      </c>
      <c r="I33" s="533">
        <v>407514</v>
      </c>
      <c r="J33" s="255">
        <f>LOOKUP(I33,103:103,104:104)-LOOKUP(C33,103:103,104:104)+100</f>
        <v>99</v>
      </c>
      <c r="K33" s="581"/>
      <c r="L33" s="2140"/>
      <c r="M33" s="2171"/>
      <c r="N33" s="2171"/>
      <c r="O33" s="2143"/>
      <c r="P33" s="3434"/>
      <c r="Q33" s="1606" t="str">
        <f t="shared" si="8"/>
        <v>项目建筑规模</v>
      </c>
      <c r="R33" s="1578" t="s">
        <v>8</v>
      </c>
      <c r="S33" s="1579">
        <f t="shared" si="9"/>
        <v>95</v>
      </c>
      <c r="T33" s="1578" t="s">
        <v>8</v>
      </c>
      <c r="U33" s="1579">
        <f t="shared" si="10"/>
        <v>98</v>
      </c>
      <c r="V33" s="1578" t="s">
        <v>8</v>
      </c>
      <c r="W33" s="1579">
        <f t="shared" si="11"/>
        <v>99</v>
      </c>
      <c r="X33" s="1580"/>
      <c r="Y33" s="3434"/>
      <c r="Z33" s="1581" t="str">
        <f t="shared" si="12"/>
        <v>项目建筑规模</v>
      </c>
      <c r="AA33" s="1577">
        <f t="shared" si="3"/>
        <v>1.0526315789473684</v>
      </c>
      <c r="AB33" s="1577">
        <f t="shared" si="4"/>
        <v>1.0204081632653061</v>
      </c>
      <c r="AC33" s="1577">
        <f t="shared" si="5"/>
        <v>1.0101010101010102</v>
      </c>
    </row>
    <row r="34" spans="1:29" ht="15">
      <c r="A34" s="594"/>
      <c r="B34" s="527" t="s">
        <v>727</v>
      </c>
      <c r="C34" s="881" t="s">
        <v>3045</v>
      </c>
      <c r="D34" s="540">
        <v>100</v>
      </c>
      <c r="E34" s="882" t="s">
        <v>3045</v>
      </c>
      <c r="F34" s="575">
        <f>SUMIF(105:105,E34,106:106)-SUMIF(105:105,C34,106:106)+100</f>
        <v>100</v>
      </c>
      <c r="G34" s="881" t="s">
        <v>3045</v>
      </c>
      <c r="H34" s="540">
        <f>SUMIF(105:105,G34,106:106)-SUMIF(105:105,C34,106:106)+100</f>
        <v>100</v>
      </c>
      <c r="I34" s="881" t="s">
        <v>3045</v>
      </c>
      <c r="J34" s="540">
        <f>SUMIF(105:105,I34,106:106)-SUMIF(105:105,C34,106:106)+100</f>
        <v>100</v>
      </c>
      <c r="K34" s="584"/>
      <c r="L34" s="2142"/>
      <c r="M34" s="2134"/>
      <c r="N34" s="2134"/>
      <c r="O34" s="2141"/>
      <c r="P34" s="3434"/>
      <c r="Q34" s="1573" t="str">
        <f t="shared" si="8"/>
        <v>建筑结构</v>
      </c>
      <c r="R34" s="1574" t="s">
        <v>8</v>
      </c>
      <c r="S34" s="1575">
        <f t="shared" si="9"/>
        <v>100</v>
      </c>
      <c r="T34" s="1574" t="s">
        <v>8</v>
      </c>
      <c r="U34" s="1575">
        <f t="shared" si="10"/>
        <v>100</v>
      </c>
      <c r="V34" s="1574" t="s">
        <v>8</v>
      </c>
      <c r="W34" s="1575">
        <f t="shared" si="11"/>
        <v>100</v>
      </c>
      <c r="X34" s="1568"/>
      <c r="Y34" s="3434"/>
      <c r="Z34" s="1576" t="str">
        <f t="shared" si="12"/>
        <v>建筑结构</v>
      </c>
      <c r="AA34" s="1577">
        <f t="shared" si="3"/>
        <v>1</v>
      </c>
      <c r="AB34" s="1577">
        <f t="shared" si="4"/>
        <v>1</v>
      </c>
      <c r="AC34" s="1577">
        <f t="shared" si="5"/>
        <v>1</v>
      </c>
    </row>
    <row r="35" spans="1:29" ht="15">
      <c r="A35" s="594"/>
      <c r="B35" s="527" t="s">
        <v>763</v>
      </c>
      <c r="C35" s="599" t="s">
        <v>3085</v>
      </c>
      <c r="D35" s="540">
        <v>100</v>
      </c>
      <c r="E35" s="599" t="s">
        <v>3085</v>
      </c>
      <c r="F35" s="575">
        <f>SUMIF(107:107,E35,108:108)-SUMIF(107:107,C35,108:108)+100</f>
        <v>100</v>
      </c>
      <c r="G35" s="599" t="s">
        <v>3085</v>
      </c>
      <c r="H35" s="540">
        <f>SUMIF(107:107,G35,108:108)-SUMIF(107:107,C35,108:108)+100</f>
        <v>100</v>
      </c>
      <c r="I35" s="599" t="s">
        <v>3085</v>
      </c>
      <c r="J35" s="540">
        <f>SUMIF(107:107,I35,108:108)-SUMIF(107:107,C35,108:108)+100</f>
        <v>100</v>
      </c>
      <c r="K35" s="584"/>
      <c r="L35" s="2142"/>
      <c r="M35" s="2134"/>
      <c r="N35" s="2134"/>
      <c r="O35" s="2141"/>
      <c r="P35" s="3434"/>
      <c r="Q35" s="1573" t="str">
        <f t="shared" si="8"/>
        <v>公共部分装修</v>
      </c>
      <c r="R35" s="1574" t="s">
        <v>8</v>
      </c>
      <c r="S35" s="1575">
        <f t="shared" si="9"/>
        <v>100</v>
      </c>
      <c r="T35" s="1574" t="s">
        <v>8</v>
      </c>
      <c r="U35" s="1575">
        <f t="shared" si="10"/>
        <v>100</v>
      </c>
      <c r="V35" s="1574" t="s">
        <v>8</v>
      </c>
      <c r="W35" s="1575">
        <f t="shared" si="11"/>
        <v>100</v>
      </c>
      <c r="X35" s="1568"/>
      <c r="Y35" s="3434"/>
      <c r="Z35" s="1576" t="str">
        <f t="shared" si="12"/>
        <v>公共部分装修</v>
      </c>
      <c r="AA35" s="1577">
        <f t="shared" si="3"/>
        <v>1</v>
      </c>
      <c r="AB35" s="1577">
        <f t="shared" si="4"/>
        <v>1</v>
      </c>
      <c r="AC35" s="1577">
        <f t="shared" si="5"/>
        <v>1</v>
      </c>
    </row>
    <row r="36" spans="1:29" ht="15" hidden="1">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c r="L36" s="2142"/>
      <c r="M36" s="2134"/>
      <c r="N36" s="2134"/>
      <c r="O36" s="2141"/>
      <c r="P36" s="3434"/>
      <c r="Q36" s="1573" t="str">
        <f t="shared" si="8"/>
        <v>成新度</v>
      </c>
      <c r="R36" s="1574" t="s">
        <v>8</v>
      </c>
      <c r="S36" s="1575">
        <f t="shared" si="9"/>
        <v>100</v>
      </c>
      <c r="T36" s="1574" t="s">
        <v>8</v>
      </c>
      <c r="U36" s="1575">
        <f t="shared" si="10"/>
        <v>100</v>
      </c>
      <c r="V36" s="1574" t="s">
        <v>8</v>
      </c>
      <c r="W36" s="1575">
        <f t="shared" si="11"/>
        <v>100</v>
      </c>
      <c r="X36" s="1568"/>
      <c r="Y36" s="3434"/>
      <c r="Z36" s="1576" t="str">
        <f t="shared" si="12"/>
        <v>成新度</v>
      </c>
      <c r="AA36" s="1577">
        <f t="shared" si="3"/>
        <v>1</v>
      </c>
      <c r="AB36" s="1577">
        <f t="shared" si="4"/>
        <v>1</v>
      </c>
      <c r="AC36" s="1577">
        <f t="shared" si="5"/>
        <v>1</v>
      </c>
    </row>
    <row r="37" spans="1:29" s="1220" customFormat="1" ht="15">
      <c r="A37" s="600"/>
      <c r="B37" s="1895" t="s">
        <v>2565</v>
      </c>
      <c r="C37" s="599" t="s">
        <v>3013</v>
      </c>
      <c r="D37" s="255">
        <v>100</v>
      </c>
      <c r="E37" s="599" t="s">
        <v>3013</v>
      </c>
      <c r="F37" s="575">
        <f>SUMIF(112:112,E37,113:113)-SUMIF(112:112,C37,113:113)+100</f>
        <v>100</v>
      </c>
      <c r="G37" s="599" t="s">
        <v>3013</v>
      </c>
      <c r="H37" s="540">
        <f>SUMIF(112:112,G37,113:113)-SUMIF(112:112,C37,113:113)+100</f>
        <v>100</v>
      </c>
      <c r="I37" s="599" t="s">
        <v>3013</v>
      </c>
      <c r="J37" s="540">
        <f>SUMIF(112:112,I37,113:113)-SUMIF(112:112,C37,113:113)+100</f>
        <v>100</v>
      </c>
      <c r="K37" s="584"/>
      <c r="L37" s="2135"/>
      <c r="M37" s="2136"/>
      <c r="N37" s="2136"/>
      <c r="O37" s="2137"/>
      <c r="P37" s="3434"/>
      <c r="Q37" s="1151" t="str">
        <f t="shared" si="8"/>
        <v>市政基础设施</v>
      </c>
      <c r="R37" s="1569" t="s">
        <v>8</v>
      </c>
      <c r="S37" s="1570">
        <f t="shared" si="9"/>
        <v>100</v>
      </c>
      <c r="T37" s="1569" t="s">
        <v>8</v>
      </c>
      <c r="U37" s="1570">
        <f t="shared" si="10"/>
        <v>100</v>
      </c>
      <c r="V37" s="1569" t="s">
        <v>8</v>
      </c>
      <c r="W37" s="1570">
        <f t="shared" si="11"/>
        <v>100</v>
      </c>
      <c r="X37" s="1571"/>
      <c r="Y37" s="3434"/>
      <c r="Z37" s="1150" t="str">
        <f t="shared" si="12"/>
        <v>市政基础设施</v>
      </c>
      <c r="AA37" s="1572">
        <f t="shared" si="3"/>
        <v>1</v>
      </c>
      <c r="AB37" s="1572">
        <f t="shared" si="4"/>
        <v>1</v>
      </c>
      <c r="AC37" s="1572">
        <f t="shared" si="5"/>
        <v>1</v>
      </c>
    </row>
    <row r="38" spans="1:29" ht="15" hidden="1">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34" t="s">
        <v>766</v>
      </c>
      <c r="Q38" s="1573" t="str">
        <f t="shared" si="8"/>
        <v>业态</v>
      </c>
      <c r="R38" s="1574" t="s">
        <v>8</v>
      </c>
      <c r="S38" s="1575">
        <f t="shared" si="9"/>
        <v>100</v>
      </c>
      <c r="T38" s="1574" t="s">
        <v>8</v>
      </c>
      <c r="U38" s="1575">
        <f t="shared" si="10"/>
        <v>100</v>
      </c>
      <c r="V38" s="1574" t="s">
        <v>8</v>
      </c>
      <c r="W38" s="1575">
        <f t="shared" si="11"/>
        <v>100</v>
      </c>
      <c r="X38" s="1568"/>
      <c r="Y38" s="3434" t="s">
        <v>766</v>
      </c>
      <c r="Z38" s="1576" t="str">
        <f t="shared" si="12"/>
        <v>业态</v>
      </c>
      <c r="AA38" s="1577">
        <f t="shared" si="3"/>
        <v>1</v>
      </c>
      <c r="AB38" s="1577">
        <f t="shared" si="4"/>
        <v>1</v>
      </c>
      <c r="AC38" s="1577">
        <f t="shared" si="5"/>
        <v>1</v>
      </c>
    </row>
    <row r="39" spans="1:29" ht="15">
      <c r="A39" s="594"/>
      <c r="B39" s="527" t="s">
        <v>767</v>
      </c>
      <c r="C39" s="599" t="s">
        <v>3139</v>
      </c>
      <c r="D39" s="540">
        <v>100</v>
      </c>
      <c r="E39" s="599" t="s">
        <v>3139</v>
      </c>
      <c r="F39" s="575">
        <f>SUMIF(116:116,E39,117:117)-SUMIF(116:116,C39,117:117)+100</f>
        <v>100</v>
      </c>
      <c r="G39" s="599" t="s">
        <v>3139</v>
      </c>
      <c r="H39" s="540">
        <f>SUMIF(116:116,G39,117:117)-SUMIF(116:116,C39,117:117)+100</f>
        <v>100</v>
      </c>
      <c r="I39" s="599" t="s">
        <v>3139</v>
      </c>
      <c r="J39" s="540">
        <f>SUMIF(116:116,I39,117:117)-SUMIF(116:116,C39,117:117)+100</f>
        <v>100</v>
      </c>
      <c r="K39" s="584"/>
      <c r="L39" s="2142"/>
      <c r="M39" s="2134"/>
      <c r="N39" s="2134"/>
      <c r="O39" s="2141"/>
      <c r="P39" s="3434"/>
      <c r="Q39" s="1573" t="str">
        <f t="shared" si="8"/>
        <v>层高</v>
      </c>
      <c r="R39" s="1574" t="s">
        <v>8</v>
      </c>
      <c r="S39" s="1575">
        <f t="shared" si="9"/>
        <v>100</v>
      </c>
      <c r="T39" s="1574" t="s">
        <v>8</v>
      </c>
      <c r="U39" s="1575">
        <f t="shared" si="10"/>
        <v>100</v>
      </c>
      <c r="V39" s="1574" t="s">
        <v>8</v>
      </c>
      <c r="W39" s="1575">
        <f t="shared" si="11"/>
        <v>100</v>
      </c>
      <c r="X39" s="1568"/>
      <c r="Y39" s="3434"/>
      <c r="Z39" s="1576" t="str">
        <f t="shared" si="12"/>
        <v>层高</v>
      </c>
      <c r="AA39" s="1577">
        <f t="shared" si="3"/>
        <v>1</v>
      </c>
      <c r="AB39" s="1577">
        <f t="shared" si="4"/>
        <v>1</v>
      </c>
      <c r="AC39" s="1577">
        <f t="shared" si="5"/>
        <v>1</v>
      </c>
    </row>
    <row r="40" spans="1:29" ht="15" hidden="1">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34"/>
      <c r="Q40" s="1573" t="str">
        <f t="shared" si="8"/>
        <v>单套建筑面积</v>
      </c>
      <c r="R40" s="1574" t="s">
        <v>8</v>
      </c>
      <c r="S40" s="1575">
        <f t="shared" si="9"/>
        <v>100</v>
      </c>
      <c r="T40" s="1574" t="s">
        <v>8</v>
      </c>
      <c r="U40" s="1575">
        <f t="shared" si="10"/>
        <v>100</v>
      </c>
      <c r="V40" s="1574" t="s">
        <v>8</v>
      </c>
      <c r="W40" s="1575">
        <f t="shared" si="11"/>
        <v>100</v>
      </c>
      <c r="X40" s="1568"/>
      <c r="Y40" s="3434"/>
      <c r="Z40" s="1576" t="str">
        <f t="shared" si="12"/>
        <v>单套建筑面积</v>
      </c>
      <c r="AA40" s="1577">
        <f t="shared" si="3"/>
        <v>1</v>
      </c>
      <c r="AB40" s="1577">
        <f t="shared" si="4"/>
        <v>1</v>
      </c>
      <c r="AC40" s="1577">
        <f t="shared" si="5"/>
        <v>1</v>
      </c>
    </row>
    <row r="41" spans="1:29" s="1339" customFormat="1" ht="15" hidden="1">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34"/>
      <c r="Q41" s="1606" t="str">
        <f t="shared" si="8"/>
        <v>进深比</v>
      </c>
      <c r="R41" s="1578" t="s">
        <v>8</v>
      </c>
      <c r="S41" s="1579">
        <f t="shared" si="9"/>
        <v>100</v>
      </c>
      <c r="T41" s="1578" t="s">
        <v>8</v>
      </c>
      <c r="U41" s="1579">
        <f t="shared" si="10"/>
        <v>100</v>
      </c>
      <c r="V41" s="1578" t="s">
        <v>8</v>
      </c>
      <c r="W41" s="1579">
        <f t="shared" si="11"/>
        <v>100</v>
      </c>
      <c r="X41" s="1580"/>
      <c r="Y41" s="3434"/>
      <c r="Z41" s="1581" t="str">
        <f t="shared" si="12"/>
        <v>进深比</v>
      </c>
      <c r="AA41" s="1577">
        <f t="shared" si="3"/>
        <v>1</v>
      </c>
      <c r="AB41" s="1577">
        <f t="shared" si="4"/>
        <v>1</v>
      </c>
      <c r="AC41" s="1577">
        <f t="shared" si="5"/>
        <v>1</v>
      </c>
    </row>
    <row r="42" spans="1:29" ht="15.75" thickBot="1">
      <c r="A42" s="594"/>
      <c r="B42" s="527" t="s">
        <v>770</v>
      </c>
      <c r="C42" s="599" t="s">
        <v>3088</v>
      </c>
      <c r="D42" s="540">
        <v>100</v>
      </c>
      <c r="E42" s="599" t="s">
        <v>3088</v>
      </c>
      <c r="F42" s="575">
        <f>SUMIF(122:122,E42,123:123)-SUMIF(122:122,C42,123:123)+100</f>
        <v>100</v>
      </c>
      <c r="G42" s="599" t="s">
        <v>3088</v>
      </c>
      <c r="H42" s="540">
        <f>SUMIF(122:122,G42,123:123)-SUMIF(122:122,C42,123:123)+100</f>
        <v>100</v>
      </c>
      <c r="I42" s="599" t="s">
        <v>3088</v>
      </c>
      <c r="J42" s="540">
        <f>SUMIF(122:122,I42,123:123)-SUMIF(122:122,C42,123:123)+100</f>
        <v>100</v>
      </c>
      <c r="K42" s="584"/>
      <c r="L42" s="2142"/>
      <c r="M42" s="2134"/>
      <c r="N42" s="2134"/>
      <c r="O42" s="2141"/>
      <c r="P42" s="3434"/>
      <c r="Q42" s="1573" t="str">
        <f t="shared" si="8"/>
        <v>内部装修</v>
      </c>
      <c r="R42" s="1574" t="s">
        <v>8</v>
      </c>
      <c r="S42" s="1575">
        <f t="shared" si="9"/>
        <v>100</v>
      </c>
      <c r="T42" s="1574" t="s">
        <v>8</v>
      </c>
      <c r="U42" s="1575">
        <f t="shared" si="10"/>
        <v>100</v>
      </c>
      <c r="V42" s="1574" t="s">
        <v>8</v>
      </c>
      <c r="W42" s="1575">
        <f t="shared" si="11"/>
        <v>100</v>
      </c>
      <c r="X42" s="1568"/>
      <c r="Y42" s="3434"/>
      <c r="Z42" s="1576" t="str">
        <f t="shared" si="12"/>
        <v>内部装修</v>
      </c>
      <c r="AA42" s="1577">
        <f t="shared" si="3"/>
        <v>1</v>
      </c>
      <c r="AB42" s="1577">
        <f t="shared" si="4"/>
        <v>1</v>
      </c>
      <c r="AC42" s="1577">
        <f t="shared" si="5"/>
        <v>1</v>
      </c>
    </row>
    <row r="43" spans="1:29" ht="27" hidden="1">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34"/>
      <c r="Q43" s="1573" t="str">
        <f t="shared" si="8"/>
        <v>内部装修维护情况</v>
      </c>
      <c r="R43" s="1574" t="s">
        <v>8</v>
      </c>
      <c r="S43" s="1575">
        <f t="shared" si="9"/>
        <v>100</v>
      </c>
      <c r="T43" s="1574" t="s">
        <v>8</v>
      </c>
      <c r="U43" s="1575">
        <f t="shared" si="10"/>
        <v>100</v>
      </c>
      <c r="V43" s="1574" t="s">
        <v>8</v>
      </c>
      <c r="W43" s="1575">
        <f t="shared" si="11"/>
        <v>100</v>
      </c>
      <c r="X43" s="1568"/>
      <c r="Y43" s="3434"/>
      <c r="Z43" s="1576" t="str">
        <f t="shared" si="12"/>
        <v>内部装修维护情况</v>
      </c>
      <c r="AA43" s="1577">
        <f t="shared" si="3"/>
        <v>1</v>
      </c>
      <c r="AB43" s="1577">
        <f t="shared" si="4"/>
        <v>1</v>
      </c>
      <c r="AC43" s="1577">
        <f t="shared" si="5"/>
        <v>1</v>
      </c>
    </row>
    <row r="44" spans="1:29" s="1220" customFormat="1" ht="15" hidden="1">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34"/>
      <c r="Q44" s="1151">
        <f t="shared" si="8"/>
        <v>111</v>
      </c>
      <c r="R44" s="1569" t="s">
        <v>8</v>
      </c>
      <c r="S44" s="1570">
        <f t="shared" si="9"/>
        <v>100</v>
      </c>
      <c r="T44" s="1569" t="s">
        <v>8</v>
      </c>
      <c r="U44" s="1570">
        <f t="shared" si="10"/>
        <v>100</v>
      </c>
      <c r="V44" s="1569" t="s">
        <v>8</v>
      </c>
      <c r="W44" s="1570">
        <f t="shared" si="11"/>
        <v>100</v>
      </c>
      <c r="X44" s="1571"/>
      <c r="Y44" s="3434"/>
      <c r="Z44" s="1150">
        <f t="shared" si="12"/>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34"/>
      <c r="Q45" s="1573">
        <f t="shared" si="8"/>
        <v>111</v>
      </c>
      <c r="R45" s="1574" t="s">
        <v>8</v>
      </c>
      <c r="S45" s="1575">
        <f t="shared" si="9"/>
        <v>100</v>
      </c>
      <c r="T45" s="1574" t="s">
        <v>8</v>
      </c>
      <c r="U45" s="1575">
        <f t="shared" si="10"/>
        <v>100</v>
      </c>
      <c r="V45" s="1574" t="s">
        <v>8</v>
      </c>
      <c r="W45" s="1575">
        <f t="shared" si="11"/>
        <v>100</v>
      </c>
      <c r="X45" s="1568"/>
      <c r="Y45" s="3434"/>
      <c r="Z45" s="1576">
        <f t="shared" si="12"/>
        <v>111</v>
      </c>
      <c r="AA45" s="1577">
        <f t="shared" si="3"/>
        <v>1</v>
      </c>
      <c r="AB45" s="1577">
        <f t="shared" si="4"/>
        <v>1</v>
      </c>
      <c r="AC45" s="1577">
        <f t="shared" si="5"/>
        <v>1</v>
      </c>
    </row>
    <row r="46" spans="1:29" ht="15.75" hidden="1"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10"/>
      <c r="Q46" s="1573">
        <f t="shared" si="8"/>
        <v>111</v>
      </c>
      <c r="R46" s="1574" t="s">
        <v>8</v>
      </c>
      <c r="S46" s="1575">
        <f t="shared" si="9"/>
        <v>100</v>
      </c>
      <c r="T46" s="1574" t="s">
        <v>8</v>
      </c>
      <c r="U46" s="1575">
        <f t="shared" si="10"/>
        <v>100</v>
      </c>
      <c r="V46" s="1574" t="s">
        <v>8</v>
      </c>
      <c r="W46" s="1575">
        <f t="shared" si="11"/>
        <v>100</v>
      </c>
      <c r="X46" s="1568"/>
      <c r="Y46" s="3510"/>
      <c r="Z46" s="1576">
        <f t="shared" si="12"/>
        <v>111</v>
      </c>
      <c r="AA46" s="1577">
        <f t="shared" si="3"/>
        <v>1</v>
      </c>
      <c r="AB46" s="1577">
        <f t="shared" si="4"/>
        <v>1</v>
      </c>
      <c r="AC46" s="1577">
        <f t="shared" si="5"/>
        <v>1</v>
      </c>
    </row>
    <row r="47" spans="1:29" ht="15">
      <c r="A47" s="607" t="s">
        <v>736</v>
      </c>
      <c r="B47" s="887"/>
      <c r="C47" s="2651" t="s">
        <v>1</v>
      </c>
      <c r="D47" s="2652"/>
      <c r="E47" s="2653">
        <f>ROUND(35000*0.97,0)</f>
        <v>33950</v>
      </c>
      <c r="F47" s="2654"/>
      <c r="G47" s="2655">
        <f>ROUND(32500*0.98,0)</f>
        <v>31850</v>
      </c>
      <c r="H47" s="2656"/>
      <c r="I47" s="2653">
        <f>ROUND(35000*0.95,0)</f>
        <v>33250</v>
      </c>
      <c r="J47" s="2656"/>
      <c r="K47" s="1612"/>
      <c r="L47" s="2144"/>
      <c r="M47" s="2145"/>
      <c r="N47" s="2134"/>
      <c r="O47" s="2145"/>
      <c r="P47" s="3395" t="str">
        <f>A47</f>
        <v>成交单价（元/平方米）</v>
      </c>
      <c r="Q47" s="3395"/>
      <c r="R47" s="3509">
        <f>E47</f>
        <v>33950</v>
      </c>
      <c r="S47" s="3509"/>
      <c r="T47" s="3509">
        <f>G47</f>
        <v>31850</v>
      </c>
      <c r="U47" s="3509"/>
      <c r="V47" s="3509">
        <f>I47</f>
        <v>33250</v>
      </c>
      <c r="W47" s="3509"/>
      <c r="X47" s="1560"/>
      <c r="Y47" s="1582"/>
      <c r="Z47" s="1560"/>
      <c r="AA47" s="1560"/>
      <c r="AB47" s="1560"/>
      <c r="AC47" s="1560"/>
    </row>
    <row r="48" spans="1:29" ht="15.75" thickBot="1">
      <c r="A48" s="615" t="s">
        <v>2760</v>
      </c>
      <c r="B48" s="888"/>
      <c r="C48" s="2657">
        <f>R49</f>
        <v>32123</v>
      </c>
      <c r="D48" s="2658"/>
      <c r="E48" s="2659">
        <f>R48</f>
        <v>33718</v>
      </c>
      <c r="F48" s="2659"/>
      <c r="G48" s="2657">
        <f>T48</f>
        <v>30664</v>
      </c>
      <c r="H48" s="2658"/>
      <c r="I48" s="2659">
        <f>V48</f>
        <v>31987</v>
      </c>
      <c r="J48" s="2658"/>
      <c r="K48" s="1613"/>
      <c r="L48" s="2144"/>
      <c r="M48" s="2145"/>
      <c r="N48" s="2134"/>
      <c r="O48" s="2145"/>
      <c r="P48" s="3395" t="str">
        <f>A48</f>
        <v>比较价格（元/平方米）</v>
      </c>
      <c r="Q48" s="3395"/>
      <c r="R48" s="3509">
        <f>IF(F1="售价",ROUND(PRODUCT(R47,AA7:AA46),0),ROUND(PRODUCT(R47,AA7:AA46),1))</f>
        <v>33718</v>
      </c>
      <c r="S48" s="3509"/>
      <c r="T48" s="3509">
        <f>IF(F1="售价",ROUND(PRODUCT(T47,AB7:AB46),0),ROUND(PRODUCT(T47,AB7:AB46),1))</f>
        <v>30664</v>
      </c>
      <c r="U48" s="3509"/>
      <c r="V48" s="3509">
        <f>IF(F1="售价",ROUND(PRODUCT(V47,AC7:AC46),0),ROUND(PRODUCT(V47,AC7:AC46),1))</f>
        <v>31987</v>
      </c>
      <c r="W48" s="3509"/>
      <c r="X48" s="1560"/>
      <c r="Y48" s="1560"/>
      <c r="Z48" s="1560"/>
      <c r="AA48" s="1560"/>
      <c r="AB48" s="1560"/>
      <c r="AC48" s="1560"/>
    </row>
    <row r="49" spans="1:29" ht="15.75" thickBot="1">
      <c r="A49" s="621" t="s">
        <v>2932</v>
      </c>
      <c r="B49" s="622"/>
      <c r="C49" s="2660">
        <f>R49</f>
        <v>32123</v>
      </c>
      <c r="D49" s="2660"/>
      <c r="E49" s="2660"/>
      <c r="F49" s="2660"/>
      <c r="G49" s="2660"/>
      <c r="H49" s="2660"/>
      <c r="I49" s="2660"/>
      <c r="J49" s="2660"/>
      <c r="K49" s="1614"/>
      <c r="L49" s="2144"/>
      <c r="M49" s="2145"/>
      <c r="N49" s="2134"/>
      <c r="O49" s="2145"/>
      <c r="P49" s="3392" t="str">
        <f>A49</f>
        <v>估价对象XX用房的比较价格（楼面单价，元/平方米）</v>
      </c>
      <c r="Q49" s="3393"/>
      <c r="R49" s="3508">
        <f>IF(F1="售价",ROUND(AVERAGE(R48:V48),0),ROUND(AVERAGE(R48:V48),1))</f>
        <v>32123</v>
      </c>
      <c r="S49" s="3508"/>
      <c r="T49" s="3508"/>
      <c r="U49" s="3508"/>
      <c r="V49" s="3508"/>
      <c r="W49" s="3508"/>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6.8805979002313222E-3</v>
      </c>
      <c r="F52" s="627" t="str">
        <f>IF(OR(E52&gt;=0.3,E52&lt;=-0.3),"超过30%","")</f>
        <v/>
      </c>
      <c r="G52" s="626">
        <f>IF(G47&lt;G48,G48/G47-1,G47/G48-1)</f>
        <v>3.8677276284894369E-2</v>
      </c>
      <c r="H52" s="627" t="str">
        <f>IF(OR(G52&gt;=0.3,G52&lt;=-0.3),"超过30%","")</f>
        <v/>
      </c>
      <c r="I52" s="626">
        <f>IF(I47&lt;I48,I48/I47-1,I47/I48-1)</f>
        <v>3.9484790696220351E-2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9.9595617010174831E-2</v>
      </c>
      <c r="F53" s="627" t="str">
        <f>IF(OR(E53&gt;=0.2,E53&lt;=-0.2),"超过20%","")</f>
        <v/>
      </c>
      <c r="G53" s="626">
        <f>IF(G48&lt;I48,I48/G48-1,G48/I48-1)</f>
        <v>4.3145056091834055E-2</v>
      </c>
      <c r="H53" s="627" t="str">
        <f>IF(OR(G53&gt;=0.2,G53&lt;=-0.2),"超过20%","")</f>
        <v/>
      </c>
      <c r="I53" s="626">
        <f>IF(I48&lt;E48,E48/I48-1,I48/E48-1)</f>
        <v>5.4115734517147684E-2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6.5934065934065922E-2</v>
      </c>
      <c r="F54" s="627" t="str">
        <f>IF(OR(E54&gt;=0.3,E54&lt;=-0.3),"超过30%","")</f>
        <v/>
      </c>
      <c r="G54" s="626">
        <f>IF(G47&lt;I47,I47/G47-1,G47/I47-1)</f>
        <v>4.3956043956044022E-2</v>
      </c>
      <c r="H54" s="627" t="str">
        <f>IF(OR(G54&gt;=0.3,G54&lt;=-0.3),"超过30%","")</f>
        <v/>
      </c>
      <c r="I54" s="626">
        <f>IF(I47&lt;E47,E47/I47-1,I47/E47-1)</f>
        <v>2.1052631578947434E-2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26" t="str">
        <f>YEAR(C7)&amp;"-"&amp;MONTH(C7)</f>
        <v>2018-5</v>
      </c>
      <c r="D58" s="2828">
        <f>EDATE(C58,-1)</f>
        <v>43191</v>
      </c>
      <c r="E58" s="2828">
        <f t="shared" ref="E58:O58" si="13">EDATE(D58,-1)</f>
        <v>43160</v>
      </c>
      <c r="F58" s="2828">
        <f t="shared" si="13"/>
        <v>43132</v>
      </c>
      <c r="G58" s="2828">
        <f t="shared" si="13"/>
        <v>43101</v>
      </c>
      <c r="H58" s="2828">
        <f t="shared" si="13"/>
        <v>43070</v>
      </c>
      <c r="I58" s="2828">
        <f t="shared" si="13"/>
        <v>43040</v>
      </c>
      <c r="J58" s="2828">
        <f t="shared" si="13"/>
        <v>43009</v>
      </c>
      <c r="K58" s="2828">
        <f t="shared" si="13"/>
        <v>42979</v>
      </c>
      <c r="L58" s="2828">
        <f t="shared" si="13"/>
        <v>42948</v>
      </c>
      <c r="M58" s="2828">
        <f t="shared" si="13"/>
        <v>42917</v>
      </c>
      <c r="N58" s="2828">
        <f t="shared" si="13"/>
        <v>42887</v>
      </c>
      <c r="O58" s="2828">
        <f t="shared" si="13"/>
        <v>42856</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95</v>
      </c>
      <c r="H66" s="679">
        <f>G66-$K10</f>
        <v>90</v>
      </c>
      <c r="I66" s="679">
        <f>H66-$K10</f>
        <v>85</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0（含）-2</v>
      </c>
      <c r="D67" s="682" t="str">
        <f t="shared" ref="D67:L67" si="14">D68&amp;"（含）"&amp;"-"&amp;E68</f>
        <v>2（含）-4</v>
      </c>
      <c r="E67" s="682" t="str">
        <f t="shared" si="14"/>
        <v>4（含）-6</v>
      </c>
      <c r="F67" s="682" t="str">
        <f t="shared" si="14"/>
        <v>6（含）-8</v>
      </c>
      <c r="G67" s="682" t="str">
        <f t="shared" si="14"/>
        <v>8（含）-</v>
      </c>
      <c r="H67" s="682" t="str">
        <f t="shared" si="14"/>
        <v>（含）-</v>
      </c>
      <c r="I67" s="682" t="str">
        <f t="shared" si="14"/>
        <v>（含）-</v>
      </c>
      <c r="J67" s="682" t="str">
        <f t="shared" si="14"/>
        <v>（含）-</v>
      </c>
      <c r="K67" s="682" t="str">
        <f t="shared" si="14"/>
        <v>（含）-</v>
      </c>
      <c r="L67" s="682" t="str">
        <f t="shared" si="14"/>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v>8</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5">C69-$K11</f>
        <v>97</v>
      </c>
      <c r="E69" s="679">
        <f t="shared" si="15"/>
        <v>94</v>
      </c>
      <c r="F69" s="679">
        <f t="shared" si="15"/>
        <v>91</v>
      </c>
      <c r="G69" s="679">
        <f t="shared" si="15"/>
        <v>88</v>
      </c>
      <c r="H69" s="679">
        <f t="shared" si="15"/>
        <v>85</v>
      </c>
      <c r="I69" s="679">
        <f t="shared" si="15"/>
        <v>82</v>
      </c>
      <c r="J69" s="679">
        <f t="shared" si="15"/>
        <v>79</v>
      </c>
      <c r="K69" s="679">
        <f t="shared" si="15"/>
        <v>76</v>
      </c>
      <c r="L69" s="679">
        <f t="shared" si="15"/>
        <v>73</v>
      </c>
      <c r="M69" s="680">
        <f t="shared" si="15"/>
        <v>70</v>
      </c>
      <c r="N69" s="2166"/>
      <c r="O69" s="2166"/>
      <c r="P69" s="2165"/>
      <c r="Q69" s="2158"/>
      <c r="R69" s="2145"/>
      <c r="S69" s="2145"/>
      <c r="T69" s="2145"/>
      <c r="U69" s="2145"/>
      <c r="V69" s="2145"/>
      <c r="W69" s="2145"/>
      <c r="X69" s="2145"/>
      <c r="Y69" s="2145"/>
      <c r="Z69" s="2145"/>
      <c r="AA69" s="2145"/>
      <c r="AB69" s="2145"/>
      <c r="AC69" s="2145"/>
    </row>
    <row r="70" spans="1:29" s="1339" customFormat="1" ht="15.75" hidden="1"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hidden="1"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hidden="1"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hidden="1"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hidden="1"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hidden="1"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2557</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2558</v>
      </c>
      <c r="C82" s="2622" t="s">
        <v>2559</v>
      </c>
      <c r="D82" s="2622" t="s">
        <v>2560</v>
      </c>
      <c r="E82" s="2622" t="s">
        <v>2561</v>
      </c>
      <c r="F82" s="2622" t="s">
        <v>2562</v>
      </c>
      <c r="G82" s="2622" t="s">
        <v>2563</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97</v>
      </c>
      <c r="E85" s="679">
        <f>D85-$K23</f>
        <v>94</v>
      </c>
      <c r="F85" s="679">
        <f>E85-$K23</f>
        <v>91</v>
      </c>
      <c r="G85" s="679">
        <f>F85-$K23</f>
        <v>88</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hidden="1"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hidden="1"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3195" t="s">
        <v>579</v>
      </c>
      <c r="D88" s="3195" t="s">
        <v>580</v>
      </c>
      <c r="E88" s="3195" t="s">
        <v>581</v>
      </c>
      <c r="F88" s="3195" t="s">
        <v>582</v>
      </c>
      <c r="G88" s="3195" t="s">
        <v>583</v>
      </c>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v>100</v>
      </c>
      <c r="D89" s="671">
        <v>103</v>
      </c>
      <c r="E89" s="671">
        <v>106</v>
      </c>
      <c r="F89" s="671">
        <v>109</v>
      </c>
      <c r="G89" s="671">
        <v>112</v>
      </c>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3195" t="s">
        <v>579</v>
      </c>
      <c r="D90" s="3195" t="s">
        <v>580</v>
      </c>
      <c r="E90" s="3195" t="s">
        <v>581</v>
      </c>
      <c r="F90" s="3195" t="s">
        <v>582</v>
      </c>
      <c r="G90" s="3195" t="s">
        <v>583</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t="s">
        <v>3116</v>
      </c>
      <c r="D92" s="688" t="s">
        <v>3117</v>
      </c>
      <c r="E92" s="688" t="s">
        <v>3118</v>
      </c>
      <c r="F92" s="688" t="s">
        <v>3119</v>
      </c>
      <c r="G92" s="688" t="s">
        <v>3120</v>
      </c>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v>100</v>
      </c>
      <c r="D93" s="671">
        <v>85</v>
      </c>
      <c r="E93" s="671">
        <v>70</v>
      </c>
      <c r="F93" s="671">
        <v>60</v>
      </c>
      <c r="G93" s="671">
        <v>50</v>
      </c>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hidden="1"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hidden="1"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hidden="1"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hidden="1"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hidden="1"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hidden="1"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5" thickTop="1">
      <c r="A100" s="664" t="s">
        <v>551</v>
      </c>
      <c r="B100" s="665" t="s">
        <v>772</v>
      </c>
      <c r="C100" s="3182" t="s">
        <v>3121</v>
      </c>
      <c r="D100" s="3182" t="s">
        <v>3122</v>
      </c>
      <c r="E100" s="3182" t="s">
        <v>3137</v>
      </c>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19">D103&amp;"(含)"&amp;"-"&amp;E103</f>
        <v>100000(含)-200000</v>
      </c>
      <c r="E102" s="708" t="str">
        <f t="shared" si="19"/>
        <v>200000(含)-300000</v>
      </c>
      <c r="F102" s="708" t="str">
        <f t="shared" si="19"/>
        <v>300000(含)-400000</v>
      </c>
      <c r="G102" s="708" t="str">
        <f t="shared" si="19"/>
        <v>400000(含)-500000</v>
      </c>
      <c r="H102" s="708" t="str">
        <f t="shared" si="19"/>
        <v>500000(含)-</v>
      </c>
      <c r="I102" s="708" t="str">
        <f t="shared" si="19"/>
        <v>(含)-</v>
      </c>
      <c r="J102" s="708" t="str">
        <f t="shared" si="19"/>
        <v>(含)-</v>
      </c>
      <c r="K102" s="708" t="str">
        <f t="shared" si="19"/>
        <v>(含)-</v>
      </c>
      <c r="L102" s="708" t="str">
        <f t="shared" si="19"/>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v>400000</v>
      </c>
      <c r="H103" s="730">
        <v>500000</v>
      </c>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101</v>
      </c>
      <c r="E104" s="671">
        <v>102</v>
      </c>
      <c r="F104" s="671">
        <v>103</v>
      </c>
      <c r="G104" s="671">
        <v>104</v>
      </c>
      <c r="H104" s="671">
        <v>105</v>
      </c>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4" t="s">
        <v>3123</v>
      </c>
      <c r="D105" s="3184" t="s">
        <v>3124</v>
      </c>
      <c r="E105" s="3183" t="s">
        <v>3125</v>
      </c>
      <c r="F105" s="3183" t="s">
        <v>3126</v>
      </c>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184" t="s">
        <v>3127</v>
      </c>
      <c r="D107" s="3184" t="s">
        <v>3128</v>
      </c>
      <c r="E107" s="3184" t="s">
        <v>3129</v>
      </c>
      <c r="F107" s="3183" t="s">
        <v>3130</v>
      </c>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66"/>
      <c r="O108" s="2166"/>
      <c r="P108" s="2165"/>
      <c r="Q108" s="2158"/>
      <c r="R108" s="2145"/>
      <c r="S108" s="2145"/>
      <c r="T108" s="2145"/>
      <c r="U108" s="2145"/>
      <c r="V108" s="2145"/>
      <c r="W108" s="2145"/>
      <c r="X108" s="2145"/>
      <c r="Y108" s="2145"/>
      <c r="Z108" s="2145"/>
      <c r="AA108" s="2145"/>
      <c r="AB108" s="2145"/>
      <c r="AC108" s="2145"/>
    </row>
    <row r="109" spans="1:29" ht="15" hidden="1"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idden="1">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2556</v>
      </c>
      <c r="C112" s="3184" t="s">
        <v>3131</v>
      </c>
      <c r="D112" s="3184" t="s">
        <v>3132</v>
      </c>
      <c r="E112" s="3184" t="s">
        <v>3133</v>
      </c>
      <c r="F112" s="3184" t="s">
        <v>3134</v>
      </c>
      <c r="G112" s="3184" t="s">
        <v>3135</v>
      </c>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67"/>
      <c r="O113" s="2167"/>
      <c r="P113" s="2168"/>
      <c r="Q113" s="2169"/>
      <c r="R113" s="2170"/>
      <c r="S113" s="2170"/>
      <c r="T113" s="2170"/>
      <c r="U113" s="2170"/>
      <c r="V113" s="2170"/>
      <c r="W113" s="2170"/>
      <c r="X113" s="2170"/>
      <c r="Y113" s="2170"/>
      <c r="Z113" s="2170"/>
      <c r="AA113" s="2170"/>
      <c r="AB113" s="2170"/>
      <c r="AC113" s="2170"/>
    </row>
    <row r="114" spans="1:29" ht="15" hidden="1"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3184" t="s">
        <v>3138</v>
      </c>
      <c r="D116" s="3184" t="s">
        <v>3140</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hidden="1"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hidden="1"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hidden="1"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hidden="1"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4" t="s">
        <v>3127</v>
      </c>
      <c r="D122" s="3184" t="s">
        <v>3128</v>
      </c>
      <c r="E122" s="3184" t="s">
        <v>3129</v>
      </c>
      <c r="F122" s="3183" t="s">
        <v>3130</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66"/>
      <c r="O123" s="2166"/>
      <c r="P123" s="2165"/>
      <c r="Q123" s="2158"/>
      <c r="R123" s="2145"/>
      <c r="S123" s="2145"/>
      <c r="T123" s="2145"/>
      <c r="U123" s="2145"/>
      <c r="V123" s="2145"/>
      <c r="W123" s="2145"/>
      <c r="X123" s="2145"/>
      <c r="Y123" s="2145"/>
      <c r="Z123" s="2145"/>
      <c r="AA123" s="2145"/>
      <c r="AB123" s="2145"/>
      <c r="AC123" s="2145"/>
    </row>
    <row r="124" spans="1:29" ht="27.75" hidden="1"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hidden="1"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hidden="1"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hidden="1"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9" priority="17" stopIfTrue="1" operator="containsText" text="超过">
      <formula>NOT(ISERROR(SEARCH("超过",F52)))</formula>
    </cfRule>
  </conditionalFormatting>
  <conditionalFormatting sqref="H54">
    <cfRule type="containsText" dxfId="78" priority="15" stopIfTrue="1" operator="containsText" text="超过">
      <formula>NOT(ISERROR(SEARCH("超过",H54)))</formula>
    </cfRule>
  </conditionalFormatting>
  <conditionalFormatting sqref="F54">
    <cfRule type="containsText" dxfId="77" priority="14" stopIfTrue="1" operator="containsText" text="超过">
      <formula>NOT(ISERROR(SEARCH("超过",F54)))</formula>
    </cfRule>
  </conditionalFormatting>
  <conditionalFormatting sqref="F53 H53">
    <cfRule type="containsText" dxfId="76" priority="13" stopIfTrue="1" operator="containsText" text="超过">
      <formula>NOT(ISERROR(SEARCH("超过",F53)))</formula>
    </cfRule>
  </conditionalFormatting>
  <conditionalFormatting sqref="E52">
    <cfRule type="expression" dxfId="75" priority="12" stopIfTrue="1">
      <formula>$F$52="超过30%"</formula>
    </cfRule>
  </conditionalFormatting>
  <conditionalFormatting sqref="E53">
    <cfRule type="expression" dxfId="74" priority="11" stopIfTrue="1">
      <formula>$F$53="超过20%"</formula>
    </cfRule>
  </conditionalFormatting>
  <conditionalFormatting sqref="E54">
    <cfRule type="expression" dxfId="73" priority="10" stopIfTrue="1">
      <formula>$F$54="超过30%"</formula>
    </cfRule>
  </conditionalFormatting>
  <conditionalFormatting sqref="G54">
    <cfRule type="expression" dxfId="72" priority="9" stopIfTrue="1">
      <formula>$H$54="超过30%"</formula>
    </cfRule>
  </conditionalFormatting>
  <conditionalFormatting sqref="G52">
    <cfRule type="expression" dxfId="71" priority="8" stopIfTrue="1">
      <formula>$H$52="超过30%"</formula>
    </cfRule>
  </conditionalFormatting>
  <conditionalFormatting sqref="G53">
    <cfRule type="expression" dxfId="70" priority="7" stopIfTrue="1">
      <formula>$H$53="超过20%"</formula>
    </cfRule>
  </conditionalFormatting>
  <conditionalFormatting sqref="J52">
    <cfRule type="containsText" dxfId="69" priority="6" stopIfTrue="1" operator="containsText" text="超过">
      <formula>NOT(ISERROR(SEARCH("超过",J52)))</formula>
    </cfRule>
  </conditionalFormatting>
  <conditionalFormatting sqref="J54">
    <cfRule type="containsText" dxfId="68" priority="5" stopIfTrue="1" operator="containsText" text="超过">
      <formula>NOT(ISERROR(SEARCH("超过",J54)))</formula>
    </cfRule>
  </conditionalFormatting>
  <conditionalFormatting sqref="J53">
    <cfRule type="containsText" dxfId="67" priority="4" stopIfTrue="1" operator="containsText" text="超过">
      <formula>NOT(ISERROR(SEARCH("超过",J53)))</formula>
    </cfRule>
  </conditionalFormatting>
  <conditionalFormatting sqref="I52">
    <cfRule type="expression" dxfId="66" priority="3" stopIfTrue="1">
      <formula>$J$52="超过30%"</formula>
    </cfRule>
  </conditionalFormatting>
  <conditionalFormatting sqref="I53">
    <cfRule type="expression" dxfId="65" priority="2" stopIfTrue="1">
      <formula>$J$53="超过20%"</formula>
    </cfRule>
  </conditionalFormatting>
  <conditionalFormatting sqref="I54">
    <cfRule type="expression" dxfId="6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1"/>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401" t="s">
        <v>522</v>
      </c>
      <c r="D4" s="3402"/>
      <c r="E4" s="3438" t="s">
        <v>523</v>
      </c>
      <c r="F4" s="3439"/>
      <c r="G4" s="3401" t="s">
        <v>524</v>
      </c>
      <c r="H4" s="3402"/>
      <c r="I4" s="3401" t="s">
        <v>525</v>
      </c>
      <c r="J4" s="3402"/>
      <c r="K4" s="514" t="s">
        <v>526</v>
      </c>
      <c r="L4" s="2133"/>
      <c r="M4" s="2134"/>
      <c r="N4" s="2134"/>
      <c r="O4" s="2134"/>
      <c r="P4" s="3597" t="s">
        <v>527</v>
      </c>
      <c r="Q4" s="3404"/>
      <c r="R4" s="3409" t="s">
        <v>523</v>
      </c>
      <c r="S4" s="3410"/>
      <c r="T4" s="3409" t="s">
        <v>524</v>
      </c>
      <c r="U4" s="3410"/>
      <c r="V4" s="3396" t="s">
        <v>525</v>
      </c>
      <c r="W4" s="3396"/>
      <c r="X4" s="1568"/>
      <c r="Y4" s="3409" t="s">
        <v>527</v>
      </c>
      <c r="Z4" s="3410"/>
      <c r="AA4" s="3398" t="s">
        <v>523</v>
      </c>
      <c r="AB4" s="3398" t="s">
        <v>524</v>
      </c>
      <c r="AC4" s="3398" t="s">
        <v>525</v>
      </c>
    </row>
    <row r="5" spans="1:29" ht="15">
      <c r="A5" s="515"/>
      <c r="B5" s="516"/>
      <c r="C5" s="3419" t="s">
        <v>2926</v>
      </c>
      <c r="D5" s="3418"/>
      <c r="E5" s="3440" t="s">
        <v>2927</v>
      </c>
      <c r="F5" s="3441"/>
      <c r="G5" s="3419" t="s">
        <v>2928</v>
      </c>
      <c r="H5" s="3418"/>
      <c r="I5" s="3419" t="s">
        <v>2929</v>
      </c>
      <c r="J5" s="3418"/>
      <c r="K5" s="514"/>
      <c r="L5" s="2133"/>
      <c r="M5" s="2134"/>
      <c r="N5" s="2134"/>
      <c r="O5" s="2134"/>
      <c r="P5" s="3598"/>
      <c r="Q5" s="3406"/>
      <c r="R5" s="3411"/>
      <c r="S5" s="3412"/>
      <c r="T5" s="3411"/>
      <c r="U5" s="3412"/>
      <c r="V5" s="3396"/>
      <c r="W5" s="3396"/>
      <c r="X5" s="1568"/>
      <c r="Y5" s="3411"/>
      <c r="Z5" s="3412"/>
      <c r="AA5" s="3399"/>
      <c r="AB5" s="3399"/>
      <c r="AC5" s="3399"/>
    </row>
    <row r="6" spans="1:29" ht="15.75" thickBot="1">
      <c r="A6" s="517"/>
      <c r="B6" s="518"/>
      <c r="C6" s="3435" t="s">
        <v>2930</v>
      </c>
      <c r="D6" s="3416"/>
      <c r="E6" s="3436" t="s">
        <v>2930</v>
      </c>
      <c r="F6" s="3437"/>
      <c r="G6" s="3435" t="s">
        <v>2930</v>
      </c>
      <c r="H6" s="3416"/>
      <c r="I6" s="3435" t="s">
        <v>2930</v>
      </c>
      <c r="J6" s="3416"/>
      <c r="K6" s="514" t="s">
        <v>528</v>
      </c>
      <c r="L6" s="2133"/>
      <c r="M6" s="2134"/>
      <c r="N6" s="2134"/>
      <c r="O6" s="2134"/>
      <c r="P6" s="3599"/>
      <c r="Q6" s="3408"/>
      <c r="R6" s="3411"/>
      <c r="S6" s="3412"/>
      <c r="T6" s="3413"/>
      <c r="U6" s="3414"/>
      <c r="V6" s="3396"/>
      <c r="W6" s="3396"/>
      <c r="X6" s="1568"/>
      <c r="Y6" s="3413"/>
      <c r="Z6" s="3414"/>
      <c r="AA6" s="3400"/>
      <c r="AB6" s="3400"/>
      <c r="AC6" s="3400"/>
    </row>
    <row r="7" spans="1:29" s="1220" customFormat="1" ht="15.75" thickBot="1">
      <c r="A7" s="2936"/>
      <c r="B7" s="2943" t="s">
        <v>529</v>
      </c>
      <c r="C7" s="519">
        <f>'数据-取费表'!B2</f>
        <v>43244</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30" t="s">
        <v>530</v>
      </c>
      <c r="Q7" s="3430"/>
      <c r="R7" s="1569" t="s">
        <v>8</v>
      </c>
      <c r="S7" s="1570">
        <f t="shared" ref="S7:S15" si="0">F7</f>
        <v>0</v>
      </c>
      <c r="T7" s="1569" t="s">
        <v>8</v>
      </c>
      <c r="U7" s="1570">
        <f t="shared" ref="U7:U15" si="1">H7</f>
        <v>0</v>
      </c>
      <c r="V7" s="1569" t="s">
        <v>8</v>
      </c>
      <c r="W7" s="1570">
        <f t="shared" ref="W7:W15" si="2">J7</f>
        <v>0</v>
      </c>
      <c r="X7" s="1571"/>
      <c r="Y7" s="3428" t="s">
        <v>530</v>
      </c>
      <c r="Z7" s="3429"/>
      <c r="AA7" s="1572" t="e">
        <f>D7/F7</f>
        <v>#DIV/0!</v>
      </c>
      <c r="AB7" s="1572" t="e">
        <f>D7/H7</f>
        <v>#DIV/0!</v>
      </c>
      <c r="AC7" s="1572" t="e">
        <f>D7/J7</f>
        <v>#DIV/0!</v>
      </c>
    </row>
    <row r="8" spans="1:29" s="1220" customFormat="1" ht="15.75" thickBot="1">
      <c r="A8" s="2937"/>
      <c r="B8" s="2944"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30" t="s">
        <v>533</v>
      </c>
      <c r="Q8" s="3429"/>
      <c r="R8" s="1569" t="s">
        <v>8</v>
      </c>
      <c r="S8" s="1570">
        <f t="shared" si="0"/>
        <v>0</v>
      </c>
      <c r="T8" s="1569" t="s">
        <v>8</v>
      </c>
      <c r="U8" s="1570">
        <f t="shared" si="1"/>
        <v>0</v>
      </c>
      <c r="V8" s="1569" t="s">
        <v>8</v>
      </c>
      <c r="W8" s="1570">
        <f t="shared" si="2"/>
        <v>0</v>
      </c>
      <c r="X8" s="1571"/>
      <c r="Y8" s="3428" t="s">
        <v>533</v>
      </c>
      <c r="Z8" s="3429"/>
      <c r="AA8" s="1572" t="e">
        <f t="shared" ref="AA8:AA47" si="3">D8/F8</f>
        <v>#DIV/0!</v>
      </c>
      <c r="AB8" s="1572" t="e">
        <f t="shared" ref="AB8:AB47" si="4">D8/H8</f>
        <v>#DIV/0!</v>
      </c>
      <c r="AC8" s="1572" t="e">
        <f t="shared" ref="AC8:AC47" si="5">D8/J8</f>
        <v>#DIV/0!</v>
      </c>
    </row>
    <row r="9" spans="1:29" s="1220" customFormat="1" ht="15">
      <c r="A9" s="2938"/>
      <c r="B9" s="2945" t="s">
        <v>2756</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95" t="s">
        <v>535</v>
      </c>
      <c r="Q9" s="1151" t="str">
        <f t="shared" ref="Q9:Q15" si="6">B9</f>
        <v>用途</v>
      </c>
      <c r="R9" s="1569" t="s">
        <v>8</v>
      </c>
      <c r="S9" s="1570">
        <f t="shared" si="0"/>
        <v>100</v>
      </c>
      <c r="T9" s="1569" t="s">
        <v>8</v>
      </c>
      <c r="U9" s="1570">
        <f t="shared" si="1"/>
        <v>100</v>
      </c>
      <c r="V9" s="1569" t="s">
        <v>8</v>
      </c>
      <c r="W9" s="1570">
        <f t="shared" si="2"/>
        <v>100</v>
      </c>
      <c r="X9" s="1571"/>
      <c r="Y9" s="3341" t="s">
        <v>536</v>
      </c>
      <c r="Z9" s="1150" t="str">
        <f t="shared" ref="Z9:Z15" si="7">Q9</f>
        <v>用途</v>
      </c>
      <c r="AA9" s="1572">
        <f t="shared" si="3"/>
        <v>1</v>
      </c>
      <c r="AB9" s="1572">
        <f t="shared" si="4"/>
        <v>1</v>
      </c>
      <c r="AC9" s="1572">
        <f t="shared" si="5"/>
        <v>1</v>
      </c>
    </row>
    <row r="10" spans="1:29" s="1338" customFormat="1" ht="27">
      <c r="A10" s="2939"/>
      <c r="B10" s="2944" t="s">
        <v>2757</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95"/>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40"/>
      <c r="B11" s="2944"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95"/>
      <c r="Q11" s="1151" t="str">
        <f t="shared" si="6"/>
        <v>容积率</v>
      </c>
      <c r="R11" s="1569" t="s">
        <v>8</v>
      </c>
      <c r="S11" s="1570" t="e">
        <f t="shared" si="0"/>
        <v>#N/A</v>
      </c>
      <c r="T11" s="1569" t="s">
        <v>8</v>
      </c>
      <c r="U11" s="1570" t="e">
        <f t="shared" si="1"/>
        <v>#N/A</v>
      </c>
      <c r="V11" s="1569" t="s">
        <v>8</v>
      </c>
      <c r="W11" s="1570" t="e">
        <f t="shared" si="2"/>
        <v>#N/A</v>
      </c>
      <c r="X11" s="1571"/>
      <c r="Y11" s="3341"/>
      <c r="Z11" s="1150" t="str">
        <f t="shared" si="7"/>
        <v>容积率</v>
      </c>
      <c r="AA11" s="1572" t="e">
        <f t="shared" si="3"/>
        <v>#N/A</v>
      </c>
      <c r="AB11" s="1572" t="e">
        <f t="shared" si="4"/>
        <v>#N/A</v>
      </c>
      <c r="AC11" s="1572" t="e">
        <f t="shared" si="5"/>
        <v>#N/A</v>
      </c>
    </row>
    <row r="12" spans="1:29" s="1220" customFormat="1" ht="15">
      <c r="A12" s="2941"/>
      <c r="B12" s="2947">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95"/>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
      <c r="A13" s="2941"/>
      <c r="B13" s="2947">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95"/>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15.75" thickBot="1">
      <c r="A14" s="2942"/>
      <c r="B14" s="2948">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95"/>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 t="shared" si="3"/>
        <v>1</v>
      </c>
      <c r="AB14" s="1572">
        <f t="shared" si="4"/>
        <v>1</v>
      </c>
      <c r="AC14" s="1572">
        <f t="shared" si="5"/>
        <v>1</v>
      </c>
    </row>
    <row r="15" spans="1:29" ht="71.25">
      <c r="A15" s="2934"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31" t="s">
        <v>540</v>
      </c>
      <c r="Q15" s="1573" t="str">
        <f t="shared" si="6"/>
        <v>办公集聚程度</v>
      </c>
      <c r="R15" s="1574" t="s">
        <v>8</v>
      </c>
      <c r="S15" s="1575">
        <f t="shared" si="0"/>
        <v>100</v>
      </c>
      <c r="T15" s="1574" t="s">
        <v>8</v>
      </c>
      <c r="U15" s="1575">
        <f t="shared" si="1"/>
        <v>100</v>
      </c>
      <c r="V15" s="1574" t="s">
        <v>8</v>
      </c>
      <c r="W15" s="1575">
        <f t="shared" si="2"/>
        <v>100</v>
      </c>
      <c r="X15" s="1568"/>
      <c r="Y15" s="3431"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432"/>
      <c r="Q16" s="1573"/>
      <c r="R16" s="1574"/>
      <c r="S16" s="1575"/>
      <c r="T16" s="1574"/>
      <c r="U16" s="1575"/>
      <c r="V16" s="1574"/>
      <c r="W16" s="1575"/>
      <c r="X16" s="1568"/>
      <c r="Y16" s="3432"/>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32"/>
      <c r="Q17" s="1573" t="str">
        <f>B17</f>
        <v>交通便捷度</v>
      </c>
      <c r="R17" s="1574" t="s">
        <v>8</v>
      </c>
      <c r="S17" s="1575">
        <f>F17</f>
        <v>100</v>
      </c>
      <c r="T17" s="1574" t="s">
        <v>8</v>
      </c>
      <c r="U17" s="1575">
        <f>H17</f>
        <v>100</v>
      </c>
      <c r="V17" s="1574" t="s">
        <v>8</v>
      </c>
      <c r="W17" s="1575">
        <f>J17</f>
        <v>100</v>
      </c>
      <c r="X17" s="1568"/>
      <c r="Y17" s="343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432"/>
      <c r="Q18" s="1573"/>
      <c r="R18" s="1574"/>
      <c r="S18" s="1575"/>
      <c r="T18" s="1574"/>
      <c r="U18" s="1575"/>
      <c r="V18" s="1574"/>
      <c r="W18" s="1575"/>
      <c r="X18" s="1568"/>
      <c r="Y18" s="3432"/>
      <c r="Z18" s="1576"/>
      <c r="AA18" s="1577">
        <v>1</v>
      </c>
      <c r="AB18" s="1577">
        <v>1</v>
      </c>
      <c r="AC18" s="1577">
        <v>1</v>
      </c>
    </row>
    <row r="19" spans="1:29" ht="42.75">
      <c r="A19" s="532"/>
      <c r="B19" s="2627"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32"/>
      <c r="Q19" s="1573" t="str">
        <f>B19</f>
        <v>公共配套设施</v>
      </c>
      <c r="R19" s="1574" t="s">
        <v>8</v>
      </c>
      <c r="S19" s="1575">
        <f>F19</f>
        <v>100</v>
      </c>
      <c r="T19" s="1574" t="s">
        <v>8</v>
      </c>
      <c r="U19" s="1575">
        <f>H19</f>
        <v>100</v>
      </c>
      <c r="V19" s="1574" t="s">
        <v>8</v>
      </c>
      <c r="W19" s="1575">
        <f>J19</f>
        <v>100</v>
      </c>
      <c r="X19" s="1568"/>
      <c r="Y19" s="343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432"/>
      <c r="Q20" s="1573"/>
      <c r="R20" s="1574"/>
      <c r="S20" s="1575"/>
      <c r="T20" s="1574"/>
      <c r="U20" s="1575"/>
      <c r="V20" s="1574"/>
      <c r="W20" s="1575"/>
      <c r="X20" s="1568"/>
      <c r="Y20" s="3432"/>
      <c r="Z20" s="1576"/>
      <c r="AA20" s="1577">
        <v>1</v>
      </c>
      <c r="AB20" s="1577">
        <v>1</v>
      </c>
      <c r="AC20" s="1577">
        <v>1</v>
      </c>
    </row>
    <row r="21" spans="1:29" ht="28.5">
      <c r="A21" s="532"/>
      <c r="B21" s="2615"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32"/>
      <c r="Q21" s="2603" t="str">
        <f>B21</f>
        <v>基础设施水平</v>
      </c>
      <c r="R21" s="1574" t="s">
        <v>8</v>
      </c>
      <c r="S21" s="1575">
        <f>F21</f>
        <v>100</v>
      </c>
      <c r="T21" s="1574" t="s">
        <v>8</v>
      </c>
      <c r="U21" s="1575">
        <f>H21</f>
        <v>100</v>
      </c>
      <c r="V21" s="1574" t="s">
        <v>8</v>
      </c>
      <c r="W21" s="1575">
        <f>J21</f>
        <v>100</v>
      </c>
      <c r="X21" s="2605"/>
      <c r="Y21" s="3432"/>
      <c r="Z21" s="2604" t="str">
        <f>Q21</f>
        <v>基础设施水平</v>
      </c>
      <c r="AA21" s="1577">
        <f>D21/F21</f>
        <v>1</v>
      </c>
      <c r="AB21" s="1577">
        <f>D21/H21</f>
        <v>1</v>
      </c>
      <c r="AC21" s="1577">
        <f>D21/J21</f>
        <v>1</v>
      </c>
    </row>
    <row r="22" spans="1:29" ht="15">
      <c r="A22" s="532"/>
      <c r="B22" s="578"/>
      <c r="C22" s="567"/>
      <c r="D22" s="555"/>
      <c r="E22" s="576"/>
      <c r="F22" s="555"/>
      <c r="G22" s="554"/>
      <c r="H22" s="555"/>
      <c r="I22" s="554"/>
      <c r="J22" s="555"/>
      <c r="K22" s="2626"/>
      <c r="L22" s="2142"/>
      <c r="M22" s="2134"/>
      <c r="N22" s="2134"/>
      <c r="O22" s="2134"/>
      <c r="P22" s="3432"/>
      <c r="Q22" s="2603"/>
      <c r="R22" s="1574"/>
      <c r="S22" s="1575"/>
      <c r="T22" s="1574"/>
      <c r="U22" s="1575"/>
      <c r="V22" s="1574"/>
      <c r="W22" s="1575"/>
      <c r="X22" s="2605"/>
      <c r="Y22" s="3432"/>
      <c r="Z22" s="2604"/>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32"/>
      <c r="Q23" s="1573" t="str">
        <f>B23</f>
        <v>环境质量</v>
      </c>
      <c r="R23" s="1574" t="s">
        <v>8</v>
      </c>
      <c r="S23" s="1575">
        <f>F23</f>
        <v>100</v>
      </c>
      <c r="T23" s="1574" t="s">
        <v>8</v>
      </c>
      <c r="U23" s="1575">
        <f>H23</f>
        <v>100</v>
      </c>
      <c r="V23" s="1574" t="s">
        <v>8</v>
      </c>
      <c r="W23" s="1575">
        <f>J23</f>
        <v>100</v>
      </c>
      <c r="X23" s="1568"/>
      <c r="Y23" s="343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432"/>
      <c r="Q24" s="1573"/>
      <c r="R24" s="1574"/>
      <c r="S24" s="1575"/>
      <c r="T24" s="1574"/>
      <c r="U24" s="1575"/>
      <c r="V24" s="1574"/>
      <c r="W24" s="1575"/>
      <c r="X24" s="1568"/>
      <c r="Y24" s="3432"/>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32"/>
      <c r="Q25" s="1573" t="str">
        <f>B25</f>
        <v>毗邻道路的类型与等级</v>
      </c>
      <c r="R25" s="1574" t="s">
        <v>8</v>
      </c>
      <c r="S25" s="1575">
        <f>F25</f>
        <v>100</v>
      </c>
      <c r="T25" s="1574" t="s">
        <v>8</v>
      </c>
      <c r="U25" s="1575">
        <f>H25</f>
        <v>100</v>
      </c>
      <c r="V25" s="1574" t="s">
        <v>8</v>
      </c>
      <c r="W25" s="1575">
        <f>J25</f>
        <v>100</v>
      </c>
      <c r="X25" s="1568"/>
      <c r="Y25" s="343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432"/>
      <c r="Q26" s="1573"/>
      <c r="R26" s="1574"/>
      <c r="S26" s="1575"/>
      <c r="T26" s="1574"/>
      <c r="U26" s="1575"/>
      <c r="V26" s="1574"/>
      <c r="W26" s="1575"/>
      <c r="X26" s="1568"/>
      <c r="Y26" s="3432"/>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32"/>
      <c r="Q27" s="1573" t="str">
        <f t="shared" ref="Q27:Q47" si="8">B27</f>
        <v>楼层</v>
      </c>
      <c r="R27" s="1574" t="s">
        <v>8</v>
      </c>
      <c r="S27" s="1575">
        <f>F27</f>
        <v>100</v>
      </c>
      <c r="T27" s="1574" t="s">
        <v>8</v>
      </c>
      <c r="U27" s="1575">
        <f>H27</f>
        <v>100</v>
      </c>
      <c r="V27" s="1574" t="s">
        <v>8</v>
      </c>
      <c r="W27" s="1575">
        <f>J27</f>
        <v>100</v>
      </c>
      <c r="X27" s="1568"/>
      <c r="Y27" s="3432"/>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32"/>
      <c r="Q28" s="1151" t="str">
        <f t="shared" si="8"/>
        <v>朝向</v>
      </c>
      <c r="R28" s="1569" t="s">
        <v>8</v>
      </c>
      <c r="S28" s="1570">
        <f>F28</f>
        <v>100</v>
      </c>
      <c r="T28" s="1569" t="s">
        <v>8</v>
      </c>
      <c r="U28" s="1570">
        <f>H28</f>
        <v>100</v>
      </c>
      <c r="V28" s="1569" t="s">
        <v>8</v>
      </c>
      <c r="W28" s="1570">
        <f>J28</f>
        <v>100</v>
      </c>
      <c r="X28" s="1571"/>
      <c r="Y28" s="343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32"/>
      <c r="Q29" s="1573">
        <f t="shared" si="8"/>
        <v>111</v>
      </c>
      <c r="R29" s="1574" t="s">
        <v>8</v>
      </c>
      <c r="S29" s="1575">
        <f t="shared" ref="S29:S47" si="9">F29</f>
        <v>100</v>
      </c>
      <c r="T29" s="1574" t="s">
        <v>8</v>
      </c>
      <c r="U29" s="1575">
        <f t="shared" ref="U29:U47" si="10">H29</f>
        <v>100</v>
      </c>
      <c r="V29" s="1574" t="s">
        <v>8</v>
      </c>
      <c r="W29" s="1575">
        <f t="shared" ref="W29:W47" si="11">J29</f>
        <v>100</v>
      </c>
      <c r="X29" s="1568"/>
      <c r="Y29" s="3432"/>
      <c r="Z29" s="1576">
        <f t="shared" ref="Z29:Z47" si="12">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32"/>
      <c r="Q30" s="1573">
        <f t="shared" si="8"/>
        <v>111</v>
      </c>
      <c r="R30" s="1574" t="s">
        <v>8</v>
      </c>
      <c r="S30" s="1575">
        <f t="shared" si="9"/>
        <v>100</v>
      </c>
      <c r="T30" s="1574" t="s">
        <v>8</v>
      </c>
      <c r="U30" s="1575">
        <f t="shared" si="10"/>
        <v>100</v>
      </c>
      <c r="V30" s="1574" t="s">
        <v>8</v>
      </c>
      <c r="W30" s="1575">
        <f t="shared" si="11"/>
        <v>100</v>
      </c>
      <c r="X30" s="1568"/>
      <c r="Y30" s="3432"/>
      <c r="Z30" s="1576">
        <f t="shared" si="12"/>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32"/>
      <c r="Q31" s="1573">
        <f t="shared" si="8"/>
        <v>111</v>
      </c>
      <c r="R31" s="1574" t="s">
        <v>8</v>
      </c>
      <c r="S31" s="1575">
        <f t="shared" si="9"/>
        <v>100</v>
      </c>
      <c r="T31" s="1574" t="s">
        <v>8</v>
      </c>
      <c r="U31" s="1575">
        <f t="shared" si="10"/>
        <v>100</v>
      </c>
      <c r="V31" s="1574" t="s">
        <v>8</v>
      </c>
      <c r="W31" s="1575">
        <f t="shared" si="11"/>
        <v>100</v>
      </c>
      <c r="X31" s="1568"/>
      <c r="Y31" s="3432"/>
      <c r="Z31" s="1576">
        <f t="shared" si="12"/>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32"/>
      <c r="Q32" s="1573">
        <f t="shared" si="8"/>
        <v>111</v>
      </c>
      <c r="R32" s="1574" t="s">
        <v>8</v>
      </c>
      <c r="S32" s="1575">
        <f t="shared" si="9"/>
        <v>100</v>
      </c>
      <c r="T32" s="1574" t="s">
        <v>8</v>
      </c>
      <c r="U32" s="1575">
        <f t="shared" si="10"/>
        <v>100</v>
      </c>
      <c r="V32" s="1574" t="s">
        <v>8</v>
      </c>
      <c r="W32" s="1575">
        <f t="shared" si="11"/>
        <v>100</v>
      </c>
      <c r="X32" s="1568"/>
      <c r="Y32" s="3432"/>
      <c r="Z32" s="1576">
        <f t="shared" si="12"/>
        <v>111</v>
      </c>
      <c r="AA32" s="1577">
        <f t="shared" si="3"/>
        <v>1</v>
      </c>
      <c r="AB32" s="1577">
        <f t="shared" si="4"/>
        <v>1</v>
      </c>
      <c r="AC32" s="1577">
        <f t="shared" si="5"/>
        <v>1</v>
      </c>
    </row>
    <row r="33" spans="1:29" ht="15">
      <c r="A33" s="2931"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33" t="s">
        <v>550</v>
      </c>
      <c r="Q33" s="1573" t="str">
        <f t="shared" si="8"/>
        <v>建筑类型</v>
      </c>
      <c r="R33" s="1574" t="s">
        <v>8</v>
      </c>
      <c r="S33" s="1575">
        <f t="shared" si="9"/>
        <v>100</v>
      </c>
      <c r="T33" s="1574" t="s">
        <v>8</v>
      </c>
      <c r="U33" s="1575">
        <f t="shared" si="10"/>
        <v>100</v>
      </c>
      <c r="V33" s="1574" t="s">
        <v>8</v>
      </c>
      <c r="W33" s="1575">
        <f t="shared" si="11"/>
        <v>100</v>
      </c>
      <c r="X33" s="1568"/>
      <c r="Y33" s="3434" t="s">
        <v>550</v>
      </c>
      <c r="Z33" s="1576" t="str">
        <f t="shared" si="12"/>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34"/>
      <c r="Q34" s="1606" t="str">
        <f t="shared" si="8"/>
        <v>项目建筑规模</v>
      </c>
      <c r="R34" s="1578" t="s">
        <v>8</v>
      </c>
      <c r="S34" s="1579" t="e">
        <f t="shared" si="9"/>
        <v>#N/A</v>
      </c>
      <c r="T34" s="1578" t="s">
        <v>8</v>
      </c>
      <c r="U34" s="1579" t="e">
        <f t="shared" si="10"/>
        <v>#N/A</v>
      </c>
      <c r="V34" s="1578" t="s">
        <v>8</v>
      </c>
      <c r="W34" s="1579" t="e">
        <f t="shared" si="11"/>
        <v>#N/A</v>
      </c>
      <c r="X34" s="1580"/>
      <c r="Y34" s="3434"/>
      <c r="Z34" s="1581" t="str">
        <f t="shared" si="12"/>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34"/>
      <c r="Q35" s="1573" t="str">
        <f t="shared" si="8"/>
        <v>建筑结构</v>
      </c>
      <c r="R35" s="1574" t="s">
        <v>8</v>
      </c>
      <c r="S35" s="1575">
        <f t="shared" si="9"/>
        <v>100</v>
      </c>
      <c r="T35" s="1574" t="s">
        <v>8</v>
      </c>
      <c r="U35" s="1575">
        <f t="shared" si="10"/>
        <v>100</v>
      </c>
      <c r="V35" s="1574" t="s">
        <v>8</v>
      </c>
      <c r="W35" s="1575">
        <f t="shared" si="11"/>
        <v>100</v>
      </c>
      <c r="X35" s="1568"/>
      <c r="Y35" s="3434"/>
      <c r="Z35" s="1576" t="str">
        <f t="shared" si="12"/>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34"/>
      <c r="Q36" s="1573" t="str">
        <f t="shared" si="8"/>
        <v>公共部分装修</v>
      </c>
      <c r="R36" s="1574" t="s">
        <v>8</v>
      </c>
      <c r="S36" s="1575">
        <f t="shared" si="9"/>
        <v>100</v>
      </c>
      <c r="T36" s="1574" t="s">
        <v>8</v>
      </c>
      <c r="U36" s="1575">
        <f t="shared" si="10"/>
        <v>100</v>
      </c>
      <c r="V36" s="1574" t="s">
        <v>8</v>
      </c>
      <c r="W36" s="1575">
        <f t="shared" si="11"/>
        <v>100</v>
      </c>
      <c r="X36" s="1568"/>
      <c r="Y36" s="3434"/>
      <c r="Z36" s="1576" t="str">
        <f t="shared" si="12"/>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34"/>
      <c r="Q37" s="1573" t="str">
        <f t="shared" si="8"/>
        <v>成新度</v>
      </c>
      <c r="R37" s="1574" t="s">
        <v>8</v>
      </c>
      <c r="S37" s="1575" t="e">
        <f t="shared" si="9"/>
        <v>#N/A</v>
      </c>
      <c r="T37" s="1574" t="s">
        <v>8</v>
      </c>
      <c r="U37" s="1575" t="e">
        <f t="shared" si="10"/>
        <v>#N/A</v>
      </c>
      <c r="V37" s="1574" t="s">
        <v>8</v>
      </c>
      <c r="W37" s="1575" t="e">
        <f t="shared" si="11"/>
        <v>#N/A</v>
      </c>
      <c r="X37" s="1568"/>
      <c r="Y37" s="3434"/>
      <c r="Z37" s="1576" t="str">
        <f t="shared" si="12"/>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34"/>
      <c r="Q38" s="1151" t="str">
        <f t="shared" si="8"/>
        <v>写字楼等级</v>
      </c>
      <c r="R38" s="1569" t="s">
        <v>8</v>
      </c>
      <c r="S38" s="1570">
        <f t="shared" si="9"/>
        <v>100</v>
      </c>
      <c r="T38" s="1569" t="s">
        <v>8</v>
      </c>
      <c r="U38" s="1570">
        <f t="shared" si="10"/>
        <v>100</v>
      </c>
      <c r="V38" s="1569" t="s">
        <v>8</v>
      </c>
      <c r="W38" s="1570">
        <f t="shared" si="11"/>
        <v>100</v>
      </c>
      <c r="X38" s="1571"/>
      <c r="Y38" s="3434"/>
      <c r="Z38" s="1150" t="str">
        <f t="shared" si="12"/>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34" t="s">
        <v>550</v>
      </c>
      <c r="Q39" s="1573" t="str">
        <f t="shared" si="8"/>
        <v>物业管理</v>
      </c>
      <c r="R39" s="1574" t="s">
        <v>8</v>
      </c>
      <c r="S39" s="1575">
        <f t="shared" si="9"/>
        <v>100</v>
      </c>
      <c r="T39" s="1574" t="s">
        <v>8</v>
      </c>
      <c r="U39" s="1575">
        <f t="shared" si="10"/>
        <v>100</v>
      </c>
      <c r="V39" s="1574" t="s">
        <v>8</v>
      </c>
      <c r="W39" s="1575">
        <f t="shared" si="11"/>
        <v>100</v>
      </c>
      <c r="X39" s="1568"/>
      <c r="Y39" s="3434" t="s">
        <v>550</v>
      </c>
      <c r="Z39" s="1576" t="str">
        <f t="shared" si="12"/>
        <v>物业管理</v>
      </c>
      <c r="AA39" s="1577">
        <f t="shared" si="3"/>
        <v>1</v>
      </c>
      <c r="AB39" s="1577">
        <f t="shared" si="4"/>
        <v>1</v>
      </c>
      <c r="AC39" s="1577">
        <f t="shared" si="5"/>
        <v>1</v>
      </c>
    </row>
    <row r="40" spans="1:29" ht="15">
      <c r="A40" s="594"/>
      <c r="B40" s="1895"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34"/>
      <c r="Q40" s="1573" t="str">
        <f t="shared" si="8"/>
        <v>市政基础设施</v>
      </c>
      <c r="R40" s="1574" t="s">
        <v>8</v>
      </c>
      <c r="S40" s="1575">
        <f t="shared" si="9"/>
        <v>100</v>
      </c>
      <c r="T40" s="1574" t="s">
        <v>8</v>
      </c>
      <c r="U40" s="1575">
        <f t="shared" si="10"/>
        <v>100</v>
      </c>
      <c r="V40" s="1574" t="s">
        <v>8</v>
      </c>
      <c r="W40" s="1575">
        <f t="shared" si="11"/>
        <v>100</v>
      </c>
      <c r="X40" s="1568"/>
      <c r="Y40" s="3434"/>
      <c r="Z40" s="1576" t="str">
        <f t="shared" si="12"/>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34"/>
      <c r="Q41" s="1573" t="str">
        <f t="shared" si="8"/>
        <v>层高</v>
      </c>
      <c r="R41" s="1574" t="s">
        <v>8</v>
      </c>
      <c r="S41" s="1575">
        <f t="shared" si="9"/>
        <v>100</v>
      </c>
      <c r="T41" s="1574" t="s">
        <v>8</v>
      </c>
      <c r="U41" s="1575">
        <f t="shared" si="10"/>
        <v>100</v>
      </c>
      <c r="V41" s="1574" t="s">
        <v>8</v>
      </c>
      <c r="W41" s="1575">
        <f t="shared" si="11"/>
        <v>100</v>
      </c>
      <c r="X41" s="1568"/>
      <c r="Y41" s="3434"/>
      <c r="Z41" s="1576" t="str">
        <f t="shared" si="12"/>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34"/>
      <c r="Q42" s="1606" t="str">
        <f t="shared" si="8"/>
        <v>单套建筑面积</v>
      </c>
      <c r="R42" s="1578" t="s">
        <v>8</v>
      </c>
      <c r="S42" s="1579">
        <f t="shared" si="9"/>
        <v>100</v>
      </c>
      <c r="T42" s="1578" t="s">
        <v>8</v>
      </c>
      <c r="U42" s="1579">
        <f t="shared" si="10"/>
        <v>100</v>
      </c>
      <c r="V42" s="1578" t="s">
        <v>8</v>
      </c>
      <c r="W42" s="1579">
        <f t="shared" si="11"/>
        <v>100</v>
      </c>
      <c r="X42" s="1580"/>
      <c r="Y42" s="3434"/>
      <c r="Z42" s="1581" t="str">
        <f t="shared" si="12"/>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34"/>
      <c r="Q43" s="1573" t="str">
        <f t="shared" si="8"/>
        <v>内部装修</v>
      </c>
      <c r="R43" s="1574" t="s">
        <v>8</v>
      </c>
      <c r="S43" s="1575">
        <f t="shared" si="9"/>
        <v>100</v>
      </c>
      <c r="T43" s="1574" t="s">
        <v>8</v>
      </c>
      <c r="U43" s="1575">
        <f t="shared" si="10"/>
        <v>100</v>
      </c>
      <c r="V43" s="1574" t="s">
        <v>8</v>
      </c>
      <c r="W43" s="1575">
        <f t="shared" si="11"/>
        <v>100</v>
      </c>
      <c r="X43" s="1568"/>
      <c r="Y43" s="3434"/>
      <c r="Z43" s="1576" t="str">
        <f t="shared" si="12"/>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34"/>
      <c r="Q44" s="1573" t="str">
        <f t="shared" si="8"/>
        <v>内部装修维护情况</v>
      </c>
      <c r="R44" s="1574" t="s">
        <v>8</v>
      </c>
      <c r="S44" s="1575">
        <f t="shared" si="9"/>
        <v>100</v>
      </c>
      <c r="T44" s="1574" t="s">
        <v>8</v>
      </c>
      <c r="U44" s="1575">
        <f t="shared" si="10"/>
        <v>100</v>
      </c>
      <c r="V44" s="1574" t="s">
        <v>8</v>
      </c>
      <c r="W44" s="1575">
        <f t="shared" si="11"/>
        <v>100</v>
      </c>
      <c r="X44" s="1568"/>
      <c r="Y44" s="3434"/>
      <c r="Z44" s="1576" t="str">
        <f t="shared" si="12"/>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34"/>
      <c r="Q45" s="1151">
        <f t="shared" si="8"/>
        <v>111</v>
      </c>
      <c r="R45" s="1569" t="s">
        <v>8</v>
      </c>
      <c r="S45" s="1570">
        <f t="shared" si="9"/>
        <v>100</v>
      </c>
      <c r="T45" s="1569" t="s">
        <v>8</v>
      </c>
      <c r="U45" s="1570">
        <f t="shared" si="10"/>
        <v>100</v>
      </c>
      <c r="V45" s="1569" t="s">
        <v>8</v>
      </c>
      <c r="W45" s="1570">
        <f t="shared" si="11"/>
        <v>100</v>
      </c>
      <c r="X45" s="1571"/>
      <c r="Y45" s="3434"/>
      <c r="Z45" s="1150">
        <f t="shared" si="12"/>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34"/>
      <c r="Q46" s="1573">
        <f t="shared" si="8"/>
        <v>111</v>
      </c>
      <c r="R46" s="1574" t="s">
        <v>8</v>
      </c>
      <c r="S46" s="1575">
        <f t="shared" si="9"/>
        <v>100</v>
      </c>
      <c r="T46" s="1574" t="s">
        <v>8</v>
      </c>
      <c r="U46" s="1575">
        <f t="shared" si="10"/>
        <v>100</v>
      </c>
      <c r="V46" s="1574" t="s">
        <v>8</v>
      </c>
      <c r="W46" s="1575">
        <f t="shared" si="11"/>
        <v>100</v>
      </c>
      <c r="X46" s="1568"/>
      <c r="Y46" s="3434"/>
      <c r="Z46" s="1576">
        <f t="shared" si="12"/>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10"/>
      <c r="Q47" s="1573">
        <f t="shared" si="8"/>
        <v>111</v>
      </c>
      <c r="R47" s="1574" t="s">
        <v>8</v>
      </c>
      <c r="S47" s="1575">
        <f t="shared" si="9"/>
        <v>100</v>
      </c>
      <c r="T47" s="1574" t="s">
        <v>8</v>
      </c>
      <c r="U47" s="1575">
        <f t="shared" si="10"/>
        <v>100</v>
      </c>
      <c r="V47" s="1574" t="s">
        <v>8</v>
      </c>
      <c r="W47" s="1575">
        <f t="shared" si="11"/>
        <v>100</v>
      </c>
      <c r="X47" s="1568"/>
      <c r="Y47" s="3510"/>
      <c r="Z47" s="1576">
        <f t="shared" si="12"/>
        <v>111</v>
      </c>
      <c r="AA47" s="1577">
        <f t="shared" si="3"/>
        <v>1</v>
      </c>
      <c r="AB47" s="1577">
        <f t="shared" si="4"/>
        <v>1</v>
      </c>
      <c r="AC47" s="1577">
        <f t="shared" si="5"/>
        <v>1</v>
      </c>
    </row>
    <row r="48" spans="1:29" ht="15">
      <c r="A48" s="607" t="s">
        <v>736</v>
      </c>
      <c r="B48" s="887"/>
      <c r="C48" s="2651" t="s">
        <v>1</v>
      </c>
      <c r="D48" s="2652"/>
      <c r="E48" s="2653"/>
      <c r="F48" s="2654"/>
      <c r="G48" s="2655"/>
      <c r="H48" s="2656"/>
      <c r="I48" s="2653"/>
      <c r="J48" s="2656"/>
      <c r="K48" s="1612"/>
      <c r="L48" s="2144"/>
      <c r="M48" s="2134"/>
      <c r="N48" s="2134"/>
      <c r="O48" s="2134"/>
      <c r="P48" s="3393" t="str">
        <f>A48</f>
        <v>成交单价（元/平方米）</v>
      </c>
      <c r="Q48" s="3395"/>
      <c r="R48" s="3509">
        <f>E48</f>
        <v>0</v>
      </c>
      <c r="S48" s="3509"/>
      <c r="T48" s="3509">
        <f>G48</f>
        <v>0</v>
      </c>
      <c r="U48" s="3509"/>
      <c r="V48" s="3509">
        <f>I48</f>
        <v>0</v>
      </c>
      <c r="W48" s="3509"/>
      <c r="X48" s="1560"/>
      <c r="Y48" s="1582"/>
      <c r="Z48" s="1560"/>
      <c r="AA48" s="1560"/>
      <c r="AB48" s="1560"/>
      <c r="AC48" s="1560"/>
    </row>
    <row r="49" spans="1:29" ht="15.75" thickBot="1">
      <c r="A49" s="615" t="s">
        <v>2760</v>
      </c>
      <c r="B49" s="888"/>
      <c r="C49" s="2657" t="e">
        <f>R50</f>
        <v>#DIV/0!</v>
      </c>
      <c r="D49" s="2658"/>
      <c r="E49" s="2659" t="e">
        <f>R49</f>
        <v>#DIV/0!</v>
      </c>
      <c r="F49" s="2659"/>
      <c r="G49" s="2657" t="e">
        <f>T49</f>
        <v>#DIV/0!</v>
      </c>
      <c r="H49" s="2658"/>
      <c r="I49" s="2659" t="e">
        <f>V49</f>
        <v>#DIV/0!</v>
      </c>
      <c r="J49" s="2658"/>
      <c r="K49" s="1613"/>
      <c r="L49" s="2144"/>
      <c r="M49" s="2134"/>
      <c r="N49" s="2134"/>
      <c r="O49" s="2134"/>
      <c r="P49" s="3393" t="str">
        <f>A49</f>
        <v>比较价格（元/平方米）</v>
      </c>
      <c r="Q49" s="3395"/>
      <c r="R49" s="3509" t="e">
        <f>IF(F1="售价",ROUND(PRODUCT(R48,AA7:AA47),0),ROUND(PRODUCT(R48,AA7:AA47),1))</f>
        <v>#DIV/0!</v>
      </c>
      <c r="S49" s="3509"/>
      <c r="T49" s="3509" t="e">
        <f>IF(F1="售价",ROUND(PRODUCT(T48,AB7:AB47),0),ROUND(PRODUCT(T48,AB7:AB47),1))</f>
        <v>#DIV/0!</v>
      </c>
      <c r="U49" s="3509"/>
      <c r="V49" s="3509" t="e">
        <f>IF(F1="售价",ROUND(PRODUCT(V48,AC7:AC47),0),ROUND(PRODUCT(V48,AC7:AC47),1))</f>
        <v>#DIV/0!</v>
      </c>
      <c r="W49" s="3509"/>
      <c r="X49" s="1560"/>
      <c r="Y49" s="1560"/>
      <c r="Z49" s="1560"/>
      <c r="AA49" s="1560"/>
      <c r="AB49" s="1560"/>
      <c r="AC49" s="1560"/>
    </row>
    <row r="50" spans="1:29" ht="15.75" thickBot="1">
      <c r="A50" s="621" t="s">
        <v>2932</v>
      </c>
      <c r="B50" s="622"/>
      <c r="C50" s="2660" t="e">
        <f>R50</f>
        <v>#DIV/0!</v>
      </c>
      <c r="D50" s="2660"/>
      <c r="E50" s="2660"/>
      <c r="F50" s="2660"/>
      <c r="G50" s="2660"/>
      <c r="H50" s="2660"/>
      <c r="I50" s="2660"/>
      <c r="J50" s="2660"/>
      <c r="K50" s="1614"/>
      <c r="L50" s="2144"/>
      <c r="M50" s="2134"/>
      <c r="N50" s="2134"/>
      <c r="O50" s="2134"/>
      <c r="P50" s="3596" t="str">
        <f>A50</f>
        <v>估价对象XX用房的比较价格（楼面单价，元/平方米）</v>
      </c>
      <c r="Q50" s="3393"/>
      <c r="R50" s="3508" t="e">
        <f>IF(F1="售价",ROUND(AVERAGE(R49:V49),0),ROUND(AVERAGE(R49:V49),1))</f>
        <v>#DIV/0!</v>
      </c>
      <c r="S50" s="3508"/>
      <c r="T50" s="3508"/>
      <c r="U50" s="3508"/>
      <c r="V50" s="3508"/>
      <c r="W50" s="3508"/>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826" t="str">
        <f>YEAR(C7)&amp;"-"&amp;MONTH(C7)</f>
        <v>2018-5</v>
      </c>
      <c r="D59" s="2828">
        <f>EDATE(C59,-1)</f>
        <v>43191</v>
      </c>
      <c r="E59" s="2828">
        <f t="shared" ref="E59:O59" si="13">EDATE(D59,-1)</f>
        <v>43160</v>
      </c>
      <c r="F59" s="2828">
        <f t="shared" si="13"/>
        <v>43132</v>
      </c>
      <c r="G59" s="2828">
        <f t="shared" si="13"/>
        <v>43101</v>
      </c>
      <c r="H59" s="2828">
        <f t="shared" si="13"/>
        <v>43070</v>
      </c>
      <c r="I59" s="2828">
        <f t="shared" si="13"/>
        <v>43040</v>
      </c>
      <c r="J59" s="2828">
        <f t="shared" si="13"/>
        <v>43009</v>
      </c>
      <c r="K59" s="2828">
        <f t="shared" si="13"/>
        <v>42979</v>
      </c>
      <c r="L59" s="2828">
        <f t="shared" si="13"/>
        <v>42948</v>
      </c>
      <c r="M59" s="2828">
        <f t="shared" si="13"/>
        <v>42917</v>
      </c>
      <c r="N59" s="2828">
        <f t="shared" si="13"/>
        <v>42887</v>
      </c>
      <c r="O59" s="2828">
        <f t="shared" si="13"/>
        <v>42856</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2557</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2558</v>
      </c>
      <c r="C83" s="2622" t="s">
        <v>2559</v>
      </c>
      <c r="D83" s="2622" t="s">
        <v>2560</v>
      </c>
      <c r="E83" s="2622" t="s">
        <v>2561</v>
      </c>
      <c r="F83" s="2622" t="s">
        <v>2562</v>
      </c>
      <c r="G83" s="2622" t="s">
        <v>2563</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2556</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3" priority="16" stopIfTrue="1" operator="containsText" text="超过">
      <formula>NOT(ISERROR(SEARCH("超过",F53)))</formula>
    </cfRule>
  </conditionalFormatting>
  <conditionalFormatting sqref="H55">
    <cfRule type="containsText" dxfId="62" priority="15" stopIfTrue="1" operator="containsText" text="超过">
      <formula>NOT(ISERROR(SEARCH("超过",H55)))</formula>
    </cfRule>
  </conditionalFormatting>
  <conditionalFormatting sqref="F55">
    <cfRule type="containsText" dxfId="61" priority="14" stopIfTrue="1" operator="containsText" text="超过">
      <formula>NOT(ISERROR(SEARCH("超过",F55)))</formula>
    </cfRule>
  </conditionalFormatting>
  <conditionalFormatting sqref="F54 H54">
    <cfRule type="containsText" dxfId="60" priority="13" stopIfTrue="1" operator="containsText" text="超过">
      <formula>NOT(ISERROR(SEARCH("超过",F54)))</formula>
    </cfRule>
  </conditionalFormatting>
  <conditionalFormatting sqref="E53">
    <cfRule type="expression" dxfId="59" priority="12" stopIfTrue="1">
      <formula>$F$53="超过30%"</formula>
    </cfRule>
  </conditionalFormatting>
  <conditionalFormatting sqref="E54">
    <cfRule type="expression" dxfId="58" priority="11" stopIfTrue="1">
      <formula>$F$54="超过20%"</formula>
    </cfRule>
  </conditionalFormatting>
  <conditionalFormatting sqref="E55">
    <cfRule type="expression" dxfId="57" priority="10" stopIfTrue="1">
      <formula>$F$55="超过30%"</formula>
    </cfRule>
  </conditionalFormatting>
  <conditionalFormatting sqref="G55">
    <cfRule type="expression" dxfId="56" priority="9" stopIfTrue="1">
      <formula>$H$55="超过30%"</formula>
    </cfRule>
  </conditionalFormatting>
  <conditionalFormatting sqref="G53">
    <cfRule type="expression" dxfId="55" priority="8" stopIfTrue="1">
      <formula>$H$53="超过30%"</formula>
    </cfRule>
  </conditionalFormatting>
  <conditionalFormatting sqref="G54">
    <cfRule type="expression" dxfId="54" priority="7" stopIfTrue="1">
      <formula>$H$54="超过20%"</formula>
    </cfRule>
  </conditionalFormatting>
  <conditionalFormatting sqref="J53">
    <cfRule type="containsText" dxfId="53" priority="6" stopIfTrue="1" operator="containsText" text="超过">
      <formula>NOT(ISERROR(SEARCH("超过",J53)))</formula>
    </cfRule>
  </conditionalFormatting>
  <conditionalFormatting sqref="J55">
    <cfRule type="containsText" dxfId="52" priority="5" stopIfTrue="1" operator="containsText" text="超过">
      <formula>NOT(ISERROR(SEARCH("超过",J55)))</formula>
    </cfRule>
  </conditionalFormatting>
  <conditionalFormatting sqref="J54">
    <cfRule type="containsText" dxfId="51" priority="4" stopIfTrue="1" operator="containsText" text="超过">
      <formula>NOT(ISERROR(SEARCH("超过",J54)))</formula>
    </cfRule>
  </conditionalFormatting>
  <conditionalFormatting sqref="I53">
    <cfRule type="expression" dxfId="50" priority="3" stopIfTrue="1">
      <formula>$J$53="超过30%"</formula>
    </cfRule>
  </conditionalFormatting>
  <conditionalFormatting sqref="I54">
    <cfRule type="expression" dxfId="49" priority="2" stopIfTrue="1">
      <formula>$J$53+$J$54="超过20%"</formula>
    </cfRule>
  </conditionalFormatting>
  <conditionalFormatting sqref="I55">
    <cfRule type="expression" dxfId="4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1"/>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401" t="s">
        <v>522</v>
      </c>
      <c r="D4" s="3402"/>
      <c r="E4" s="3438" t="s">
        <v>523</v>
      </c>
      <c r="F4" s="3439"/>
      <c r="G4" s="3401" t="s">
        <v>524</v>
      </c>
      <c r="H4" s="3402"/>
      <c r="I4" s="3401" t="s">
        <v>525</v>
      </c>
      <c r="J4" s="3402"/>
      <c r="K4" s="514" t="s">
        <v>526</v>
      </c>
      <c r="L4" s="2133"/>
      <c r="M4" s="2134"/>
      <c r="N4" s="2134"/>
      <c r="O4" s="2134"/>
      <c r="P4" s="3403" t="s">
        <v>527</v>
      </c>
      <c r="Q4" s="3404"/>
      <c r="R4" s="3409" t="s">
        <v>523</v>
      </c>
      <c r="S4" s="3410"/>
      <c r="T4" s="3409" t="s">
        <v>524</v>
      </c>
      <c r="U4" s="3410"/>
      <c r="V4" s="3396" t="s">
        <v>525</v>
      </c>
      <c r="W4" s="3396"/>
      <c r="X4" s="1568"/>
      <c r="Y4" s="3409" t="s">
        <v>527</v>
      </c>
      <c r="Z4" s="3410"/>
      <c r="AA4" s="3398" t="s">
        <v>523</v>
      </c>
      <c r="AB4" s="3399" t="s">
        <v>524</v>
      </c>
      <c r="AC4" s="3398" t="s">
        <v>525</v>
      </c>
    </row>
    <row r="5" spans="1:29" ht="15">
      <c r="A5" s="515"/>
      <c r="B5" s="516"/>
      <c r="C5" s="3419" t="s">
        <v>2926</v>
      </c>
      <c r="D5" s="3418"/>
      <c r="E5" s="3440" t="s">
        <v>2927</v>
      </c>
      <c r="F5" s="3441"/>
      <c r="G5" s="3419" t="s">
        <v>2928</v>
      </c>
      <c r="H5" s="3418"/>
      <c r="I5" s="3419" t="s">
        <v>2929</v>
      </c>
      <c r="J5" s="3418"/>
      <c r="K5" s="514"/>
      <c r="L5" s="2133"/>
      <c r="M5" s="2134"/>
      <c r="N5" s="2134"/>
      <c r="O5" s="2134"/>
      <c r="P5" s="3405"/>
      <c r="Q5" s="3406"/>
      <c r="R5" s="3411"/>
      <c r="S5" s="3412"/>
      <c r="T5" s="3411"/>
      <c r="U5" s="3412"/>
      <c r="V5" s="3396"/>
      <c r="W5" s="3396"/>
      <c r="X5" s="1568"/>
      <c r="Y5" s="3411"/>
      <c r="Z5" s="3412"/>
      <c r="AA5" s="3399"/>
      <c r="AB5" s="3399"/>
      <c r="AC5" s="3399"/>
    </row>
    <row r="6" spans="1:29" ht="15.75" thickBot="1">
      <c r="A6" s="517"/>
      <c r="B6" s="518"/>
      <c r="C6" s="3435" t="s">
        <v>2930</v>
      </c>
      <c r="D6" s="3416"/>
      <c r="E6" s="3436" t="s">
        <v>2930</v>
      </c>
      <c r="F6" s="3437"/>
      <c r="G6" s="3435" t="s">
        <v>2930</v>
      </c>
      <c r="H6" s="3416"/>
      <c r="I6" s="3435" t="s">
        <v>2930</v>
      </c>
      <c r="J6" s="3416"/>
      <c r="K6" s="514" t="s">
        <v>528</v>
      </c>
      <c r="L6" s="2133"/>
      <c r="M6" s="2134"/>
      <c r="N6" s="2134"/>
      <c r="O6" s="2134"/>
      <c r="P6" s="3407"/>
      <c r="Q6" s="3408"/>
      <c r="R6" s="3411"/>
      <c r="S6" s="3412"/>
      <c r="T6" s="3413"/>
      <c r="U6" s="3414"/>
      <c r="V6" s="3396"/>
      <c r="W6" s="3396"/>
      <c r="X6" s="1568"/>
      <c r="Y6" s="3413"/>
      <c r="Z6" s="3414"/>
      <c r="AA6" s="3400"/>
      <c r="AB6" s="3400"/>
      <c r="AC6" s="3400"/>
    </row>
    <row r="7" spans="1:29" s="1220" customFormat="1" ht="15.75" thickBot="1">
      <c r="A7" s="2936"/>
      <c r="B7" s="2943" t="s">
        <v>529</v>
      </c>
      <c r="C7" s="519">
        <f>'数据-取费表'!B2</f>
        <v>43244</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28" t="s">
        <v>530</v>
      </c>
      <c r="Q7" s="3430"/>
      <c r="R7" s="1569" t="s">
        <v>8</v>
      </c>
      <c r="S7" s="1570">
        <f t="shared" ref="S7:S15" si="0">F7</f>
        <v>0</v>
      </c>
      <c r="T7" s="1569" t="s">
        <v>8</v>
      </c>
      <c r="U7" s="1570">
        <f t="shared" ref="U7:U15" si="1">H7</f>
        <v>0</v>
      </c>
      <c r="V7" s="1569" t="s">
        <v>8</v>
      </c>
      <c r="W7" s="1570">
        <f t="shared" ref="W7:W15" si="2">J7</f>
        <v>0</v>
      </c>
      <c r="X7" s="1571"/>
      <c r="Y7" s="3428" t="s">
        <v>530</v>
      </c>
      <c r="Z7" s="3429"/>
      <c r="AA7" s="1572" t="e">
        <f>D7/F7</f>
        <v>#DIV/0!</v>
      </c>
      <c r="AB7" s="1572" t="e">
        <f>D7/H7</f>
        <v>#DIV/0!</v>
      </c>
      <c r="AC7" s="1572" t="e">
        <f>D7/J7</f>
        <v>#DIV/0!</v>
      </c>
    </row>
    <row r="8" spans="1:29" s="1220" customFormat="1" ht="15.75" thickBot="1">
      <c r="A8" s="2937"/>
      <c r="B8" s="2944"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28" t="s">
        <v>533</v>
      </c>
      <c r="Q8" s="3429"/>
      <c r="R8" s="1569" t="s">
        <v>8</v>
      </c>
      <c r="S8" s="1570">
        <f t="shared" si="0"/>
        <v>0</v>
      </c>
      <c r="T8" s="1569" t="s">
        <v>8</v>
      </c>
      <c r="U8" s="1570">
        <f t="shared" si="1"/>
        <v>0</v>
      </c>
      <c r="V8" s="1569" t="s">
        <v>8</v>
      </c>
      <c r="W8" s="1570">
        <f t="shared" si="2"/>
        <v>0</v>
      </c>
      <c r="X8" s="1571"/>
      <c r="Y8" s="3428" t="s">
        <v>533</v>
      </c>
      <c r="Z8" s="3429"/>
      <c r="AA8" s="1572" t="e">
        <f t="shared" ref="AA8:AA40" si="3">D8/F8</f>
        <v>#DIV/0!</v>
      </c>
      <c r="AB8" s="1572" t="e">
        <f t="shared" ref="AB8:AB40" si="4">D8/H8</f>
        <v>#DIV/0!</v>
      </c>
      <c r="AC8" s="1572" t="e">
        <f t="shared" ref="AC8:AC40" si="5">D8/J8</f>
        <v>#DIV/0!</v>
      </c>
    </row>
    <row r="9" spans="1:29" s="1220" customFormat="1" ht="15">
      <c r="A9" s="2938"/>
      <c r="B9" s="2945" t="s">
        <v>2756</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95" t="s">
        <v>535</v>
      </c>
      <c r="Q9" s="1151" t="str">
        <f t="shared" ref="Q9:Q15" si="6">B9</f>
        <v>用途</v>
      </c>
      <c r="R9" s="1569" t="s">
        <v>8</v>
      </c>
      <c r="S9" s="1570">
        <f t="shared" si="0"/>
        <v>100</v>
      </c>
      <c r="T9" s="1569" t="s">
        <v>8</v>
      </c>
      <c r="U9" s="1570">
        <f t="shared" si="1"/>
        <v>100</v>
      </c>
      <c r="V9" s="1569" t="s">
        <v>8</v>
      </c>
      <c r="W9" s="1570">
        <f t="shared" si="2"/>
        <v>100</v>
      </c>
      <c r="X9" s="1571"/>
      <c r="Y9" s="3341" t="s">
        <v>536</v>
      </c>
      <c r="Z9" s="1150" t="str">
        <f t="shared" ref="Z9:Z15" si="7">Q9</f>
        <v>用途</v>
      </c>
      <c r="AA9" s="1572">
        <f t="shared" si="3"/>
        <v>1</v>
      </c>
      <c r="AB9" s="1572">
        <f t="shared" si="4"/>
        <v>1</v>
      </c>
      <c r="AC9" s="1572">
        <f t="shared" si="5"/>
        <v>1</v>
      </c>
    </row>
    <row r="10" spans="1:29" s="1338" customFormat="1" ht="27">
      <c r="A10" s="2939"/>
      <c r="B10" s="2944" t="s">
        <v>2757</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95"/>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40"/>
      <c r="B11" s="2944"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95"/>
      <c r="Q11" s="1151" t="str">
        <f t="shared" si="6"/>
        <v>容积率</v>
      </c>
      <c r="R11" s="1569" t="s">
        <v>8</v>
      </c>
      <c r="S11" s="1570" t="e">
        <f t="shared" si="0"/>
        <v>#N/A</v>
      </c>
      <c r="T11" s="1569" t="s">
        <v>8</v>
      </c>
      <c r="U11" s="1570" t="e">
        <f t="shared" si="1"/>
        <v>#N/A</v>
      </c>
      <c r="V11" s="1569" t="s">
        <v>8</v>
      </c>
      <c r="W11" s="1570" t="e">
        <f t="shared" si="2"/>
        <v>#N/A</v>
      </c>
      <c r="X11" s="1571"/>
      <c r="Y11" s="3341"/>
      <c r="Z11" s="1150" t="str">
        <f t="shared" si="7"/>
        <v>容积率</v>
      </c>
      <c r="AA11" s="1572" t="e">
        <f t="shared" si="3"/>
        <v>#N/A</v>
      </c>
      <c r="AB11" s="1572" t="e">
        <f t="shared" si="4"/>
        <v>#N/A</v>
      </c>
      <c r="AC11" s="1572" t="e">
        <f t="shared" si="5"/>
        <v>#N/A</v>
      </c>
    </row>
    <row r="12" spans="1:29" s="1220" customFormat="1" ht="15">
      <c r="A12" s="2941"/>
      <c r="B12" s="2947">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95"/>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
      <c r="A13" s="2941"/>
      <c r="B13" s="2947">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95"/>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15.75" thickBot="1">
      <c r="A14" s="2942"/>
      <c r="B14" s="2948">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95"/>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 t="shared" si="3"/>
        <v>1</v>
      </c>
      <c r="AB14" s="1572">
        <f t="shared" si="4"/>
        <v>1</v>
      </c>
      <c r="AC14" s="1572">
        <f t="shared" si="5"/>
        <v>1</v>
      </c>
    </row>
    <row r="15" spans="1:29" ht="57">
      <c r="A15" s="2934"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31" t="s">
        <v>540</v>
      </c>
      <c r="Q15" s="1573" t="str">
        <f t="shared" si="6"/>
        <v>产业集聚程度</v>
      </c>
      <c r="R15" s="1574" t="s">
        <v>8</v>
      </c>
      <c r="S15" s="1575">
        <f t="shared" si="0"/>
        <v>100</v>
      </c>
      <c r="T15" s="1574" t="s">
        <v>8</v>
      </c>
      <c r="U15" s="1575">
        <f t="shared" si="1"/>
        <v>100</v>
      </c>
      <c r="V15" s="1574" t="s">
        <v>8</v>
      </c>
      <c r="W15" s="1575">
        <f t="shared" si="2"/>
        <v>100</v>
      </c>
      <c r="X15" s="1568"/>
      <c r="Y15" s="3431"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32"/>
      <c r="Q16" s="1573"/>
      <c r="R16" s="1574"/>
      <c r="S16" s="1575"/>
      <c r="T16" s="1574"/>
      <c r="U16" s="1575"/>
      <c r="V16" s="1574"/>
      <c r="W16" s="1575"/>
      <c r="X16" s="1568"/>
      <c r="Y16" s="3432"/>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32"/>
      <c r="Q17" s="1573" t="str">
        <f>B17</f>
        <v>交通便捷度</v>
      </c>
      <c r="R17" s="1574" t="s">
        <v>8</v>
      </c>
      <c r="S17" s="1575">
        <f>F17</f>
        <v>100</v>
      </c>
      <c r="T17" s="1574" t="s">
        <v>8</v>
      </c>
      <c r="U17" s="1575">
        <f>H17</f>
        <v>100</v>
      </c>
      <c r="V17" s="1574" t="s">
        <v>8</v>
      </c>
      <c r="W17" s="1575">
        <f>J17</f>
        <v>100</v>
      </c>
      <c r="X17" s="1568"/>
      <c r="Y17" s="343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32"/>
      <c r="Q18" s="1573"/>
      <c r="R18" s="1574"/>
      <c r="S18" s="1575"/>
      <c r="T18" s="1574"/>
      <c r="U18" s="1575"/>
      <c r="V18" s="1574"/>
      <c r="W18" s="1575"/>
      <c r="X18" s="1568"/>
      <c r="Y18" s="3432"/>
      <c r="Z18" s="1576"/>
      <c r="AA18" s="1577">
        <v>1</v>
      </c>
      <c r="AB18" s="1577">
        <v>1</v>
      </c>
      <c r="AC18" s="1577">
        <v>1</v>
      </c>
    </row>
    <row r="19" spans="1:29" ht="42.75">
      <c r="A19" s="532"/>
      <c r="B19" s="2627"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32"/>
      <c r="Q19" s="1573" t="str">
        <f>B19</f>
        <v>公共配套设施</v>
      </c>
      <c r="R19" s="1574" t="s">
        <v>8</v>
      </c>
      <c r="S19" s="1575">
        <f>F19</f>
        <v>100</v>
      </c>
      <c r="T19" s="1574" t="s">
        <v>8</v>
      </c>
      <c r="U19" s="1575">
        <f>H19</f>
        <v>100</v>
      </c>
      <c r="V19" s="1574" t="s">
        <v>8</v>
      </c>
      <c r="W19" s="1575">
        <f>J19</f>
        <v>100</v>
      </c>
      <c r="X19" s="1568"/>
      <c r="Y19" s="343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432"/>
      <c r="Q20" s="1573"/>
      <c r="R20" s="1574"/>
      <c r="S20" s="1575"/>
      <c r="T20" s="1574"/>
      <c r="U20" s="1575"/>
      <c r="V20" s="1574"/>
      <c r="W20" s="1575"/>
      <c r="X20" s="1568"/>
      <c r="Y20" s="3432"/>
      <c r="Z20" s="1576"/>
      <c r="AA20" s="1577">
        <v>1</v>
      </c>
      <c r="AB20" s="1577">
        <v>1</v>
      </c>
      <c r="AC20" s="1577">
        <v>1</v>
      </c>
    </row>
    <row r="21" spans="1:29" ht="28.5">
      <c r="A21" s="532"/>
      <c r="B21" s="2615"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32"/>
      <c r="Q21" s="2603" t="str">
        <f>B21</f>
        <v>基础设施水平</v>
      </c>
      <c r="R21" s="1574" t="s">
        <v>8</v>
      </c>
      <c r="S21" s="1575">
        <f>F21</f>
        <v>100</v>
      </c>
      <c r="T21" s="1574" t="s">
        <v>8</v>
      </c>
      <c r="U21" s="1575">
        <f>H21</f>
        <v>100</v>
      </c>
      <c r="V21" s="1574" t="s">
        <v>8</v>
      </c>
      <c r="W21" s="1575">
        <f>J21</f>
        <v>100</v>
      </c>
      <c r="X21" s="2605"/>
      <c r="Y21" s="3432"/>
      <c r="Z21" s="2604" t="str">
        <f>Q21</f>
        <v>基础设施水平</v>
      </c>
      <c r="AA21" s="1577">
        <f>D21/F21</f>
        <v>1</v>
      </c>
      <c r="AB21" s="1577">
        <f>D21/H21</f>
        <v>1</v>
      </c>
      <c r="AC21" s="1577">
        <f>D21/J21</f>
        <v>1</v>
      </c>
    </row>
    <row r="22" spans="1:29" ht="15">
      <c r="A22" s="532"/>
      <c r="B22" s="578"/>
      <c r="C22" s="873"/>
      <c r="D22" s="555"/>
      <c r="E22" s="576"/>
      <c r="F22" s="557"/>
      <c r="G22" s="576"/>
      <c r="H22" s="555"/>
      <c r="I22" s="576"/>
      <c r="J22" s="555"/>
      <c r="K22" s="2626"/>
      <c r="L22" s="2142"/>
      <c r="M22" s="2134"/>
      <c r="N22" s="2134"/>
      <c r="O22" s="2141"/>
      <c r="P22" s="3432"/>
      <c r="Q22" s="2603"/>
      <c r="R22" s="1574"/>
      <c r="S22" s="1575"/>
      <c r="T22" s="1574"/>
      <c r="U22" s="1575"/>
      <c r="V22" s="1574"/>
      <c r="W22" s="1575"/>
      <c r="X22" s="2605"/>
      <c r="Y22" s="3432"/>
      <c r="Z22" s="2604"/>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32"/>
      <c r="Q23" s="1573" t="str">
        <f>B23</f>
        <v>环境质量</v>
      </c>
      <c r="R23" s="1574" t="s">
        <v>8</v>
      </c>
      <c r="S23" s="1575">
        <f>F23</f>
        <v>100</v>
      </c>
      <c r="T23" s="1574" t="s">
        <v>8</v>
      </c>
      <c r="U23" s="1575">
        <f>H23</f>
        <v>100</v>
      </c>
      <c r="V23" s="1574" t="s">
        <v>8</v>
      </c>
      <c r="W23" s="1575">
        <f>J23</f>
        <v>100</v>
      </c>
      <c r="X23" s="1568"/>
      <c r="Y23" s="343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432"/>
      <c r="Q24" s="1573"/>
      <c r="R24" s="1574"/>
      <c r="S24" s="1575"/>
      <c r="T24" s="1574"/>
      <c r="U24" s="1575"/>
      <c r="V24" s="1574"/>
      <c r="W24" s="1575"/>
      <c r="X24" s="1568"/>
      <c r="Y24" s="343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32"/>
      <c r="Q25" s="1573">
        <f>B25</f>
        <v>111</v>
      </c>
      <c r="R25" s="1574" t="s">
        <v>8</v>
      </c>
      <c r="S25" s="1575">
        <f>F25</f>
        <v>100</v>
      </c>
      <c r="T25" s="1574" t="s">
        <v>8</v>
      </c>
      <c r="U25" s="1575">
        <f>H25</f>
        <v>100</v>
      </c>
      <c r="V25" s="1574" t="s">
        <v>8</v>
      </c>
      <c r="W25" s="1575">
        <f>J25</f>
        <v>100</v>
      </c>
      <c r="X25" s="1568"/>
      <c r="Y25" s="343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32"/>
      <c r="Q26" s="1573">
        <f t="shared" ref="Q26:Q40" si="8">B26</f>
        <v>111</v>
      </c>
      <c r="R26" s="1574" t="s">
        <v>8</v>
      </c>
      <c r="S26" s="1575">
        <f>F26</f>
        <v>100</v>
      </c>
      <c r="T26" s="1574" t="s">
        <v>8</v>
      </c>
      <c r="U26" s="1575">
        <f>H26</f>
        <v>100</v>
      </c>
      <c r="V26" s="1574" t="s">
        <v>8</v>
      </c>
      <c r="W26" s="1575">
        <f>J26</f>
        <v>100</v>
      </c>
      <c r="X26" s="1568"/>
      <c r="Y26" s="343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32"/>
      <c r="Q27" s="1151">
        <f t="shared" si="8"/>
        <v>111</v>
      </c>
      <c r="R27" s="1569" t="s">
        <v>8</v>
      </c>
      <c r="S27" s="1570">
        <f>F27</f>
        <v>100</v>
      </c>
      <c r="T27" s="1569" t="s">
        <v>8</v>
      </c>
      <c r="U27" s="1570">
        <f>H27</f>
        <v>100</v>
      </c>
      <c r="V27" s="1569" t="s">
        <v>8</v>
      </c>
      <c r="W27" s="1570">
        <f>J27</f>
        <v>100</v>
      </c>
      <c r="X27" s="1571"/>
      <c r="Y27" s="343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32"/>
      <c r="Q28" s="1573">
        <f t="shared" si="8"/>
        <v>111</v>
      </c>
      <c r="R28" s="1574" t="s">
        <v>8</v>
      </c>
      <c r="S28" s="1575">
        <f t="shared" ref="S28:S40" si="9">F28</f>
        <v>100</v>
      </c>
      <c r="T28" s="1574" t="s">
        <v>8</v>
      </c>
      <c r="U28" s="1575">
        <f t="shared" ref="U28:U40" si="10">H28</f>
        <v>100</v>
      </c>
      <c r="V28" s="1574" t="s">
        <v>8</v>
      </c>
      <c r="W28" s="1575">
        <f t="shared" ref="W28:W40" si="11">J28</f>
        <v>100</v>
      </c>
      <c r="X28" s="1568"/>
      <c r="Y28" s="3432"/>
      <c r="Z28" s="1576">
        <f t="shared" ref="Z28:Z40" si="12">Q28</f>
        <v>111</v>
      </c>
      <c r="AA28" s="1577">
        <f t="shared" si="3"/>
        <v>1</v>
      </c>
      <c r="AB28" s="1577">
        <f t="shared" si="4"/>
        <v>1</v>
      </c>
      <c r="AC28" s="1577">
        <f t="shared" si="5"/>
        <v>1</v>
      </c>
    </row>
    <row r="29" spans="1:29" ht="15">
      <c r="A29" s="2931"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33" t="s">
        <v>550</v>
      </c>
      <c r="Q29" s="1573" t="str">
        <f t="shared" si="8"/>
        <v>建筑类型</v>
      </c>
      <c r="R29" s="1574" t="s">
        <v>8</v>
      </c>
      <c r="S29" s="1575">
        <f t="shared" si="9"/>
        <v>100</v>
      </c>
      <c r="T29" s="1574" t="s">
        <v>8</v>
      </c>
      <c r="U29" s="1575">
        <f t="shared" si="10"/>
        <v>100</v>
      </c>
      <c r="V29" s="1574" t="s">
        <v>8</v>
      </c>
      <c r="W29" s="1575">
        <f t="shared" si="11"/>
        <v>100</v>
      </c>
      <c r="X29" s="1568"/>
      <c r="Y29" s="3434" t="s">
        <v>550</v>
      </c>
      <c r="Z29" s="1576" t="str">
        <f t="shared" si="12"/>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34"/>
      <c r="Q30" s="1606" t="str">
        <f t="shared" si="8"/>
        <v>项目建筑规模</v>
      </c>
      <c r="R30" s="1578" t="s">
        <v>8</v>
      </c>
      <c r="S30" s="1579" t="e">
        <f t="shared" si="9"/>
        <v>#N/A</v>
      </c>
      <c r="T30" s="1578" t="s">
        <v>8</v>
      </c>
      <c r="U30" s="1579" t="e">
        <f t="shared" si="10"/>
        <v>#N/A</v>
      </c>
      <c r="V30" s="1578" t="s">
        <v>8</v>
      </c>
      <c r="W30" s="1579" t="e">
        <f t="shared" si="11"/>
        <v>#N/A</v>
      </c>
      <c r="X30" s="1580"/>
      <c r="Y30" s="3434"/>
      <c r="Z30" s="1581" t="str">
        <f t="shared" si="12"/>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34"/>
      <c r="Q31" s="1573" t="str">
        <f t="shared" si="8"/>
        <v>建筑结构</v>
      </c>
      <c r="R31" s="1574" t="s">
        <v>8</v>
      </c>
      <c r="S31" s="1575">
        <f t="shared" si="9"/>
        <v>100</v>
      </c>
      <c r="T31" s="1574" t="s">
        <v>8</v>
      </c>
      <c r="U31" s="1575">
        <f t="shared" si="10"/>
        <v>100</v>
      </c>
      <c r="V31" s="1574" t="s">
        <v>8</v>
      </c>
      <c r="W31" s="1575">
        <f t="shared" si="11"/>
        <v>100</v>
      </c>
      <c r="X31" s="1568"/>
      <c r="Y31" s="3434"/>
      <c r="Z31" s="1576" t="str">
        <f t="shared" si="12"/>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34"/>
      <c r="Q32" s="1573" t="str">
        <f t="shared" si="8"/>
        <v>公共部分装修</v>
      </c>
      <c r="R32" s="1574" t="s">
        <v>8</v>
      </c>
      <c r="S32" s="1575">
        <f t="shared" si="9"/>
        <v>100</v>
      </c>
      <c r="T32" s="1574" t="s">
        <v>8</v>
      </c>
      <c r="U32" s="1575">
        <f t="shared" si="10"/>
        <v>100</v>
      </c>
      <c r="V32" s="1574" t="s">
        <v>8</v>
      </c>
      <c r="W32" s="1575">
        <f t="shared" si="11"/>
        <v>100</v>
      </c>
      <c r="X32" s="1568"/>
      <c r="Y32" s="3434"/>
      <c r="Z32" s="1576" t="str">
        <f t="shared" si="12"/>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34"/>
      <c r="Q33" s="1573" t="str">
        <f t="shared" si="8"/>
        <v>成新度</v>
      </c>
      <c r="R33" s="1574" t="s">
        <v>8</v>
      </c>
      <c r="S33" s="1575" t="e">
        <f t="shared" si="9"/>
        <v>#N/A</v>
      </c>
      <c r="T33" s="1574" t="s">
        <v>8</v>
      </c>
      <c r="U33" s="1575" t="e">
        <f t="shared" si="10"/>
        <v>#N/A</v>
      </c>
      <c r="V33" s="1574" t="s">
        <v>8</v>
      </c>
      <c r="W33" s="1575" t="e">
        <f t="shared" si="11"/>
        <v>#N/A</v>
      </c>
      <c r="X33" s="1568"/>
      <c r="Y33" s="3434"/>
      <c r="Z33" s="1576" t="str">
        <f t="shared" si="12"/>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34"/>
      <c r="Q34" s="1151" t="str">
        <f t="shared" si="8"/>
        <v>物业管理</v>
      </c>
      <c r="R34" s="1569" t="s">
        <v>8</v>
      </c>
      <c r="S34" s="1570">
        <f t="shared" si="9"/>
        <v>100</v>
      </c>
      <c r="T34" s="1569" t="s">
        <v>8</v>
      </c>
      <c r="U34" s="1570">
        <f t="shared" si="10"/>
        <v>100</v>
      </c>
      <c r="V34" s="1569" t="s">
        <v>8</v>
      </c>
      <c r="W34" s="1570">
        <f t="shared" si="11"/>
        <v>100</v>
      </c>
      <c r="X34" s="1571"/>
      <c r="Y34" s="3434"/>
      <c r="Z34" s="1150" t="str">
        <f t="shared" si="12"/>
        <v>物业管理</v>
      </c>
      <c r="AA34" s="1572">
        <f t="shared" si="3"/>
        <v>1</v>
      </c>
      <c r="AB34" s="1572">
        <f t="shared" si="4"/>
        <v>1</v>
      </c>
      <c r="AC34" s="1572">
        <f t="shared" si="5"/>
        <v>1</v>
      </c>
    </row>
    <row r="35" spans="1:29" ht="15">
      <c r="A35" s="594"/>
      <c r="B35" s="1895"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34" t="s">
        <v>550</v>
      </c>
      <c r="Q35" s="1573" t="str">
        <f t="shared" si="8"/>
        <v>市政基础设施</v>
      </c>
      <c r="R35" s="1574" t="s">
        <v>8</v>
      </c>
      <c r="S35" s="1575">
        <f t="shared" si="9"/>
        <v>100</v>
      </c>
      <c r="T35" s="1574" t="s">
        <v>8</v>
      </c>
      <c r="U35" s="1575">
        <f t="shared" si="10"/>
        <v>100</v>
      </c>
      <c r="V35" s="1574" t="s">
        <v>8</v>
      </c>
      <c r="W35" s="1575">
        <f t="shared" si="11"/>
        <v>100</v>
      </c>
      <c r="X35" s="1568"/>
      <c r="Y35" s="3434" t="s">
        <v>550</v>
      </c>
      <c r="Z35" s="1576" t="str">
        <f t="shared" si="12"/>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34"/>
      <c r="Q36" s="1573" t="str">
        <f t="shared" si="8"/>
        <v>内部装修</v>
      </c>
      <c r="R36" s="1574" t="s">
        <v>8</v>
      </c>
      <c r="S36" s="1575">
        <f t="shared" si="9"/>
        <v>100</v>
      </c>
      <c r="T36" s="1574" t="s">
        <v>8</v>
      </c>
      <c r="U36" s="1575">
        <f t="shared" si="10"/>
        <v>100</v>
      </c>
      <c r="V36" s="1574" t="s">
        <v>8</v>
      </c>
      <c r="W36" s="1575">
        <f t="shared" si="11"/>
        <v>100</v>
      </c>
      <c r="X36" s="1568"/>
      <c r="Y36" s="3434"/>
      <c r="Z36" s="1576" t="str">
        <f t="shared" si="12"/>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34"/>
      <c r="Q37" s="1573" t="str">
        <f t="shared" si="8"/>
        <v>内部装修状况</v>
      </c>
      <c r="R37" s="1574" t="s">
        <v>8</v>
      </c>
      <c r="S37" s="1575">
        <f t="shared" si="9"/>
        <v>100</v>
      </c>
      <c r="T37" s="1574" t="s">
        <v>8</v>
      </c>
      <c r="U37" s="1575">
        <f t="shared" si="10"/>
        <v>100</v>
      </c>
      <c r="V37" s="1574" t="s">
        <v>8</v>
      </c>
      <c r="W37" s="1575">
        <f t="shared" si="11"/>
        <v>100</v>
      </c>
      <c r="X37" s="1568"/>
      <c r="Y37" s="3434"/>
      <c r="Z37" s="1576" t="str">
        <f t="shared" si="12"/>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34"/>
      <c r="Q38" s="1606">
        <f t="shared" si="8"/>
        <v>111</v>
      </c>
      <c r="R38" s="1578" t="s">
        <v>8</v>
      </c>
      <c r="S38" s="1579">
        <f t="shared" si="9"/>
        <v>100</v>
      </c>
      <c r="T38" s="1578" t="s">
        <v>8</v>
      </c>
      <c r="U38" s="1579">
        <f t="shared" si="10"/>
        <v>100</v>
      </c>
      <c r="V38" s="1578" t="s">
        <v>8</v>
      </c>
      <c r="W38" s="1579">
        <f t="shared" si="11"/>
        <v>100</v>
      </c>
      <c r="X38" s="1580"/>
      <c r="Y38" s="3434"/>
      <c r="Z38" s="1581">
        <f t="shared" si="12"/>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34"/>
      <c r="Q39" s="1573">
        <f t="shared" si="8"/>
        <v>111</v>
      </c>
      <c r="R39" s="1574" t="s">
        <v>8</v>
      </c>
      <c r="S39" s="1575">
        <f t="shared" si="9"/>
        <v>100</v>
      </c>
      <c r="T39" s="1574" t="s">
        <v>8</v>
      </c>
      <c r="U39" s="1575">
        <f t="shared" si="10"/>
        <v>100</v>
      </c>
      <c r="V39" s="1574" t="s">
        <v>8</v>
      </c>
      <c r="W39" s="1575">
        <f t="shared" si="11"/>
        <v>100</v>
      </c>
      <c r="X39" s="1568"/>
      <c r="Y39" s="3434"/>
      <c r="Z39" s="1576">
        <f t="shared" si="12"/>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10"/>
      <c r="Q40" s="1573">
        <f t="shared" si="8"/>
        <v>111</v>
      </c>
      <c r="R40" s="1574" t="s">
        <v>8</v>
      </c>
      <c r="S40" s="1575">
        <f t="shared" si="9"/>
        <v>100</v>
      </c>
      <c r="T40" s="1574" t="s">
        <v>8</v>
      </c>
      <c r="U40" s="1575">
        <f t="shared" si="10"/>
        <v>100</v>
      </c>
      <c r="V40" s="1574" t="s">
        <v>8</v>
      </c>
      <c r="W40" s="1575">
        <f t="shared" si="11"/>
        <v>100</v>
      </c>
      <c r="X40" s="1568"/>
      <c r="Y40" s="3510"/>
      <c r="Z40" s="1576">
        <f t="shared" si="12"/>
        <v>111</v>
      </c>
      <c r="AA40" s="1577">
        <f t="shared" si="3"/>
        <v>1</v>
      </c>
      <c r="AB40" s="1577">
        <f t="shared" si="4"/>
        <v>1</v>
      </c>
      <c r="AC40" s="1577">
        <f t="shared" si="5"/>
        <v>1</v>
      </c>
    </row>
    <row r="41" spans="1:29" ht="15">
      <c r="A41" s="607" t="s">
        <v>736</v>
      </c>
      <c r="B41" s="887"/>
      <c r="C41" s="2651" t="s">
        <v>1</v>
      </c>
      <c r="D41" s="2652"/>
      <c r="E41" s="2653"/>
      <c r="F41" s="2654"/>
      <c r="G41" s="2655"/>
      <c r="H41" s="2656"/>
      <c r="I41" s="2653"/>
      <c r="J41" s="2656"/>
      <c r="K41" s="1612"/>
      <c r="L41" s="2144"/>
      <c r="M41" s="2145"/>
      <c r="N41" s="2134"/>
      <c r="O41" s="2145"/>
      <c r="P41" s="3395" t="str">
        <f>A41</f>
        <v>成交单价（元/平方米）</v>
      </c>
      <c r="Q41" s="3395"/>
      <c r="R41" s="3509">
        <f>E41</f>
        <v>0</v>
      </c>
      <c r="S41" s="3509"/>
      <c r="T41" s="3509">
        <f>G41</f>
        <v>0</v>
      </c>
      <c r="U41" s="3509"/>
      <c r="V41" s="3509">
        <f>I41</f>
        <v>0</v>
      </c>
      <c r="W41" s="3509"/>
      <c r="X41" s="1560"/>
      <c r="Y41" s="1582"/>
      <c r="Z41" s="1560"/>
      <c r="AA41" s="1560"/>
      <c r="AB41" s="1560"/>
      <c r="AC41" s="1560"/>
    </row>
    <row r="42" spans="1:29" ht="15.75" thickBot="1">
      <c r="A42" s="615" t="s">
        <v>2760</v>
      </c>
      <c r="B42" s="888"/>
      <c r="C42" s="2657" t="e">
        <f>R43</f>
        <v>#DIV/0!</v>
      </c>
      <c r="D42" s="2658"/>
      <c r="E42" s="2659" t="e">
        <f>R42</f>
        <v>#DIV/0!</v>
      </c>
      <c r="F42" s="2659"/>
      <c r="G42" s="2657" t="e">
        <f>T42</f>
        <v>#DIV/0!</v>
      </c>
      <c r="H42" s="2658"/>
      <c r="I42" s="2659" t="e">
        <f>V42</f>
        <v>#DIV/0!</v>
      </c>
      <c r="J42" s="2658"/>
      <c r="K42" s="1613"/>
      <c r="L42" s="2144"/>
      <c r="M42" s="2145"/>
      <c r="N42" s="2134"/>
      <c r="O42" s="2145"/>
      <c r="P42" s="3395" t="str">
        <f>A42</f>
        <v>比较价格（元/平方米）</v>
      </c>
      <c r="Q42" s="3395"/>
      <c r="R42" s="3509" t="e">
        <f>IF(F1="售价",ROUND(PRODUCT(R41,AA7:AA40),0),ROUND(PRODUCT(R41,AA7:AA40),1))</f>
        <v>#DIV/0!</v>
      </c>
      <c r="S42" s="3509"/>
      <c r="T42" s="3509" t="e">
        <f>IF(F1="售价",ROUND(PRODUCT(T41,AB7:AB40),0),ROUND(PRODUCT(T41,AB7:AB40),1))</f>
        <v>#DIV/0!</v>
      </c>
      <c r="U42" s="3509"/>
      <c r="V42" s="3509" t="e">
        <f>IF(F1="售价",ROUND(PRODUCT(V41,AC7:AC40),0),ROUND(PRODUCT(V41,AC7:AC40),1))</f>
        <v>#DIV/0!</v>
      </c>
      <c r="W42" s="3509"/>
      <c r="X42" s="1560"/>
      <c r="Y42" s="1560"/>
      <c r="Z42" s="1560"/>
      <c r="AA42" s="1560"/>
      <c r="AB42" s="1560"/>
      <c r="AC42" s="1560"/>
    </row>
    <row r="43" spans="1:29" ht="15.75" thickBot="1">
      <c r="A43" s="621" t="s">
        <v>2932</v>
      </c>
      <c r="B43" s="622"/>
      <c r="C43" s="2660" t="e">
        <f>R43</f>
        <v>#DIV/0!</v>
      </c>
      <c r="D43" s="2660"/>
      <c r="E43" s="2660"/>
      <c r="F43" s="2660"/>
      <c r="G43" s="2660"/>
      <c r="H43" s="2660"/>
      <c r="I43" s="2660"/>
      <c r="J43" s="2660"/>
      <c r="K43" s="1614"/>
      <c r="L43" s="2144"/>
      <c r="M43" s="2145"/>
      <c r="N43" s="2145"/>
      <c r="O43" s="2145"/>
      <c r="P43" s="3392" t="str">
        <f>A43</f>
        <v>估价对象XX用房的比较价格（楼面单价，元/平方米）</v>
      </c>
      <c r="Q43" s="3393"/>
      <c r="R43" s="3508" t="e">
        <f>IF(F1="售价",ROUND(AVERAGE(R42:V42),0),ROUND(AVERAGE(R42:V42),1))</f>
        <v>#DIV/0!</v>
      </c>
      <c r="S43" s="3508"/>
      <c r="T43" s="3508"/>
      <c r="U43" s="3508"/>
      <c r="V43" s="3508"/>
      <c r="W43" s="3508"/>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826" t="str">
        <f>YEAR(C7)&amp;"-"&amp;MONTH(C7)</f>
        <v>2018-5</v>
      </c>
      <c r="D52" s="2828">
        <f>EDATE(C52,-1)</f>
        <v>43191</v>
      </c>
      <c r="E52" s="2828">
        <f t="shared" ref="E52:O52" si="13">EDATE(D52,-1)</f>
        <v>43160</v>
      </c>
      <c r="F52" s="2828">
        <f t="shared" si="13"/>
        <v>43132</v>
      </c>
      <c r="G52" s="2828">
        <f t="shared" si="13"/>
        <v>43101</v>
      </c>
      <c r="H52" s="2828">
        <f t="shared" si="13"/>
        <v>43070</v>
      </c>
      <c r="I52" s="2828">
        <f t="shared" si="13"/>
        <v>43040</v>
      </c>
      <c r="J52" s="2828">
        <f t="shared" si="13"/>
        <v>43009</v>
      </c>
      <c r="K52" s="2828">
        <f t="shared" si="13"/>
        <v>42979</v>
      </c>
      <c r="L52" s="2828">
        <f t="shared" si="13"/>
        <v>42948</v>
      </c>
      <c r="M52" s="2828">
        <f t="shared" si="13"/>
        <v>42917</v>
      </c>
      <c r="N52" s="2828">
        <f t="shared" si="13"/>
        <v>42887</v>
      </c>
      <c r="O52" s="2828">
        <f t="shared" si="13"/>
        <v>42856</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2557</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2558</v>
      </c>
      <c r="C76" s="2622" t="s">
        <v>2559</v>
      </c>
      <c r="D76" s="2622" t="s">
        <v>2560</v>
      </c>
      <c r="E76" s="2622" t="s">
        <v>2561</v>
      </c>
      <c r="F76" s="2622" t="s">
        <v>2562</v>
      </c>
      <c r="G76" s="2622" t="s">
        <v>2563</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2556</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7" priority="16" stopIfTrue="1" operator="containsText" text="超过">
      <formula>NOT(ISERROR(SEARCH("超过",F46)))</formula>
    </cfRule>
  </conditionalFormatting>
  <conditionalFormatting sqref="H48">
    <cfRule type="containsText" dxfId="46" priority="15" stopIfTrue="1" operator="containsText" text="超过">
      <formula>NOT(ISERROR(SEARCH("超过",H48)))</formula>
    </cfRule>
  </conditionalFormatting>
  <conditionalFormatting sqref="F48">
    <cfRule type="containsText" dxfId="45" priority="14" stopIfTrue="1" operator="containsText" text="超过">
      <formula>NOT(ISERROR(SEARCH("超过",F48)))</formula>
    </cfRule>
  </conditionalFormatting>
  <conditionalFormatting sqref="F47 H47">
    <cfRule type="containsText" dxfId="44" priority="13" stopIfTrue="1" operator="containsText" text="超过">
      <formula>NOT(ISERROR(SEARCH("超过",F47)))</formula>
    </cfRule>
  </conditionalFormatting>
  <conditionalFormatting sqref="E46">
    <cfRule type="expression" dxfId="43" priority="12" stopIfTrue="1">
      <formula>$F$46="超过30%"</formula>
    </cfRule>
  </conditionalFormatting>
  <conditionalFormatting sqref="E47">
    <cfRule type="expression" dxfId="42" priority="11" stopIfTrue="1">
      <formula>$F$47="超过20%"</formula>
    </cfRule>
  </conditionalFormatting>
  <conditionalFormatting sqref="E48">
    <cfRule type="expression" dxfId="41" priority="10" stopIfTrue="1">
      <formula>$F$48="超过30%"</formula>
    </cfRule>
  </conditionalFormatting>
  <conditionalFormatting sqref="G48">
    <cfRule type="expression" dxfId="40" priority="9" stopIfTrue="1">
      <formula>$H$48="超过30%"</formula>
    </cfRule>
  </conditionalFormatting>
  <conditionalFormatting sqref="G46">
    <cfRule type="expression" dxfId="39" priority="8" stopIfTrue="1">
      <formula>$H$46="超过30%"</formula>
    </cfRule>
  </conditionalFormatting>
  <conditionalFormatting sqref="G47">
    <cfRule type="expression" dxfId="38" priority="7" stopIfTrue="1">
      <formula>$H$47="超过20%"</formula>
    </cfRule>
  </conditionalFormatting>
  <conditionalFormatting sqref="J46">
    <cfRule type="containsText" dxfId="37" priority="6" stopIfTrue="1" operator="containsText" text="超过">
      <formula>NOT(ISERROR(SEARCH("超过",J46)))</formula>
    </cfRule>
  </conditionalFormatting>
  <conditionalFormatting sqref="J48">
    <cfRule type="containsText" dxfId="36" priority="5" stopIfTrue="1" operator="containsText" text="超过">
      <formula>NOT(ISERROR(SEARCH("超过",J48)))</formula>
    </cfRule>
  </conditionalFormatting>
  <conditionalFormatting sqref="J47">
    <cfRule type="containsText" dxfId="35" priority="4" stopIfTrue="1" operator="containsText" text="超过">
      <formula>NOT(ISERROR(SEARCH("超过",J47)))</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1"/>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8" t="s">
        <v>2076</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401" t="s">
        <v>798</v>
      </c>
      <c r="D4" s="3402"/>
      <c r="E4" s="3401" t="s">
        <v>799</v>
      </c>
      <c r="F4" s="3402"/>
      <c r="G4" s="3401" t="s">
        <v>800</v>
      </c>
      <c r="H4" s="3402"/>
      <c r="I4" s="3401" t="s">
        <v>801</v>
      </c>
      <c r="J4" s="3402"/>
      <c r="K4" s="514" t="s">
        <v>802</v>
      </c>
      <c r="L4" s="2133"/>
      <c r="M4" s="2134"/>
      <c r="N4" s="2134"/>
      <c r="O4" s="2134"/>
      <c r="P4" s="3403" t="s">
        <v>803</v>
      </c>
      <c r="Q4" s="3404"/>
      <c r="R4" s="3409" t="s">
        <v>799</v>
      </c>
      <c r="S4" s="3410"/>
      <c r="T4" s="3409" t="s">
        <v>800</v>
      </c>
      <c r="U4" s="3410"/>
      <c r="V4" s="3396" t="s">
        <v>801</v>
      </c>
      <c r="W4" s="3396"/>
      <c r="X4" s="1568"/>
      <c r="Y4" s="3409" t="s">
        <v>803</v>
      </c>
      <c r="Z4" s="3410"/>
      <c r="AA4" s="3398" t="s">
        <v>799</v>
      </c>
      <c r="AB4" s="3399" t="s">
        <v>800</v>
      </c>
      <c r="AC4" s="3398" t="s">
        <v>801</v>
      </c>
    </row>
    <row r="5" spans="1:29" ht="15">
      <c r="A5" s="515"/>
      <c r="B5" s="516"/>
      <c r="C5" s="3419" t="s">
        <v>2926</v>
      </c>
      <c r="D5" s="3418"/>
      <c r="E5" s="3419" t="s">
        <v>2927</v>
      </c>
      <c r="F5" s="3418"/>
      <c r="G5" s="3419" t="s">
        <v>2928</v>
      </c>
      <c r="H5" s="3418"/>
      <c r="I5" s="3419" t="s">
        <v>2929</v>
      </c>
      <c r="J5" s="3418"/>
      <c r="K5" s="514"/>
      <c r="L5" s="2133"/>
      <c r="M5" s="2134"/>
      <c r="N5" s="2134"/>
      <c r="O5" s="2134"/>
      <c r="P5" s="3405"/>
      <c r="Q5" s="3406"/>
      <c r="R5" s="3411"/>
      <c r="S5" s="3412"/>
      <c r="T5" s="3411"/>
      <c r="U5" s="3412"/>
      <c r="V5" s="3396"/>
      <c r="W5" s="3396"/>
      <c r="X5" s="1568"/>
      <c r="Y5" s="3411"/>
      <c r="Z5" s="3412"/>
      <c r="AA5" s="3399"/>
      <c r="AB5" s="3399"/>
      <c r="AC5" s="3399"/>
    </row>
    <row r="6" spans="1:29" ht="15.75" thickBot="1">
      <c r="A6" s="517"/>
      <c r="B6" s="518"/>
      <c r="C6" s="3435" t="s">
        <v>2930</v>
      </c>
      <c r="D6" s="3416"/>
      <c r="E6" s="3420" t="s">
        <v>2930</v>
      </c>
      <c r="F6" s="3421"/>
      <c r="G6" s="3435" t="s">
        <v>2930</v>
      </c>
      <c r="H6" s="3416"/>
      <c r="I6" s="3435" t="s">
        <v>2930</v>
      </c>
      <c r="J6" s="3416"/>
      <c r="K6" s="514" t="s">
        <v>528</v>
      </c>
      <c r="L6" s="2133"/>
      <c r="M6" s="2134"/>
      <c r="N6" s="2134"/>
      <c r="O6" s="2134"/>
      <c r="P6" s="3407"/>
      <c r="Q6" s="3408"/>
      <c r="R6" s="3411"/>
      <c r="S6" s="3412"/>
      <c r="T6" s="3413"/>
      <c r="U6" s="3414"/>
      <c r="V6" s="3396"/>
      <c r="W6" s="3396"/>
      <c r="X6" s="1568"/>
      <c r="Y6" s="3413"/>
      <c r="Z6" s="3414"/>
      <c r="AA6" s="3400"/>
      <c r="AB6" s="3400"/>
      <c r="AC6" s="3400"/>
    </row>
    <row r="7" spans="1:29" s="1220" customFormat="1" ht="15.75" thickBot="1">
      <c r="A7" s="2936"/>
      <c r="B7" s="2943" t="s">
        <v>529</v>
      </c>
      <c r="C7" s="519">
        <f>'数据-取费表'!B2</f>
        <v>43244</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28" t="s">
        <v>530</v>
      </c>
      <c r="Q7" s="3430"/>
      <c r="R7" s="1569" t="s">
        <v>8</v>
      </c>
      <c r="S7" s="1570">
        <f t="shared" ref="S7:S14" si="0">F7</f>
        <v>0</v>
      </c>
      <c r="T7" s="1569" t="s">
        <v>8</v>
      </c>
      <c r="U7" s="1570">
        <f t="shared" ref="U7:U14" si="1">H7</f>
        <v>0</v>
      </c>
      <c r="V7" s="1569" t="s">
        <v>8</v>
      </c>
      <c r="W7" s="1570">
        <f t="shared" ref="W7:W14" si="2">J7</f>
        <v>0</v>
      </c>
      <c r="X7" s="1571"/>
      <c r="Y7" s="3428" t="s">
        <v>530</v>
      </c>
      <c r="Z7" s="3429"/>
      <c r="AA7" s="1572" t="e">
        <f>D7/F7</f>
        <v>#DIV/0!</v>
      </c>
      <c r="AB7" s="1572" t="e">
        <f>D7/H7</f>
        <v>#DIV/0!</v>
      </c>
      <c r="AC7" s="1572" t="e">
        <f>D7/J7</f>
        <v>#DIV/0!</v>
      </c>
    </row>
    <row r="8" spans="1:29" s="1220" customFormat="1" ht="15.75" thickBot="1">
      <c r="A8" s="2937"/>
      <c r="B8" s="2944"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28" t="s">
        <v>533</v>
      </c>
      <c r="Q8" s="3429"/>
      <c r="R8" s="1569" t="s">
        <v>8</v>
      </c>
      <c r="S8" s="1570">
        <f t="shared" si="0"/>
        <v>0</v>
      </c>
      <c r="T8" s="1569" t="s">
        <v>8</v>
      </c>
      <c r="U8" s="1570">
        <f t="shared" si="1"/>
        <v>0</v>
      </c>
      <c r="V8" s="1569" t="s">
        <v>8</v>
      </c>
      <c r="W8" s="1570">
        <f t="shared" si="2"/>
        <v>0</v>
      </c>
      <c r="X8" s="1571"/>
      <c r="Y8" s="3428" t="s">
        <v>533</v>
      </c>
      <c r="Z8" s="3429"/>
      <c r="AA8" s="1572" t="e">
        <f t="shared" ref="AA8:AA36" si="3">D8/F8</f>
        <v>#DIV/0!</v>
      </c>
      <c r="AB8" s="1572" t="e">
        <f t="shared" ref="AB8:AB36" si="4">D8/H8</f>
        <v>#DIV/0!</v>
      </c>
      <c r="AC8" s="1572" t="e">
        <f t="shared" ref="AC8:AC36" si="5">D8/J8</f>
        <v>#DIV/0!</v>
      </c>
    </row>
    <row r="9" spans="1:29" s="1220" customFormat="1" ht="15">
      <c r="A9" s="2938"/>
      <c r="B9" s="2945" t="s">
        <v>2756</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95" t="s">
        <v>535</v>
      </c>
      <c r="Q9" s="1151" t="str">
        <f t="shared" ref="Q9:Q14" si="6">B9</f>
        <v>用途</v>
      </c>
      <c r="R9" s="1569" t="s">
        <v>8</v>
      </c>
      <c r="S9" s="1570">
        <f t="shared" si="0"/>
        <v>100</v>
      </c>
      <c r="T9" s="1569" t="s">
        <v>8</v>
      </c>
      <c r="U9" s="1570">
        <f t="shared" si="1"/>
        <v>100</v>
      </c>
      <c r="V9" s="1569" t="s">
        <v>8</v>
      </c>
      <c r="W9" s="1570">
        <f t="shared" si="2"/>
        <v>100</v>
      </c>
      <c r="X9" s="1571"/>
      <c r="Y9" s="3341" t="s">
        <v>536</v>
      </c>
      <c r="Z9" s="1150" t="str">
        <f t="shared" ref="Z9:Z14" si="7">Q9</f>
        <v>用途</v>
      </c>
      <c r="AA9" s="1572">
        <f t="shared" si="3"/>
        <v>1</v>
      </c>
      <c r="AB9" s="1572">
        <f t="shared" si="4"/>
        <v>1</v>
      </c>
      <c r="AC9" s="1572">
        <f t="shared" si="5"/>
        <v>1</v>
      </c>
    </row>
    <row r="10" spans="1:29" s="1338" customFormat="1" ht="27">
      <c r="A10" s="2939"/>
      <c r="B10" s="2944" t="s">
        <v>2757</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95"/>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95"/>
      <c r="Q11" s="1151">
        <f t="shared" si="6"/>
        <v>111</v>
      </c>
      <c r="R11" s="1569" t="s">
        <v>8</v>
      </c>
      <c r="S11" s="1570">
        <f t="shared" si="0"/>
        <v>100</v>
      </c>
      <c r="T11" s="1569" t="s">
        <v>8</v>
      </c>
      <c r="U11" s="1570">
        <f t="shared" si="1"/>
        <v>100</v>
      </c>
      <c r="V11" s="1569" t="s">
        <v>8</v>
      </c>
      <c r="W11" s="1570">
        <f t="shared" si="2"/>
        <v>100</v>
      </c>
      <c r="X11" s="1571"/>
      <c r="Y11" s="3341"/>
      <c r="Z11" s="1150">
        <f t="shared" si="7"/>
        <v>111</v>
      </c>
      <c r="AA11" s="1572">
        <f t="shared" si="3"/>
        <v>1</v>
      </c>
      <c r="AB11" s="1572">
        <f t="shared" si="4"/>
        <v>1</v>
      </c>
      <c r="AC11" s="1572">
        <f t="shared" si="5"/>
        <v>1</v>
      </c>
    </row>
    <row r="12" spans="1:29" s="1220"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95"/>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95"/>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85.5">
      <c r="A14" s="2934"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31" t="s">
        <v>540</v>
      </c>
      <c r="Q14" s="1573" t="str">
        <f t="shared" si="6"/>
        <v>交通便捷度</v>
      </c>
      <c r="R14" s="1574" t="s">
        <v>8</v>
      </c>
      <c r="S14" s="1575">
        <f t="shared" si="0"/>
        <v>100</v>
      </c>
      <c r="T14" s="1574" t="s">
        <v>8</v>
      </c>
      <c r="U14" s="1575">
        <f t="shared" si="1"/>
        <v>100</v>
      </c>
      <c r="V14" s="1574" t="s">
        <v>8</v>
      </c>
      <c r="W14" s="1575">
        <f t="shared" si="2"/>
        <v>100</v>
      </c>
      <c r="X14" s="1568"/>
      <c r="Y14" s="3431"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432"/>
      <c r="Q15" s="1573"/>
      <c r="R15" s="1574"/>
      <c r="S15" s="1575"/>
      <c r="T15" s="1574"/>
      <c r="U15" s="1575"/>
      <c r="V15" s="1574"/>
      <c r="W15" s="1575"/>
      <c r="X15" s="1568"/>
      <c r="Y15" s="3432"/>
      <c r="Z15" s="1576"/>
      <c r="AA15" s="1577">
        <v>1</v>
      </c>
      <c r="AB15" s="1577">
        <v>1</v>
      </c>
      <c r="AC15" s="1577">
        <v>1</v>
      </c>
    </row>
    <row r="16" spans="1:29" ht="42.75">
      <c r="A16" s="515"/>
      <c r="B16" s="2627"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32"/>
      <c r="Q16" s="1573" t="str">
        <f>B16</f>
        <v>公共配套设施</v>
      </c>
      <c r="R16" s="1574" t="s">
        <v>8</v>
      </c>
      <c r="S16" s="1575">
        <f>F16</f>
        <v>100</v>
      </c>
      <c r="T16" s="1574" t="s">
        <v>8</v>
      </c>
      <c r="U16" s="1575">
        <f>H16</f>
        <v>100</v>
      </c>
      <c r="V16" s="1574" t="s">
        <v>8</v>
      </c>
      <c r="W16" s="1575">
        <f>J16</f>
        <v>100</v>
      </c>
      <c r="X16" s="1568"/>
      <c r="Y16" s="343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432"/>
      <c r="Q17" s="1573"/>
      <c r="R17" s="1574"/>
      <c r="S17" s="1575"/>
      <c r="T17" s="1574"/>
      <c r="U17" s="1575"/>
      <c r="V17" s="1574"/>
      <c r="W17" s="1575"/>
      <c r="X17" s="1568"/>
      <c r="Y17" s="3432"/>
      <c r="Z17" s="1576"/>
      <c r="AA17" s="1577">
        <v>1</v>
      </c>
      <c r="AB17" s="1577">
        <v>1</v>
      </c>
      <c r="AC17" s="1577">
        <v>1</v>
      </c>
    </row>
    <row r="18" spans="1:29" ht="28.5">
      <c r="A18" s="515"/>
      <c r="B18" s="2615"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32"/>
      <c r="Q18" s="2603" t="str">
        <f>B18</f>
        <v>基础设施水平</v>
      </c>
      <c r="R18" s="1574" t="s">
        <v>8</v>
      </c>
      <c r="S18" s="1575">
        <f>F18</f>
        <v>100</v>
      </c>
      <c r="T18" s="1574" t="s">
        <v>8</v>
      </c>
      <c r="U18" s="1575">
        <f>H18</f>
        <v>100</v>
      </c>
      <c r="V18" s="1574" t="s">
        <v>8</v>
      </c>
      <c r="W18" s="1575">
        <f>J18</f>
        <v>100</v>
      </c>
      <c r="X18" s="2605"/>
      <c r="Y18" s="3432"/>
      <c r="Z18" s="2604" t="str">
        <f>Q18</f>
        <v>基础设施水平</v>
      </c>
      <c r="AA18" s="1577">
        <f>D18/F18</f>
        <v>1</v>
      </c>
      <c r="AB18" s="1577">
        <f>D18/H18</f>
        <v>1</v>
      </c>
      <c r="AC18" s="1577">
        <f>D18/J18</f>
        <v>1</v>
      </c>
    </row>
    <row r="19" spans="1:29" ht="15">
      <c r="A19" s="515"/>
      <c r="B19" s="578"/>
      <c r="C19" s="873"/>
      <c r="D19" s="559"/>
      <c r="E19" s="576"/>
      <c r="F19" s="557"/>
      <c r="G19" s="576"/>
      <c r="H19" s="555"/>
      <c r="I19" s="576"/>
      <c r="J19" s="555"/>
      <c r="K19" s="2626"/>
      <c r="L19" s="2142"/>
      <c r="M19" s="2134"/>
      <c r="N19" s="2134"/>
      <c r="O19" s="2141"/>
      <c r="P19" s="3432"/>
      <c r="Q19" s="2603"/>
      <c r="R19" s="1574"/>
      <c r="S19" s="1575"/>
      <c r="T19" s="1574"/>
      <c r="U19" s="1575"/>
      <c r="V19" s="1574"/>
      <c r="W19" s="1575"/>
      <c r="X19" s="2605"/>
      <c r="Y19" s="3432"/>
      <c r="Z19" s="2604"/>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32"/>
      <c r="Q20" s="1573" t="str">
        <f>B20</f>
        <v>自然及人文环境</v>
      </c>
      <c r="R20" s="1574" t="s">
        <v>8</v>
      </c>
      <c r="S20" s="1575">
        <f>F20</f>
        <v>100</v>
      </c>
      <c r="T20" s="1574" t="s">
        <v>8</v>
      </c>
      <c r="U20" s="1575">
        <f>H20</f>
        <v>100</v>
      </c>
      <c r="V20" s="1574" t="s">
        <v>8</v>
      </c>
      <c r="W20" s="1575">
        <f>J20</f>
        <v>100</v>
      </c>
      <c r="X20" s="1568"/>
      <c r="Y20" s="343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432"/>
      <c r="Q21" s="1573"/>
      <c r="R21" s="1574"/>
      <c r="S21" s="1575"/>
      <c r="T21" s="1574"/>
      <c r="U21" s="1575"/>
      <c r="V21" s="1574"/>
      <c r="W21" s="1575"/>
      <c r="X21" s="1568"/>
      <c r="Y21" s="3432"/>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32"/>
      <c r="Q22" s="1573" t="str">
        <f>B22</f>
        <v>楼层</v>
      </c>
      <c r="R22" s="1574" t="s">
        <v>8</v>
      </c>
      <c r="S22" s="1575">
        <f>F22</f>
        <v>100</v>
      </c>
      <c r="T22" s="1574" t="s">
        <v>8</v>
      </c>
      <c r="U22" s="1575">
        <f>H22</f>
        <v>100</v>
      </c>
      <c r="V22" s="1574" t="s">
        <v>8</v>
      </c>
      <c r="W22" s="1575">
        <f>J22</f>
        <v>100</v>
      </c>
      <c r="X22" s="1568"/>
      <c r="Y22" s="343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32"/>
      <c r="Q23" s="1573">
        <f>B23</f>
        <v>111</v>
      </c>
      <c r="R23" s="1574" t="s">
        <v>8</v>
      </c>
      <c r="S23" s="1575">
        <f>F23</f>
        <v>100</v>
      </c>
      <c r="T23" s="1574" t="s">
        <v>8</v>
      </c>
      <c r="U23" s="1575">
        <f>H23</f>
        <v>100</v>
      </c>
      <c r="V23" s="1574" t="s">
        <v>8</v>
      </c>
      <c r="W23" s="1575">
        <f>J23</f>
        <v>100</v>
      </c>
      <c r="X23" s="1568"/>
      <c r="Y23" s="343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32"/>
      <c r="Q24" s="1573">
        <f t="shared" ref="Q24:Q36" si="8">B24</f>
        <v>111</v>
      </c>
      <c r="R24" s="1574" t="s">
        <v>8</v>
      </c>
      <c r="S24" s="1575">
        <f>F24</f>
        <v>100</v>
      </c>
      <c r="T24" s="1574" t="s">
        <v>8</v>
      </c>
      <c r="U24" s="1575">
        <f>H24</f>
        <v>100</v>
      </c>
      <c r="V24" s="1574" t="s">
        <v>8</v>
      </c>
      <c r="W24" s="1575">
        <f>J24</f>
        <v>100</v>
      </c>
      <c r="X24" s="1568"/>
      <c r="Y24" s="343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32"/>
      <c r="Q25" s="1151">
        <f t="shared" si="8"/>
        <v>111</v>
      </c>
      <c r="R25" s="1569" t="s">
        <v>8</v>
      </c>
      <c r="S25" s="1570">
        <f>F25</f>
        <v>100</v>
      </c>
      <c r="T25" s="1569" t="s">
        <v>8</v>
      </c>
      <c r="U25" s="1570">
        <f>H25</f>
        <v>100</v>
      </c>
      <c r="V25" s="1569" t="s">
        <v>8</v>
      </c>
      <c r="W25" s="1570">
        <f>J25</f>
        <v>100</v>
      </c>
      <c r="X25" s="1571"/>
      <c r="Y25" s="3432"/>
      <c r="Z25" s="1150">
        <f>Q25</f>
        <v>111</v>
      </c>
      <c r="AA25" s="1577">
        <f>D25/F25</f>
        <v>1</v>
      </c>
      <c r="AB25" s="1577">
        <f>D25/H25</f>
        <v>1</v>
      </c>
      <c r="AC25" s="1577">
        <f>D25/J25</f>
        <v>1</v>
      </c>
    </row>
    <row r="26" spans="1:29" ht="15">
      <c r="A26" s="2931"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33" t="s">
        <v>550</v>
      </c>
      <c r="Q26" s="1573" t="str">
        <f t="shared" si="8"/>
        <v>配套类型</v>
      </c>
      <c r="R26" s="1574" t="s">
        <v>8</v>
      </c>
      <c r="S26" s="1575">
        <f t="shared" ref="S26:S36" si="9">F26</f>
        <v>100</v>
      </c>
      <c r="T26" s="1574" t="s">
        <v>8</v>
      </c>
      <c r="U26" s="1575">
        <f t="shared" ref="U26:U36" si="10">H26</f>
        <v>100</v>
      </c>
      <c r="V26" s="1574" t="s">
        <v>8</v>
      </c>
      <c r="W26" s="1575">
        <f t="shared" ref="W26:W36" si="11">J26</f>
        <v>100</v>
      </c>
      <c r="X26" s="1568"/>
      <c r="Y26" s="3434" t="s">
        <v>550</v>
      </c>
      <c r="Z26" s="1576" t="str">
        <f t="shared" ref="Z26:Z36" si="12">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34"/>
      <c r="Q27" s="1606" t="str">
        <f t="shared" si="8"/>
        <v>项目停车位配比</v>
      </c>
      <c r="R27" s="1578" t="s">
        <v>8</v>
      </c>
      <c r="S27" s="1579">
        <f t="shared" si="9"/>
        <v>100</v>
      </c>
      <c r="T27" s="1578" t="s">
        <v>8</v>
      </c>
      <c r="U27" s="1579">
        <f t="shared" si="10"/>
        <v>100</v>
      </c>
      <c r="V27" s="1578" t="s">
        <v>8</v>
      </c>
      <c r="W27" s="1579">
        <f t="shared" si="11"/>
        <v>100</v>
      </c>
      <c r="X27" s="1580"/>
      <c r="Y27" s="3434"/>
      <c r="Z27" s="1581" t="str">
        <f t="shared" si="12"/>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34"/>
      <c r="Q28" s="1573" t="str">
        <f t="shared" si="8"/>
        <v>公共部分装修</v>
      </c>
      <c r="R28" s="1574" t="s">
        <v>8</v>
      </c>
      <c r="S28" s="1575">
        <f t="shared" si="9"/>
        <v>100</v>
      </c>
      <c r="T28" s="1574" t="s">
        <v>8</v>
      </c>
      <c r="U28" s="1575">
        <f t="shared" si="10"/>
        <v>100</v>
      </c>
      <c r="V28" s="1574" t="s">
        <v>8</v>
      </c>
      <c r="W28" s="1575">
        <f t="shared" si="11"/>
        <v>100</v>
      </c>
      <c r="X28" s="1568"/>
      <c r="Y28" s="3434"/>
      <c r="Z28" s="1576" t="str">
        <f t="shared" si="12"/>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34"/>
      <c r="Q29" s="1573" t="str">
        <f t="shared" si="8"/>
        <v>成新率</v>
      </c>
      <c r="R29" s="1574" t="s">
        <v>8</v>
      </c>
      <c r="S29" s="1575" t="e">
        <f t="shared" si="9"/>
        <v>#N/A</v>
      </c>
      <c r="T29" s="1574" t="s">
        <v>8</v>
      </c>
      <c r="U29" s="1575" t="e">
        <f t="shared" si="10"/>
        <v>#N/A</v>
      </c>
      <c r="V29" s="1574" t="s">
        <v>8</v>
      </c>
      <c r="W29" s="1575" t="e">
        <f t="shared" si="11"/>
        <v>#N/A</v>
      </c>
      <c r="X29" s="1568"/>
      <c r="Y29" s="3434"/>
      <c r="Z29" s="1576" t="str">
        <f t="shared" si="12"/>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34"/>
      <c r="Q30" s="1573" t="str">
        <f t="shared" si="8"/>
        <v>物业等级</v>
      </c>
      <c r="R30" s="1574" t="s">
        <v>8</v>
      </c>
      <c r="S30" s="1575">
        <f t="shared" si="9"/>
        <v>100</v>
      </c>
      <c r="T30" s="1574" t="s">
        <v>8</v>
      </c>
      <c r="U30" s="1575">
        <f t="shared" si="10"/>
        <v>100</v>
      </c>
      <c r="V30" s="1574" t="s">
        <v>8</v>
      </c>
      <c r="W30" s="1575">
        <f t="shared" si="11"/>
        <v>100</v>
      </c>
      <c r="X30" s="1568"/>
      <c r="Y30" s="3434"/>
      <c r="Z30" s="1576" t="str">
        <f t="shared" si="12"/>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34"/>
      <c r="Q31" s="1151" t="str">
        <f t="shared" si="8"/>
        <v>停车位面积</v>
      </c>
      <c r="R31" s="1569" t="s">
        <v>8</v>
      </c>
      <c r="S31" s="1570" t="e">
        <f t="shared" si="9"/>
        <v>#N/A</v>
      </c>
      <c r="T31" s="1569" t="s">
        <v>8</v>
      </c>
      <c r="U31" s="1570" t="e">
        <f t="shared" si="10"/>
        <v>#N/A</v>
      </c>
      <c r="V31" s="1569" t="s">
        <v>8</v>
      </c>
      <c r="W31" s="1570" t="e">
        <f t="shared" si="11"/>
        <v>#N/A</v>
      </c>
      <c r="X31" s="1571"/>
      <c r="Y31" s="3434"/>
      <c r="Z31" s="1150" t="str">
        <f t="shared" si="12"/>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34" t="s">
        <v>550</v>
      </c>
      <c r="Q32" s="1573" t="str">
        <f t="shared" si="8"/>
        <v>车位类型</v>
      </c>
      <c r="R32" s="1574" t="s">
        <v>8</v>
      </c>
      <c r="S32" s="1575">
        <f t="shared" si="9"/>
        <v>100</v>
      </c>
      <c r="T32" s="1574" t="s">
        <v>8</v>
      </c>
      <c r="U32" s="1575">
        <f t="shared" si="10"/>
        <v>100</v>
      </c>
      <c r="V32" s="1574" t="s">
        <v>8</v>
      </c>
      <c r="W32" s="1575">
        <f t="shared" si="11"/>
        <v>100</v>
      </c>
      <c r="X32" s="1568"/>
      <c r="Y32" s="3434" t="s">
        <v>550</v>
      </c>
      <c r="Z32" s="1576" t="str">
        <f t="shared" si="12"/>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34"/>
      <c r="Q33" s="1573" t="str">
        <f t="shared" si="8"/>
        <v>是否直接入户</v>
      </c>
      <c r="R33" s="1574" t="s">
        <v>8</v>
      </c>
      <c r="S33" s="1575">
        <f t="shared" si="9"/>
        <v>100</v>
      </c>
      <c r="T33" s="1574" t="s">
        <v>8</v>
      </c>
      <c r="U33" s="1575">
        <f t="shared" si="10"/>
        <v>100</v>
      </c>
      <c r="V33" s="1574" t="s">
        <v>8</v>
      </c>
      <c r="W33" s="1575">
        <f t="shared" si="11"/>
        <v>100</v>
      </c>
      <c r="X33" s="1568"/>
      <c r="Y33" s="3434"/>
      <c r="Z33" s="1576" t="str">
        <f t="shared" si="12"/>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34"/>
      <c r="Q34" s="1573">
        <f t="shared" si="8"/>
        <v>111</v>
      </c>
      <c r="R34" s="1574" t="s">
        <v>8</v>
      </c>
      <c r="S34" s="1575">
        <f t="shared" si="9"/>
        <v>100</v>
      </c>
      <c r="T34" s="1574" t="s">
        <v>8</v>
      </c>
      <c r="U34" s="1575">
        <f t="shared" si="10"/>
        <v>100</v>
      </c>
      <c r="V34" s="1574" t="s">
        <v>8</v>
      </c>
      <c r="W34" s="1575">
        <f t="shared" si="11"/>
        <v>100</v>
      </c>
      <c r="X34" s="1568"/>
      <c r="Y34" s="3434"/>
      <c r="Z34" s="1576">
        <f t="shared" si="12"/>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34"/>
      <c r="Q35" s="1606">
        <f t="shared" si="8"/>
        <v>111</v>
      </c>
      <c r="R35" s="1578" t="s">
        <v>8</v>
      </c>
      <c r="S35" s="1579">
        <f t="shared" si="9"/>
        <v>100</v>
      </c>
      <c r="T35" s="1578" t="s">
        <v>8</v>
      </c>
      <c r="U35" s="1579">
        <f t="shared" si="10"/>
        <v>100</v>
      </c>
      <c r="V35" s="1578" t="s">
        <v>8</v>
      </c>
      <c r="W35" s="1579">
        <f t="shared" si="11"/>
        <v>100</v>
      </c>
      <c r="X35" s="1580"/>
      <c r="Y35" s="3434"/>
      <c r="Z35" s="1581">
        <f t="shared" si="12"/>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34"/>
      <c r="Q36" s="1573">
        <f t="shared" si="8"/>
        <v>111</v>
      </c>
      <c r="R36" s="1574" t="s">
        <v>8</v>
      </c>
      <c r="S36" s="1575">
        <f t="shared" si="9"/>
        <v>100</v>
      </c>
      <c r="T36" s="1574" t="s">
        <v>8</v>
      </c>
      <c r="U36" s="1575">
        <f t="shared" si="10"/>
        <v>100</v>
      </c>
      <c r="V36" s="1574" t="s">
        <v>8</v>
      </c>
      <c r="W36" s="1575">
        <f t="shared" si="11"/>
        <v>100</v>
      </c>
      <c r="X36" s="1568"/>
      <c r="Y36" s="3434"/>
      <c r="Z36" s="1576">
        <f t="shared" si="12"/>
        <v>111</v>
      </c>
      <c r="AA36" s="1577">
        <f t="shared" si="3"/>
        <v>1</v>
      </c>
      <c r="AB36" s="1577">
        <f t="shared" si="4"/>
        <v>1</v>
      </c>
      <c r="AC36" s="1577">
        <f t="shared" si="5"/>
        <v>1</v>
      </c>
    </row>
    <row r="37" spans="1:29" ht="15">
      <c r="A37" s="1846" t="s">
        <v>2077</v>
      </c>
      <c r="B37" s="1847" t="s">
        <v>2078</v>
      </c>
      <c r="C37" s="2651" t="s">
        <v>1</v>
      </c>
      <c r="D37" s="2652"/>
      <c r="E37" s="2653"/>
      <c r="F37" s="2654"/>
      <c r="G37" s="2655"/>
      <c r="H37" s="2656"/>
      <c r="I37" s="2653"/>
      <c r="J37" s="2656"/>
      <c r="K37" s="1612"/>
      <c r="L37" s="2144"/>
      <c r="M37" s="2145"/>
      <c r="N37" s="2134"/>
      <c r="O37" s="2145"/>
      <c r="P37" s="3395" t="str">
        <f>A37</f>
        <v>成交单价</v>
      </c>
      <c r="Q37" s="3395"/>
      <c r="R37" s="3509">
        <f>E37</f>
        <v>0</v>
      </c>
      <c r="S37" s="3509"/>
      <c r="T37" s="3509">
        <f>G37</f>
        <v>0</v>
      </c>
      <c r="U37" s="3509"/>
      <c r="V37" s="3509">
        <f>I37</f>
        <v>0</v>
      </c>
      <c r="W37" s="3509"/>
      <c r="X37" s="1560"/>
      <c r="Y37" s="1582"/>
      <c r="Z37" s="1560"/>
      <c r="AA37" s="1560"/>
      <c r="AB37" s="1560"/>
      <c r="AC37" s="1560"/>
    </row>
    <row r="38" spans="1:29" ht="15.75" thickBot="1">
      <c r="A38" s="615" t="s">
        <v>2760</v>
      </c>
      <c r="B38" s="888"/>
      <c r="C38" s="2657" t="e">
        <f>R39</f>
        <v>#DIV/0!</v>
      </c>
      <c r="D38" s="2658"/>
      <c r="E38" s="2659" t="e">
        <f>R38</f>
        <v>#DIV/0!</v>
      </c>
      <c r="F38" s="2659"/>
      <c r="G38" s="2657" t="e">
        <f>T38</f>
        <v>#DIV/0!</v>
      </c>
      <c r="H38" s="2658"/>
      <c r="I38" s="2659" t="e">
        <f>V38</f>
        <v>#DIV/0!</v>
      </c>
      <c r="J38" s="2658"/>
      <c r="K38" s="1613"/>
      <c r="L38" s="2144"/>
      <c r="M38" s="2145"/>
      <c r="N38" s="2145"/>
      <c r="O38" s="2145"/>
      <c r="P38" s="3395" t="str">
        <f>A38</f>
        <v>比较价格（元/平方米）</v>
      </c>
      <c r="Q38" s="3395"/>
      <c r="R38" s="3509" t="e">
        <f>IF(F1="售价",ROUND(PRODUCT(R37,AA7:AA36),0),ROUND(PRODUCT(R37,AA7:AA36),1))</f>
        <v>#DIV/0!</v>
      </c>
      <c r="S38" s="3509"/>
      <c r="T38" s="3509" t="e">
        <f>IF(F1="售价",ROUND(PRODUCT(T37,AB7:AB36),0),ROUND(PRODUCT(T37,AB7:AB36),1))</f>
        <v>#DIV/0!</v>
      </c>
      <c r="U38" s="3509"/>
      <c r="V38" s="3509" t="e">
        <f>IF(F1="售价",ROUND(PRODUCT(V37,AC7:AC36),0),ROUND(PRODUCT(V37,AC7:AC36),1))</f>
        <v>#DIV/0!</v>
      </c>
      <c r="W38" s="3509"/>
      <c r="X38" s="1560"/>
      <c r="Y38" s="1560"/>
      <c r="Z38" s="1560"/>
      <c r="AA38" s="1560"/>
      <c r="AB38" s="1560"/>
      <c r="AC38" s="1560"/>
    </row>
    <row r="39" spans="1:29" ht="15.75" thickBot="1">
      <c r="A39" s="621" t="s">
        <v>2932</v>
      </c>
      <c r="B39" s="622"/>
      <c r="C39" s="2660" t="e">
        <f>R39</f>
        <v>#DIV/0!</v>
      </c>
      <c r="D39" s="2660"/>
      <c r="E39" s="2660"/>
      <c r="F39" s="2660"/>
      <c r="G39" s="2660"/>
      <c r="H39" s="2660"/>
      <c r="I39" s="2660"/>
      <c r="J39" s="2660"/>
      <c r="K39" s="1614"/>
      <c r="L39" s="2144"/>
      <c r="M39" s="2145"/>
      <c r="N39" s="2145"/>
      <c r="O39" s="2145"/>
      <c r="P39" s="3392" t="str">
        <f>A39</f>
        <v>估价对象XX用房的比较价格（楼面单价，元/平方米）</v>
      </c>
      <c r="Q39" s="3393"/>
      <c r="R39" s="3508" t="e">
        <f>IF(F1="售价",ROUND(AVERAGE(R38:V38),0),ROUND(AVERAGE(R38:V38),1))</f>
        <v>#DIV/0!</v>
      </c>
      <c r="S39" s="3508"/>
      <c r="T39" s="3508"/>
      <c r="U39" s="3508"/>
      <c r="V39" s="3508"/>
      <c r="W39" s="3508"/>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26" t="str">
        <f>YEAR(C7)&amp;"-"&amp;MONTH(C7)</f>
        <v>2018-5</v>
      </c>
      <c r="D48" s="2828">
        <f>EDATE(C48,-1)</f>
        <v>43191</v>
      </c>
      <c r="E48" s="2828">
        <f t="shared" ref="E48:O48" si="13">EDATE(D48,-1)</f>
        <v>43160</v>
      </c>
      <c r="F48" s="2828">
        <f t="shared" si="13"/>
        <v>43132</v>
      </c>
      <c r="G48" s="2828">
        <f t="shared" si="13"/>
        <v>43101</v>
      </c>
      <c r="H48" s="2828">
        <f t="shared" si="13"/>
        <v>43070</v>
      </c>
      <c r="I48" s="2828">
        <f t="shared" si="13"/>
        <v>43040</v>
      </c>
      <c r="J48" s="2828">
        <f t="shared" si="13"/>
        <v>43009</v>
      </c>
      <c r="K48" s="2828">
        <f t="shared" si="13"/>
        <v>42979</v>
      </c>
      <c r="L48" s="2828">
        <f t="shared" si="13"/>
        <v>42948</v>
      </c>
      <c r="M48" s="2828">
        <f t="shared" si="13"/>
        <v>42917</v>
      </c>
      <c r="N48" s="2828">
        <f t="shared" si="13"/>
        <v>42887</v>
      </c>
      <c r="O48" s="2828">
        <f t="shared" si="13"/>
        <v>42856</v>
      </c>
      <c r="P48" s="2160"/>
      <c r="Q48" s="2161"/>
      <c r="R48" s="2161"/>
      <c r="S48" s="2161"/>
      <c r="T48" s="2161"/>
      <c r="U48" s="2161"/>
      <c r="V48" s="2161"/>
      <c r="W48" s="2161"/>
      <c r="X48" s="2161"/>
      <c r="Y48" s="2161"/>
      <c r="Z48" s="2161"/>
      <c r="AA48" s="2161"/>
      <c r="AB48" s="2161"/>
      <c r="AC48" s="2161"/>
    </row>
    <row r="49" spans="1:29" s="1220" customFormat="1" ht="15">
      <c r="A49" s="647"/>
      <c r="B49" s="648"/>
      <c r="C49" s="2827">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2557</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2558</v>
      </c>
      <c r="C67" s="2622" t="s">
        <v>2559</v>
      </c>
      <c r="D67" s="2622" t="s">
        <v>2560</v>
      </c>
      <c r="E67" s="2622" t="s">
        <v>2561</v>
      </c>
      <c r="F67" s="2622" t="s">
        <v>2562</v>
      </c>
      <c r="G67" s="2622" t="s">
        <v>2563</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1" priority="14" stopIfTrue="1" operator="containsText" text="超过">
      <formula>NOT(ISERROR(SEARCH("超过",F42)))</formula>
    </cfRule>
  </conditionalFormatting>
  <conditionalFormatting sqref="J44">
    <cfRule type="containsText" dxfId="30" priority="13" stopIfTrue="1" operator="containsText" text="超过">
      <formula>NOT(ISERROR(SEARCH("超过",J44)))</formula>
    </cfRule>
  </conditionalFormatting>
  <conditionalFormatting sqref="H44">
    <cfRule type="containsText" dxfId="29" priority="12" stopIfTrue="1" operator="containsText" text="超过">
      <formula>NOT(ISERROR(SEARCH("超过",H44)))</formula>
    </cfRule>
  </conditionalFormatting>
  <conditionalFormatting sqref="F44">
    <cfRule type="containsText" dxfId="28" priority="11" stopIfTrue="1" operator="containsText" text="超过">
      <formula>NOT(ISERROR(SEARCH("超过",F44)))</formula>
    </cfRule>
  </conditionalFormatting>
  <conditionalFormatting sqref="F43 H43 J43">
    <cfRule type="containsText" dxfId="27" priority="10" stopIfTrue="1" operator="containsText" text="超过">
      <formula>NOT(ISERROR(SEARCH("超过",F43)))</formula>
    </cfRule>
  </conditionalFormatting>
  <conditionalFormatting sqref="E42">
    <cfRule type="expression" dxfId="26" priority="9" stopIfTrue="1">
      <formula>$F$42="超过30%"</formula>
    </cfRule>
  </conditionalFormatting>
  <conditionalFormatting sqref="G44">
    <cfRule type="expression" dxfId="25" priority="8" stopIfTrue="1">
      <formula>$H$54+$H$44="超过30%"</formula>
    </cfRule>
  </conditionalFormatting>
  <conditionalFormatting sqref="E43">
    <cfRule type="expression" dxfId="24" priority="7" stopIfTrue="1">
      <formula>$F$43="超过20%"</formula>
    </cfRule>
  </conditionalFormatting>
  <conditionalFormatting sqref="E44">
    <cfRule type="expression" dxfId="23" priority="6" stopIfTrue="1">
      <formula>$F$44="超过30%"</formula>
    </cfRule>
  </conditionalFormatting>
  <conditionalFormatting sqref="G42">
    <cfRule type="expression" dxfId="22" priority="5" stopIfTrue="1">
      <formula>$H$52+$H$42="超过30%"</formula>
    </cfRule>
  </conditionalFormatting>
  <conditionalFormatting sqref="G43">
    <cfRule type="expression" dxfId="21" priority="4" stopIfTrue="1">
      <formula>$H$43="超过20%"</formula>
    </cfRule>
  </conditionalFormatting>
  <conditionalFormatting sqref="I42">
    <cfRule type="expression" dxfId="20" priority="3" stopIfTrue="1">
      <formula>$J$52+$J$42="超过30%"</formula>
    </cfRule>
  </conditionalFormatting>
  <conditionalFormatting sqref="I43">
    <cfRule type="expression" dxfId="19" priority="2" stopIfTrue="1">
      <formula>$J$53+$J$43="超过20%"</formula>
    </cfRule>
  </conditionalFormatting>
  <conditionalFormatting sqref="I44">
    <cfRule type="expression" dxfId="1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1"/>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401" t="s">
        <v>798</v>
      </c>
      <c r="D4" s="3402"/>
      <c r="E4" s="3438" t="s">
        <v>799</v>
      </c>
      <c r="F4" s="3439"/>
      <c r="G4" s="3401" t="s">
        <v>800</v>
      </c>
      <c r="H4" s="3402"/>
      <c r="I4" s="3401" t="s">
        <v>801</v>
      </c>
      <c r="J4" s="3402"/>
      <c r="K4" s="514" t="s">
        <v>802</v>
      </c>
      <c r="L4" s="2133"/>
      <c r="M4" s="2134"/>
      <c r="N4" s="2134"/>
      <c r="O4" s="2134"/>
      <c r="P4" s="3403" t="s">
        <v>803</v>
      </c>
      <c r="Q4" s="3404"/>
      <c r="R4" s="3409" t="s">
        <v>799</v>
      </c>
      <c r="S4" s="3410"/>
      <c r="T4" s="3409" t="s">
        <v>800</v>
      </c>
      <c r="U4" s="3410"/>
      <c r="V4" s="3396" t="s">
        <v>801</v>
      </c>
      <c r="W4" s="3396"/>
      <c r="X4" s="1568"/>
      <c r="Y4" s="3409" t="s">
        <v>803</v>
      </c>
      <c r="Z4" s="3410"/>
      <c r="AA4" s="3398" t="s">
        <v>799</v>
      </c>
      <c r="AB4" s="3399" t="s">
        <v>800</v>
      </c>
      <c r="AC4" s="3398" t="s">
        <v>801</v>
      </c>
    </row>
    <row r="5" spans="1:29" ht="15">
      <c r="A5" s="515"/>
      <c r="B5" s="516"/>
      <c r="C5" s="3419" t="s">
        <v>2926</v>
      </c>
      <c r="D5" s="3418"/>
      <c r="E5" s="3440" t="s">
        <v>2927</v>
      </c>
      <c r="F5" s="3441"/>
      <c r="G5" s="3419" t="s">
        <v>2928</v>
      </c>
      <c r="H5" s="3418"/>
      <c r="I5" s="3419" t="s">
        <v>2929</v>
      </c>
      <c r="J5" s="3418"/>
      <c r="K5" s="514"/>
      <c r="L5" s="2133"/>
      <c r="M5" s="2134"/>
      <c r="N5" s="2134"/>
      <c r="O5" s="2134"/>
      <c r="P5" s="3405"/>
      <c r="Q5" s="3406"/>
      <c r="R5" s="3411"/>
      <c r="S5" s="3412"/>
      <c r="T5" s="3411"/>
      <c r="U5" s="3412"/>
      <c r="V5" s="3396"/>
      <c r="W5" s="3396"/>
      <c r="X5" s="1568"/>
      <c r="Y5" s="3411"/>
      <c r="Z5" s="3412"/>
      <c r="AA5" s="3399"/>
      <c r="AB5" s="3399"/>
      <c r="AC5" s="3399"/>
    </row>
    <row r="6" spans="1:29" ht="15.75" thickBot="1">
      <c r="A6" s="517"/>
      <c r="B6" s="518"/>
      <c r="C6" s="3435" t="s">
        <v>2930</v>
      </c>
      <c r="D6" s="3416"/>
      <c r="E6" s="3436" t="s">
        <v>2930</v>
      </c>
      <c r="F6" s="3437"/>
      <c r="G6" s="3435" t="s">
        <v>2930</v>
      </c>
      <c r="H6" s="3416"/>
      <c r="I6" s="3435" t="s">
        <v>2930</v>
      </c>
      <c r="J6" s="3416"/>
      <c r="K6" s="514" t="s">
        <v>528</v>
      </c>
      <c r="L6" s="2133"/>
      <c r="M6" s="2134"/>
      <c r="N6" s="2134"/>
      <c r="O6" s="2134"/>
      <c r="P6" s="3407"/>
      <c r="Q6" s="3408"/>
      <c r="R6" s="3411"/>
      <c r="S6" s="3412"/>
      <c r="T6" s="3413"/>
      <c r="U6" s="3414"/>
      <c r="V6" s="3396"/>
      <c r="W6" s="3396"/>
      <c r="X6" s="1568"/>
      <c r="Y6" s="3413"/>
      <c r="Z6" s="3414"/>
      <c r="AA6" s="3400"/>
      <c r="AB6" s="3400"/>
      <c r="AC6" s="3400"/>
    </row>
    <row r="7" spans="1:29" s="1220" customFormat="1" ht="15.75" thickBot="1">
      <c r="A7" s="2936"/>
      <c r="B7" s="2943" t="s">
        <v>529</v>
      </c>
      <c r="C7" s="519">
        <f>'数据-取费表'!B2</f>
        <v>43244</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28" t="s">
        <v>530</v>
      </c>
      <c r="Q7" s="3430"/>
      <c r="R7" s="1569" t="s">
        <v>8</v>
      </c>
      <c r="S7" s="1570">
        <f t="shared" ref="S7:S14" si="0">F7</f>
        <v>0</v>
      </c>
      <c r="T7" s="1569" t="s">
        <v>8</v>
      </c>
      <c r="U7" s="1570">
        <f t="shared" ref="U7:U14" si="1">H7</f>
        <v>0</v>
      </c>
      <c r="V7" s="1569" t="s">
        <v>8</v>
      </c>
      <c r="W7" s="1570">
        <f t="shared" ref="W7:W14" si="2">J7</f>
        <v>0</v>
      </c>
      <c r="X7" s="1571"/>
      <c r="Y7" s="3428" t="s">
        <v>530</v>
      </c>
      <c r="Z7" s="3429"/>
      <c r="AA7" s="1572" t="e">
        <f>D7/F7</f>
        <v>#DIV/0!</v>
      </c>
      <c r="AB7" s="1572" t="e">
        <f>D7/H7</f>
        <v>#DIV/0!</v>
      </c>
      <c r="AC7" s="1572" t="e">
        <f>D7/J7</f>
        <v>#DIV/0!</v>
      </c>
    </row>
    <row r="8" spans="1:29" s="1220" customFormat="1" ht="15.75" thickBot="1">
      <c r="A8" s="2937"/>
      <c r="B8" s="2944"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28" t="s">
        <v>533</v>
      </c>
      <c r="Q8" s="3429"/>
      <c r="R8" s="1569" t="s">
        <v>8</v>
      </c>
      <c r="S8" s="1570">
        <f t="shared" si="0"/>
        <v>0</v>
      </c>
      <c r="T8" s="1569" t="s">
        <v>8</v>
      </c>
      <c r="U8" s="1570">
        <f t="shared" si="1"/>
        <v>0</v>
      </c>
      <c r="V8" s="1569" t="s">
        <v>8</v>
      </c>
      <c r="W8" s="1570">
        <f t="shared" si="2"/>
        <v>0</v>
      </c>
      <c r="X8" s="1571"/>
      <c r="Y8" s="3428" t="s">
        <v>533</v>
      </c>
      <c r="Z8" s="3429"/>
      <c r="AA8" s="1572" t="e">
        <f t="shared" ref="AA8:AA34" si="3">D8/F8</f>
        <v>#DIV/0!</v>
      </c>
      <c r="AB8" s="1572" t="e">
        <f t="shared" ref="AB8:AB34" si="4">D8/H8</f>
        <v>#DIV/0!</v>
      </c>
      <c r="AC8" s="1572" t="e">
        <f t="shared" ref="AC8:AC34" si="5">D8/J8</f>
        <v>#DIV/0!</v>
      </c>
    </row>
    <row r="9" spans="1:29" s="1220" customFormat="1" ht="15">
      <c r="A9" s="2938"/>
      <c r="B9" s="2945" t="s">
        <v>2756</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95" t="s">
        <v>535</v>
      </c>
      <c r="Q9" s="1151" t="str">
        <f t="shared" ref="Q9:Q14" si="6">B9</f>
        <v>用途</v>
      </c>
      <c r="R9" s="1569" t="s">
        <v>8</v>
      </c>
      <c r="S9" s="1570">
        <f t="shared" si="0"/>
        <v>100</v>
      </c>
      <c r="T9" s="1569" t="s">
        <v>8</v>
      </c>
      <c r="U9" s="1570">
        <f t="shared" si="1"/>
        <v>100</v>
      </c>
      <c r="V9" s="1569" t="s">
        <v>8</v>
      </c>
      <c r="W9" s="1570">
        <f t="shared" si="2"/>
        <v>100</v>
      </c>
      <c r="X9" s="1571"/>
      <c r="Y9" s="3341" t="s">
        <v>536</v>
      </c>
      <c r="Z9" s="1150" t="str">
        <f t="shared" ref="Z9:Z14" si="7">Q9</f>
        <v>用途</v>
      </c>
      <c r="AA9" s="1572">
        <f t="shared" si="3"/>
        <v>1</v>
      </c>
      <c r="AB9" s="1572">
        <f t="shared" si="4"/>
        <v>1</v>
      </c>
      <c r="AC9" s="1572">
        <f t="shared" si="5"/>
        <v>1</v>
      </c>
    </row>
    <row r="10" spans="1:29" s="1338" customFormat="1" ht="27">
      <c r="A10" s="2939"/>
      <c r="B10" s="2944" t="s">
        <v>2757</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95"/>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95"/>
      <c r="Q11" s="1151">
        <f t="shared" si="6"/>
        <v>111</v>
      </c>
      <c r="R11" s="1569" t="s">
        <v>8</v>
      </c>
      <c r="S11" s="1570">
        <f t="shared" si="0"/>
        <v>100</v>
      </c>
      <c r="T11" s="1569" t="s">
        <v>8</v>
      </c>
      <c r="U11" s="1570">
        <f t="shared" si="1"/>
        <v>100</v>
      </c>
      <c r="V11" s="1569" t="s">
        <v>8</v>
      </c>
      <c r="W11" s="1570">
        <f t="shared" si="2"/>
        <v>100</v>
      </c>
      <c r="X11" s="1571"/>
      <c r="Y11" s="3341"/>
      <c r="Z11" s="1150">
        <f t="shared" si="7"/>
        <v>111</v>
      </c>
      <c r="AA11" s="1572">
        <f t="shared" si="3"/>
        <v>1</v>
      </c>
      <c r="AB11" s="1572">
        <f t="shared" si="4"/>
        <v>1</v>
      </c>
      <c r="AC11" s="1572">
        <f t="shared" si="5"/>
        <v>1</v>
      </c>
    </row>
    <row r="12" spans="1:29" s="1220"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95"/>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95"/>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85.5">
      <c r="A14" s="2934"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31" t="s">
        <v>540</v>
      </c>
      <c r="Q14" s="1573" t="str">
        <f t="shared" si="6"/>
        <v>交通便捷度</v>
      </c>
      <c r="R14" s="1574" t="s">
        <v>8</v>
      </c>
      <c r="S14" s="1575">
        <f t="shared" si="0"/>
        <v>100</v>
      </c>
      <c r="T14" s="1574" t="s">
        <v>8</v>
      </c>
      <c r="U14" s="1575">
        <f t="shared" si="1"/>
        <v>100</v>
      </c>
      <c r="V14" s="1574" t="s">
        <v>8</v>
      </c>
      <c r="W14" s="1575">
        <f t="shared" si="2"/>
        <v>100</v>
      </c>
      <c r="X14" s="1568"/>
      <c r="Y14" s="3431"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432"/>
      <c r="Q15" s="1573"/>
      <c r="R15" s="1574"/>
      <c r="S15" s="1575"/>
      <c r="T15" s="1574"/>
      <c r="U15" s="1575"/>
      <c r="V15" s="1574"/>
      <c r="W15" s="1575"/>
      <c r="X15" s="1568"/>
      <c r="Y15" s="3432"/>
      <c r="Z15" s="1576"/>
      <c r="AA15" s="1577">
        <v>1</v>
      </c>
      <c r="AB15" s="1577">
        <v>1</v>
      </c>
      <c r="AC15" s="1577">
        <v>1</v>
      </c>
    </row>
    <row r="16" spans="1:29" ht="42.75">
      <c r="A16" s="532"/>
      <c r="B16" s="2627"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32"/>
      <c r="Q16" s="1573" t="str">
        <f>B16</f>
        <v>公共配套设施</v>
      </c>
      <c r="R16" s="1574" t="s">
        <v>8</v>
      </c>
      <c r="S16" s="1575">
        <f>F16</f>
        <v>100</v>
      </c>
      <c r="T16" s="1574" t="s">
        <v>8</v>
      </c>
      <c r="U16" s="1575">
        <f>H16</f>
        <v>100</v>
      </c>
      <c r="V16" s="1574" t="s">
        <v>8</v>
      </c>
      <c r="W16" s="1575">
        <f>J16</f>
        <v>100</v>
      </c>
      <c r="X16" s="1568"/>
      <c r="Y16" s="343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432"/>
      <c r="Q17" s="1573"/>
      <c r="R17" s="1574"/>
      <c r="S17" s="1575"/>
      <c r="T17" s="1574"/>
      <c r="U17" s="1575"/>
      <c r="V17" s="1574"/>
      <c r="W17" s="1575"/>
      <c r="X17" s="1568"/>
      <c r="Y17" s="3432"/>
      <c r="Z17" s="1576"/>
      <c r="AA17" s="1577">
        <v>1</v>
      </c>
      <c r="AB17" s="1577">
        <v>1</v>
      </c>
      <c r="AC17" s="1577">
        <v>1</v>
      </c>
    </row>
    <row r="18" spans="1:29" ht="28.5">
      <c r="A18" s="532"/>
      <c r="B18" s="2615"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32"/>
      <c r="Q18" s="2603" t="str">
        <f>B18</f>
        <v>基础设施水平</v>
      </c>
      <c r="R18" s="1574" t="s">
        <v>8</v>
      </c>
      <c r="S18" s="1575">
        <f>F18</f>
        <v>100</v>
      </c>
      <c r="T18" s="1574" t="s">
        <v>8</v>
      </c>
      <c r="U18" s="1575">
        <f>H18</f>
        <v>100</v>
      </c>
      <c r="V18" s="1574" t="s">
        <v>8</v>
      </c>
      <c r="W18" s="1575">
        <f>J18</f>
        <v>100</v>
      </c>
      <c r="X18" s="2605"/>
      <c r="Y18" s="3432"/>
      <c r="Z18" s="2604" t="str">
        <f>Q18</f>
        <v>基础设施水平</v>
      </c>
      <c r="AA18" s="1577">
        <f>D18/F18</f>
        <v>1</v>
      </c>
      <c r="AB18" s="1577">
        <f>D18/H18</f>
        <v>1</v>
      </c>
      <c r="AC18" s="1577">
        <f>D18/J18</f>
        <v>1</v>
      </c>
    </row>
    <row r="19" spans="1:29" ht="15">
      <c r="A19" s="532"/>
      <c r="B19" s="578"/>
      <c r="C19" s="873"/>
      <c r="D19" s="559"/>
      <c r="E19" s="873"/>
      <c r="F19" s="563"/>
      <c r="G19" s="873"/>
      <c r="H19" s="555"/>
      <c r="I19" s="576"/>
      <c r="J19" s="555"/>
      <c r="K19" s="2626"/>
      <c r="L19" s="2142"/>
      <c r="M19" s="2134"/>
      <c r="N19" s="2134"/>
      <c r="O19" s="2141"/>
      <c r="P19" s="3432"/>
      <c r="Q19" s="2603"/>
      <c r="R19" s="1574"/>
      <c r="S19" s="1575"/>
      <c r="T19" s="1574"/>
      <c r="U19" s="1575"/>
      <c r="V19" s="1574"/>
      <c r="W19" s="1575"/>
      <c r="X19" s="2605"/>
      <c r="Y19" s="3432"/>
      <c r="Z19" s="2604"/>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32"/>
      <c r="Q20" s="1573" t="str">
        <f>B20</f>
        <v>自然及人文环境</v>
      </c>
      <c r="R20" s="1574" t="s">
        <v>8</v>
      </c>
      <c r="S20" s="1575">
        <f>F20</f>
        <v>100</v>
      </c>
      <c r="T20" s="1574" t="s">
        <v>8</v>
      </c>
      <c r="U20" s="1575">
        <f>H20</f>
        <v>100</v>
      </c>
      <c r="V20" s="1574" t="s">
        <v>8</v>
      </c>
      <c r="W20" s="1575">
        <f>J20</f>
        <v>100</v>
      </c>
      <c r="X20" s="1568"/>
      <c r="Y20" s="343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432"/>
      <c r="Q21" s="1573"/>
      <c r="R21" s="1574"/>
      <c r="S21" s="1575"/>
      <c r="T21" s="1574"/>
      <c r="U21" s="1575"/>
      <c r="V21" s="1574"/>
      <c r="W21" s="1575"/>
      <c r="X21" s="1568"/>
      <c r="Y21" s="3432"/>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32"/>
      <c r="Q22" s="1573" t="str">
        <f>B22</f>
        <v>楼层</v>
      </c>
      <c r="R22" s="1574" t="s">
        <v>8</v>
      </c>
      <c r="S22" s="1575">
        <f>F22</f>
        <v>100</v>
      </c>
      <c r="T22" s="1574" t="s">
        <v>8</v>
      </c>
      <c r="U22" s="1575">
        <f>H22</f>
        <v>100</v>
      </c>
      <c r="V22" s="1574" t="s">
        <v>8</v>
      </c>
      <c r="W22" s="1575">
        <f>J22</f>
        <v>100</v>
      </c>
      <c r="X22" s="1568"/>
      <c r="Y22" s="343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32"/>
      <c r="Q23" s="1573">
        <f>B23</f>
        <v>111</v>
      </c>
      <c r="R23" s="1574" t="s">
        <v>8</v>
      </c>
      <c r="S23" s="1575">
        <f>F23</f>
        <v>100</v>
      </c>
      <c r="T23" s="1574" t="s">
        <v>8</v>
      </c>
      <c r="U23" s="1575">
        <f>H23</f>
        <v>100</v>
      </c>
      <c r="V23" s="1574" t="s">
        <v>8</v>
      </c>
      <c r="W23" s="1575">
        <f>J23</f>
        <v>100</v>
      </c>
      <c r="X23" s="1568"/>
      <c r="Y23" s="343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32"/>
      <c r="Q24" s="1573">
        <f t="shared" ref="Q24:Q34" si="8">B24</f>
        <v>111</v>
      </c>
      <c r="R24" s="1574" t="s">
        <v>8</v>
      </c>
      <c r="S24" s="1575">
        <f>F24</f>
        <v>100</v>
      </c>
      <c r="T24" s="1574" t="s">
        <v>8</v>
      </c>
      <c r="U24" s="1575">
        <f>H24</f>
        <v>100</v>
      </c>
      <c r="V24" s="1574" t="s">
        <v>8</v>
      </c>
      <c r="W24" s="1575">
        <f>J24</f>
        <v>100</v>
      </c>
      <c r="X24" s="1568"/>
      <c r="Y24" s="343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32"/>
      <c r="Q25" s="1151">
        <f t="shared" si="8"/>
        <v>111</v>
      </c>
      <c r="R25" s="1569" t="s">
        <v>8</v>
      </c>
      <c r="S25" s="1570">
        <f>F25</f>
        <v>100</v>
      </c>
      <c r="T25" s="1569" t="s">
        <v>8</v>
      </c>
      <c r="U25" s="1570">
        <f>H25</f>
        <v>100</v>
      </c>
      <c r="V25" s="1569" t="s">
        <v>8</v>
      </c>
      <c r="W25" s="1570">
        <f>J25</f>
        <v>100</v>
      </c>
      <c r="X25" s="1571"/>
      <c r="Y25" s="3432"/>
      <c r="Z25" s="1150">
        <f>Q25</f>
        <v>111</v>
      </c>
      <c r="AA25" s="1577">
        <f>D25/F25</f>
        <v>1</v>
      </c>
      <c r="AB25" s="1577">
        <f>D25/H25</f>
        <v>1</v>
      </c>
      <c r="AC25" s="1577">
        <f>D25/J25</f>
        <v>1</v>
      </c>
    </row>
    <row r="26" spans="1:29" ht="15">
      <c r="A26" s="2931"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33" t="s">
        <v>821</v>
      </c>
      <c r="Q26" s="1573" t="str">
        <f t="shared" si="8"/>
        <v>公共部分装修</v>
      </c>
      <c r="R26" s="1574" t="s">
        <v>8</v>
      </c>
      <c r="S26" s="1575">
        <f t="shared" ref="S26:S34" si="9">F26</f>
        <v>100</v>
      </c>
      <c r="T26" s="1574" t="s">
        <v>8</v>
      </c>
      <c r="U26" s="1575">
        <f t="shared" ref="U26:U34" si="10">H26</f>
        <v>100</v>
      </c>
      <c r="V26" s="1574" t="s">
        <v>8</v>
      </c>
      <c r="W26" s="1575">
        <f t="shared" ref="W26:W34" si="11">J26</f>
        <v>100</v>
      </c>
      <c r="X26" s="1568"/>
      <c r="Y26" s="3434" t="s">
        <v>821</v>
      </c>
      <c r="Z26" s="1576" t="str">
        <f t="shared" ref="Z26:Z34" si="12">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34"/>
      <c r="Q27" s="1606" t="str">
        <f t="shared" si="8"/>
        <v>成新率</v>
      </c>
      <c r="R27" s="1578" t="s">
        <v>8</v>
      </c>
      <c r="S27" s="1579" t="e">
        <f t="shared" si="9"/>
        <v>#N/A</v>
      </c>
      <c r="T27" s="1578" t="s">
        <v>8</v>
      </c>
      <c r="U27" s="1579" t="e">
        <f t="shared" si="10"/>
        <v>#N/A</v>
      </c>
      <c r="V27" s="1578" t="s">
        <v>8</v>
      </c>
      <c r="W27" s="1579" t="e">
        <f t="shared" si="11"/>
        <v>#N/A</v>
      </c>
      <c r="X27" s="1580"/>
      <c r="Y27" s="3434"/>
      <c r="Z27" s="1581" t="str">
        <f t="shared" si="12"/>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34"/>
      <c r="Q28" s="1573" t="str">
        <f t="shared" si="8"/>
        <v>物业等级</v>
      </c>
      <c r="R28" s="1574" t="s">
        <v>8</v>
      </c>
      <c r="S28" s="1575">
        <f t="shared" si="9"/>
        <v>100</v>
      </c>
      <c r="T28" s="1574" t="s">
        <v>8</v>
      </c>
      <c r="U28" s="1575">
        <f t="shared" si="10"/>
        <v>100</v>
      </c>
      <c r="V28" s="1574" t="s">
        <v>8</v>
      </c>
      <c r="W28" s="1575">
        <f t="shared" si="11"/>
        <v>100</v>
      </c>
      <c r="X28" s="1568"/>
      <c r="Y28" s="3434"/>
      <c r="Z28" s="1576" t="str">
        <f t="shared" si="12"/>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34"/>
      <c r="Q29" s="1573" t="str">
        <f t="shared" si="8"/>
        <v>有无电梯</v>
      </c>
      <c r="R29" s="1574" t="s">
        <v>8</v>
      </c>
      <c r="S29" s="1575">
        <f t="shared" si="9"/>
        <v>100</v>
      </c>
      <c r="T29" s="1574" t="s">
        <v>8</v>
      </c>
      <c r="U29" s="1575">
        <f t="shared" si="10"/>
        <v>100</v>
      </c>
      <c r="V29" s="1574" t="s">
        <v>8</v>
      </c>
      <c r="W29" s="1575">
        <f t="shared" si="11"/>
        <v>100</v>
      </c>
      <c r="X29" s="1568"/>
      <c r="Y29" s="3434"/>
      <c r="Z29" s="1576" t="str">
        <f t="shared" si="12"/>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34"/>
      <c r="Q30" s="1573" t="str">
        <f t="shared" si="8"/>
        <v>建筑面积</v>
      </c>
      <c r="R30" s="1574" t="s">
        <v>8</v>
      </c>
      <c r="S30" s="1575" t="e">
        <f t="shared" si="9"/>
        <v>#N/A</v>
      </c>
      <c r="T30" s="1574" t="s">
        <v>8</v>
      </c>
      <c r="U30" s="1575" t="e">
        <f t="shared" si="10"/>
        <v>#N/A</v>
      </c>
      <c r="V30" s="1574" t="s">
        <v>8</v>
      </c>
      <c r="W30" s="1575" t="e">
        <f t="shared" si="11"/>
        <v>#N/A</v>
      </c>
      <c r="X30" s="1568"/>
      <c r="Y30" s="3434"/>
      <c r="Z30" s="1576" t="str">
        <f t="shared" si="12"/>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34"/>
      <c r="Q31" s="1151" t="str">
        <f t="shared" si="8"/>
        <v>是否封闭</v>
      </c>
      <c r="R31" s="1569" t="s">
        <v>8</v>
      </c>
      <c r="S31" s="1570">
        <f t="shared" si="9"/>
        <v>100</v>
      </c>
      <c r="T31" s="1569" t="s">
        <v>8</v>
      </c>
      <c r="U31" s="1570">
        <f t="shared" si="10"/>
        <v>100</v>
      </c>
      <c r="V31" s="1569" t="s">
        <v>8</v>
      </c>
      <c r="W31" s="1570">
        <f t="shared" si="11"/>
        <v>100</v>
      </c>
      <c r="X31" s="1571"/>
      <c r="Y31" s="3434"/>
      <c r="Z31" s="1150" t="str">
        <f t="shared" si="12"/>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34" t="s">
        <v>550</v>
      </c>
      <c r="Q32" s="1573">
        <f t="shared" si="8"/>
        <v>111</v>
      </c>
      <c r="R32" s="1574" t="s">
        <v>8</v>
      </c>
      <c r="S32" s="1575">
        <f t="shared" si="9"/>
        <v>100</v>
      </c>
      <c r="T32" s="1574" t="s">
        <v>8</v>
      </c>
      <c r="U32" s="1575">
        <f t="shared" si="10"/>
        <v>100</v>
      </c>
      <c r="V32" s="1574" t="s">
        <v>8</v>
      </c>
      <c r="W32" s="1575">
        <f t="shared" si="11"/>
        <v>100</v>
      </c>
      <c r="X32" s="1568"/>
      <c r="Y32" s="3434" t="s">
        <v>550</v>
      </c>
      <c r="Z32" s="1576">
        <f t="shared" si="12"/>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34"/>
      <c r="Q33" s="1573">
        <f t="shared" si="8"/>
        <v>111</v>
      </c>
      <c r="R33" s="1574" t="s">
        <v>8</v>
      </c>
      <c r="S33" s="1575">
        <f t="shared" si="9"/>
        <v>100</v>
      </c>
      <c r="T33" s="1574" t="s">
        <v>8</v>
      </c>
      <c r="U33" s="1575">
        <f t="shared" si="10"/>
        <v>100</v>
      </c>
      <c r="V33" s="1574" t="s">
        <v>8</v>
      </c>
      <c r="W33" s="1575">
        <f t="shared" si="11"/>
        <v>100</v>
      </c>
      <c r="X33" s="1568"/>
      <c r="Y33" s="3434"/>
      <c r="Z33" s="1576">
        <f t="shared" si="12"/>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34"/>
      <c r="Q34" s="1573">
        <f t="shared" si="8"/>
        <v>111</v>
      </c>
      <c r="R34" s="1574" t="s">
        <v>8</v>
      </c>
      <c r="S34" s="1575">
        <f t="shared" si="9"/>
        <v>100</v>
      </c>
      <c r="T34" s="1574" t="s">
        <v>8</v>
      </c>
      <c r="U34" s="1575">
        <f t="shared" si="10"/>
        <v>100</v>
      </c>
      <c r="V34" s="1574" t="s">
        <v>8</v>
      </c>
      <c r="W34" s="1575">
        <f t="shared" si="11"/>
        <v>100</v>
      </c>
      <c r="X34" s="1568"/>
      <c r="Y34" s="3434"/>
      <c r="Z34" s="1576">
        <f t="shared" si="12"/>
        <v>111</v>
      </c>
      <c r="AA34" s="1577">
        <f t="shared" si="3"/>
        <v>1</v>
      </c>
      <c r="AB34" s="1577">
        <f t="shared" si="4"/>
        <v>1</v>
      </c>
      <c r="AC34" s="1577">
        <f t="shared" si="5"/>
        <v>1</v>
      </c>
    </row>
    <row r="35" spans="1:29" ht="15">
      <c r="A35" s="607" t="s">
        <v>736</v>
      </c>
      <c r="B35" s="887"/>
      <c r="C35" s="2651" t="s">
        <v>1</v>
      </c>
      <c r="D35" s="2652"/>
      <c r="E35" s="2653"/>
      <c r="F35" s="2654"/>
      <c r="G35" s="2655"/>
      <c r="H35" s="2656"/>
      <c r="I35" s="2653"/>
      <c r="J35" s="2656"/>
      <c r="K35" s="1612"/>
      <c r="L35" s="2144"/>
      <c r="M35" s="2145"/>
      <c r="N35" s="2134"/>
      <c r="O35" s="2145"/>
      <c r="P35" s="3395" t="str">
        <f>A35</f>
        <v>成交单价（元/平方米）</v>
      </c>
      <c r="Q35" s="3395"/>
      <c r="R35" s="3509">
        <f>E35</f>
        <v>0</v>
      </c>
      <c r="S35" s="3509"/>
      <c r="T35" s="3509">
        <f>G35</f>
        <v>0</v>
      </c>
      <c r="U35" s="3509"/>
      <c r="V35" s="3509">
        <f>I35</f>
        <v>0</v>
      </c>
      <c r="W35" s="3509"/>
      <c r="X35" s="1560"/>
      <c r="Y35" s="1582"/>
      <c r="Z35" s="1560"/>
      <c r="AA35" s="1560"/>
      <c r="AB35" s="1560"/>
      <c r="AC35" s="1560"/>
    </row>
    <row r="36" spans="1:29" ht="15.75" thickBot="1">
      <c r="A36" s="615" t="s">
        <v>2760</v>
      </c>
      <c r="B36" s="888"/>
      <c r="C36" s="2657" t="e">
        <f>R37</f>
        <v>#DIV/0!</v>
      </c>
      <c r="D36" s="2658"/>
      <c r="E36" s="2659" t="e">
        <f>R36</f>
        <v>#DIV/0!</v>
      </c>
      <c r="F36" s="2659"/>
      <c r="G36" s="2657" t="e">
        <f>T36</f>
        <v>#DIV/0!</v>
      </c>
      <c r="H36" s="2658"/>
      <c r="I36" s="2659" t="e">
        <f>V36</f>
        <v>#DIV/0!</v>
      </c>
      <c r="J36" s="2658"/>
      <c r="K36" s="1613"/>
      <c r="L36" s="2144"/>
      <c r="M36" s="2145"/>
      <c r="N36" s="2134"/>
      <c r="O36" s="2145"/>
      <c r="P36" s="3395" t="str">
        <f>A36</f>
        <v>比较价格（元/平方米）</v>
      </c>
      <c r="Q36" s="3395"/>
      <c r="R36" s="3509" t="e">
        <f>IF(F1="售价",ROUND(PRODUCT(R35,AA7:AA34),0),ROUND(PRODUCT(R35,AA7:AA34),1))</f>
        <v>#DIV/0!</v>
      </c>
      <c r="S36" s="3509"/>
      <c r="T36" s="3509" t="e">
        <f>IF(F1="售价",ROUND(PRODUCT(T35,AB7:AB34),0),ROUND(PRODUCT(T35,AB7:AB34),1))</f>
        <v>#DIV/0!</v>
      </c>
      <c r="U36" s="3509"/>
      <c r="V36" s="3509" t="e">
        <f>IF(F1="售价",ROUND(PRODUCT(V35,AC7:AC34),0),ROUND(PRODUCT(V35,AC7:AC34),1))</f>
        <v>#DIV/0!</v>
      </c>
      <c r="W36" s="3509"/>
      <c r="X36" s="1560"/>
      <c r="Y36" s="1560"/>
      <c r="Z36" s="1560"/>
      <c r="AA36" s="1560"/>
      <c r="AB36" s="1560"/>
      <c r="AC36" s="1560"/>
    </row>
    <row r="37" spans="1:29" ht="15.75" thickBot="1">
      <c r="A37" s="621" t="s">
        <v>2932</v>
      </c>
      <c r="B37" s="622"/>
      <c r="C37" s="2660" t="e">
        <f>R37</f>
        <v>#DIV/0!</v>
      </c>
      <c r="D37" s="2660"/>
      <c r="E37" s="2660"/>
      <c r="F37" s="2660"/>
      <c r="G37" s="2660"/>
      <c r="H37" s="2660"/>
      <c r="I37" s="2660"/>
      <c r="J37" s="2660"/>
      <c r="K37" s="1614"/>
      <c r="L37" s="2144"/>
      <c r="M37" s="2145"/>
      <c r="N37" s="2145"/>
      <c r="O37" s="2145"/>
      <c r="P37" s="3392" t="str">
        <f>A37</f>
        <v>估价对象XX用房的比较价格（楼面单价，元/平方米）</v>
      </c>
      <c r="Q37" s="3393"/>
      <c r="R37" s="3508" t="e">
        <f>IF(F1="售价",ROUND(AVERAGE(R36:V36),0),ROUND(AVERAGE(R36:V36),1))</f>
        <v>#DIV/0!</v>
      </c>
      <c r="S37" s="3508"/>
      <c r="T37" s="3508"/>
      <c r="U37" s="3508"/>
      <c r="V37" s="3508"/>
      <c r="W37" s="3508"/>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826" t="str">
        <f>YEAR(C7)&amp;"-"&amp;MONTH(C7)</f>
        <v>2018-5</v>
      </c>
      <c r="D46" s="2828">
        <f>EDATE(C46,-1)</f>
        <v>43191</v>
      </c>
      <c r="E46" s="2828">
        <f t="shared" ref="E46:O46" si="13">EDATE(D46,-1)</f>
        <v>43160</v>
      </c>
      <c r="F46" s="2828">
        <f t="shared" si="13"/>
        <v>43132</v>
      </c>
      <c r="G46" s="2828">
        <f t="shared" si="13"/>
        <v>43101</v>
      </c>
      <c r="H46" s="2828">
        <f t="shared" si="13"/>
        <v>43070</v>
      </c>
      <c r="I46" s="2828">
        <f t="shared" si="13"/>
        <v>43040</v>
      </c>
      <c r="J46" s="2828">
        <f t="shared" si="13"/>
        <v>43009</v>
      </c>
      <c r="K46" s="2828">
        <f t="shared" si="13"/>
        <v>42979</v>
      </c>
      <c r="L46" s="2828">
        <f t="shared" si="13"/>
        <v>42948</v>
      </c>
      <c r="M46" s="2828">
        <f t="shared" si="13"/>
        <v>42917</v>
      </c>
      <c r="N46" s="2828">
        <f t="shared" si="13"/>
        <v>42887</v>
      </c>
      <c r="O46" s="2828">
        <f t="shared" si="13"/>
        <v>42856</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2557</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2558</v>
      </c>
      <c r="C65" s="2622" t="s">
        <v>2559</v>
      </c>
      <c r="D65" s="2622" t="s">
        <v>2560</v>
      </c>
      <c r="E65" s="2622" t="s">
        <v>2561</v>
      </c>
      <c r="F65" s="2622" t="s">
        <v>2562</v>
      </c>
      <c r="G65" s="2622" t="s">
        <v>2563</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4" stopIfTrue="1" operator="containsText" text="超过">
      <formula>NOT(ISERROR(SEARCH("超过",F40)))</formula>
    </cfRule>
  </conditionalFormatting>
  <conditionalFormatting sqref="J42">
    <cfRule type="containsText" dxfId="16" priority="13" stopIfTrue="1" operator="containsText" text="超过">
      <formula>NOT(ISERROR(SEARCH("超过",J42)))</formula>
    </cfRule>
  </conditionalFormatting>
  <conditionalFormatting sqref="H42">
    <cfRule type="containsText" dxfId="15" priority="12" stopIfTrue="1" operator="containsText" text="超过">
      <formula>NOT(ISERROR(SEARCH("超过",H42)))</formula>
    </cfRule>
  </conditionalFormatting>
  <conditionalFormatting sqref="F42">
    <cfRule type="containsText" dxfId="14" priority="11" stopIfTrue="1" operator="containsText" text="超过">
      <formula>NOT(ISERROR(SEARCH("超过",F42)))</formula>
    </cfRule>
  </conditionalFormatting>
  <conditionalFormatting sqref="F41 H41 J41">
    <cfRule type="containsText" dxfId="13" priority="10" stopIfTrue="1" operator="containsText" text="超过">
      <formula>NOT(ISERROR(SEARCH("超过",F41)))</formula>
    </cfRule>
  </conditionalFormatting>
  <conditionalFormatting sqref="E40">
    <cfRule type="expression" dxfId="12" priority="9" stopIfTrue="1">
      <formula>$F$40="超过30%"</formula>
    </cfRule>
  </conditionalFormatting>
  <conditionalFormatting sqref="G42">
    <cfRule type="expression" dxfId="11" priority="8" stopIfTrue="1">
      <formula>$H$54+$H$42="超过30%"</formula>
    </cfRule>
  </conditionalFormatting>
  <conditionalFormatting sqref="E41">
    <cfRule type="expression" dxfId="10" priority="7" stopIfTrue="1">
      <formula>$F$41="超过20%"</formula>
    </cfRule>
  </conditionalFormatting>
  <conditionalFormatting sqref="E42">
    <cfRule type="expression" dxfId="9" priority="6" stopIfTrue="1">
      <formula>$F$42="超过30%"</formula>
    </cfRule>
  </conditionalFormatting>
  <conditionalFormatting sqref="G40">
    <cfRule type="expression" dxfId="8" priority="5" stopIfTrue="1">
      <formula>$H$52+$H$40="超过30%"</formula>
    </cfRule>
  </conditionalFormatting>
  <conditionalFormatting sqref="G41">
    <cfRule type="expression" dxfId="7" priority="4" stopIfTrue="1">
      <formula>$H$53+$H$41="超过20%"</formula>
    </cfRule>
  </conditionalFormatting>
  <conditionalFormatting sqref="I40">
    <cfRule type="expression" dxfId="6" priority="3" stopIfTrue="1">
      <formula>$J$40="超过30%"</formula>
    </cfRule>
  </conditionalFormatting>
  <conditionalFormatting sqref="I41">
    <cfRule type="expression" dxfId="5" priority="2" stopIfTrue="1">
      <formula>$J$41="超过20%"</formula>
    </cfRule>
  </conditionalFormatting>
  <conditionalFormatting sqref="I42">
    <cfRule type="expression" dxfId="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2303</v>
      </c>
      <c r="C1" s="3603" t="s">
        <v>2304</v>
      </c>
      <c r="D1" s="3604"/>
      <c r="E1" s="3604"/>
      <c r="F1" s="3604"/>
      <c r="G1" s="3604"/>
      <c r="H1" s="3604"/>
      <c r="I1" s="3604"/>
      <c r="J1" s="3604"/>
      <c r="K1" s="3604"/>
      <c r="L1" s="3604"/>
      <c r="M1" s="3604"/>
      <c r="N1" s="3604"/>
      <c r="O1" s="3604"/>
      <c r="P1" s="3604"/>
      <c r="Q1" s="3604"/>
      <c r="R1" s="3604"/>
      <c r="S1" s="3605"/>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2925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2">D6-$T5</f>
        <v>100</v>
      </c>
      <c r="F6" s="1969">
        <f t="shared" si="2"/>
        <v>100</v>
      </c>
      <c r="G6" s="1969">
        <f t="shared" si="2"/>
        <v>100</v>
      </c>
      <c r="H6" s="1969">
        <f t="shared" si="2"/>
        <v>100</v>
      </c>
      <c r="I6" s="1969">
        <f t="shared" si="2"/>
        <v>100</v>
      </c>
      <c r="J6" s="1969">
        <f t="shared" si="2"/>
        <v>100</v>
      </c>
      <c r="K6" s="1969">
        <f t="shared" si="2"/>
        <v>100</v>
      </c>
      <c r="L6" s="1969">
        <f t="shared" si="2"/>
        <v>100</v>
      </c>
      <c r="M6" s="1969">
        <f t="shared" si="2"/>
        <v>100</v>
      </c>
      <c r="N6" s="1969">
        <f t="shared" si="2"/>
        <v>100</v>
      </c>
      <c r="O6" s="1969">
        <f t="shared" si="2"/>
        <v>100</v>
      </c>
      <c r="P6" s="1969">
        <f t="shared" si="2"/>
        <v>100</v>
      </c>
      <c r="Q6" s="1969">
        <f t="shared" si="2"/>
        <v>100</v>
      </c>
      <c r="R6" s="1969">
        <f t="shared" si="2"/>
        <v>100</v>
      </c>
      <c r="S6" s="1969">
        <f t="shared" si="2"/>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2924</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3">D8-$T7</f>
        <v>100</v>
      </c>
      <c r="F8" s="1969">
        <f t="shared" si="3"/>
        <v>100</v>
      </c>
      <c r="G8" s="1969">
        <f t="shared" si="3"/>
        <v>100</v>
      </c>
      <c r="H8" s="1969">
        <f t="shared" si="3"/>
        <v>100</v>
      </c>
      <c r="I8" s="1969">
        <f t="shared" si="3"/>
        <v>100</v>
      </c>
      <c r="J8" s="1969">
        <f t="shared" si="3"/>
        <v>100</v>
      </c>
      <c r="K8" s="1969">
        <f t="shared" si="3"/>
        <v>100</v>
      </c>
      <c r="L8" s="1969">
        <f t="shared" si="3"/>
        <v>100</v>
      </c>
      <c r="M8" s="1969">
        <f t="shared" si="3"/>
        <v>100</v>
      </c>
      <c r="N8" s="1969">
        <f t="shared" si="3"/>
        <v>100</v>
      </c>
      <c r="O8" s="1969">
        <f t="shared" si="3"/>
        <v>100</v>
      </c>
      <c r="P8" s="1969">
        <f t="shared" si="3"/>
        <v>100</v>
      </c>
      <c r="Q8" s="1969">
        <f t="shared" si="3"/>
        <v>100</v>
      </c>
      <c r="R8" s="1969">
        <f t="shared" si="3"/>
        <v>100</v>
      </c>
      <c r="S8" s="1969">
        <f t="shared" si="3"/>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2923</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4">D10-$T9</f>
        <v>100</v>
      </c>
      <c r="F10" s="2267">
        <f t="shared" si="4"/>
        <v>100</v>
      </c>
      <c r="G10" s="2267">
        <f t="shared" si="4"/>
        <v>100</v>
      </c>
      <c r="H10" s="2267">
        <f t="shared" si="4"/>
        <v>100</v>
      </c>
      <c r="I10" s="2267">
        <f t="shared" si="4"/>
        <v>100</v>
      </c>
      <c r="J10" s="2267">
        <f t="shared" si="4"/>
        <v>100</v>
      </c>
      <c r="K10" s="2267">
        <f t="shared" si="4"/>
        <v>100</v>
      </c>
      <c r="L10" s="2267">
        <f t="shared" si="4"/>
        <v>100</v>
      </c>
      <c r="M10" s="2267">
        <f t="shared" si="4"/>
        <v>100</v>
      </c>
      <c r="N10" s="2267">
        <f t="shared" si="4"/>
        <v>100</v>
      </c>
      <c r="O10" s="2267">
        <f t="shared" si="4"/>
        <v>100</v>
      </c>
      <c r="P10" s="2267">
        <f t="shared" si="4"/>
        <v>100</v>
      </c>
      <c r="Q10" s="2267">
        <f t="shared" si="4"/>
        <v>100</v>
      </c>
      <c r="R10" s="2267">
        <f t="shared" si="4"/>
        <v>100</v>
      </c>
      <c r="S10" s="2267">
        <f t="shared" si="4"/>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2938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5">D12-$T11</f>
        <v>100</v>
      </c>
      <c r="F12" s="1969">
        <f t="shared" si="5"/>
        <v>100</v>
      </c>
      <c r="G12" s="1969">
        <f t="shared" si="5"/>
        <v>100</v>
      </c>
      <c r="H12" s="1969">
        <f t="shared" si="5"/>
        <v>100</v>
      </c>
      <c r="I12" s="1969">
        <f t="shared" si="5"/>
        <v>100</v>
      </c>
      <c r="J12" s="1969">
        <f t="shared" si="5"/>
        <v>100</v>
      </c>
      <c r="K12" s="1969">
        <f t="shared" si="5"/>
        <v>100</v>
      </c>
      <c r="L12" s="1969">
        <f t="shared" si="5"/>
        <v>100</v>
      </c>
      <c r="M12" s="1969">
        <f t="shared" si="5"/>
        <v>100</v>
      </c>
      <c r="N12" s="1969">
        <f t="shared" si="5"/>
        <v>100</v>
      </c>
      <c r="O12" s="1969">
        <f t="shared" si="5"/>
        <v>100</v>
      </c>
      <c r="P12" s="1969">
        <f t="shared" si="5"/>
        <v>100</v>
      </c>
      <c r="Q12" s="1969">
        <f t="shared" si="5"/>
        <v>100</v>
      </c>
      <c r="R12" s="1969">
        <f t="shared" si="5"/>
        <v>100</v>
      </c>
      <c r="S12" s="1969">
        <f t="shared" si="5"/>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600" t="s">
        <v>20</v>
      </c>
      <c r="D22" s="3601"/>
      <c r="E22" s="3601"/>
      <c r="F22" s="3601"/>
      <c r="G22" s="3601"/>
      <c r="H22" s="3601"/>
      <c r="I22" s="3601"/>
      <c r="J22" s="3601"/>
      <c r="K22" s="3601"/>
      <c r="L22" s="3601"/>
      <c r="M22" s="3601"/>
      <c r="N22" s="3601"/>
      <c r="O22" s="3601"/>
      <c r="P22" s="3601"/>
      <c r="Q22" s="3602"/>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广东锦峰地产投资有限公司：</v>
      </c>
    </row>
    <row r="4" spans="1:4" ht="37.5">
      <c r="A4" s="1792" t="str">
        <f>"受贵公司委托，我公司对"&amp;项目基本情况!K2&amp;项目基本情况!B9&amp;"进行了预评估。"</f>
        <v>受贵公司委托，我公司对广东省汕头市龙湖区海湾公园片区（335-00-02-096）出让国有建设用地使用权市场价格进行了预评估。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汕头市龙湖区海湾公园片区（335-00-02-096）出让国有建设用地使用权。根据《国有土地使用证》[汕国用（2013）第10700250]，估价对象（分摊）出让国有建设用地使用权面积为15168.4平方米。根据《建设工程规划许可证》[[2014]汕规建字第015号]，估价对象规划建筑面积为67516.63平方米。</v>
      </c>
    </row>
    <row r="7" spans="1:4" ht="93.75">
      <c r="A7" s="2897" t="s">
        <v>2748</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2026</v>
      </c>
    </row>
    <row r="11" spans="1:4" ht="18.75">
      <c r="A11" s="1781" t="str">
        <f>TEXT(项目基本情况!D3,"yyyy年m月d日;;")&amp;IF(项目基本情况!B3=项目基本情况!D3,"（评估专业人员勘察现场之日）","")</f>
        <v>2018年5月24日（评估专业人员勘察现场之日）</v>
      </c>
    </row>
    <row r="12" spans="1:4" ht="18.75">
      <c r="A12" s="1798" t="s">
        <v>2025</v>
      </c>
    </row>
    <row r="13" spans="1:4" ht="18.75">
      <c r="A13" s="1792" t="s">
        <v>2071</v>
      </c>
    </row>
    <row r="14" spans="1:4" ht="37.5">
      <c r="A14" s="1792" t="str">
        <f>"根据"&amp;项目基本情况!F12&amp;"，本次评估估价对象证载（地类）用途为"&amp;项目基本情况!B12&amp;"。"</f>
        <v>根据《国有土地使用证》[汕国用（2013）第10700250]，本次评估估价对象证载（地类）用途为住宅。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根据《国有土地使用证》[汕国用（2013）第10700250]，估价对象（分摊）出让国有建设用地使用权面积为15168.4平方米。根据《建设工程规划许可证》[[2014]汕规建字第015号]，估价对象规划建筑面积为67516.63平方米。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899" t="s">
        <v>2749</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商业、地下车库，剩余土地使用年限为住宅55.5年、商业25.5年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2788</v>
      </c>
      <c r="C1" s="3028">
        <f>项目基本情况!D3</f>
        <v>43244</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2819</v>
      </c>
      <c r="C2" s="3029">
        <f>'数据-取费表'!B22</f>
        <v>2</v>
      </c>
      <c r="D2" s="3024" t="s">
        <v>2789</v>
      </c>
      <c r="E2" s="3027">
        <f ca="1">INDIRECT("I"&amp;$I$1)/100</f>
        <v>4.7500000000000001E-2</v>
      </c>
      <c r="G2" s="2964"/>
      <c r="H2" s="2964"/>
      <c r="I2" s="2964" t="s">
        <v>2790</v>
      </c>
      <c r="K2" s="2964"/>
      <c r="L2" s="2964"/>
      <c r="M2" s="2964"/>
      <c r="N2" s="2964" t="s">
        <v>2791</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2821</v>
      </c>
      <c r="C3" s="3026">
        <f>'数据-取费表'!B19</f>
        <v>0</v>
      </c>
      <c r="D3" s="3024" t="s">
        <v>2789</v>
      </c>
      <c r="E3" s="3027">
        <f ca="1">INDIRECT("J"&amp;$J$1)/100</f>
        <v>0</v>
      </c>
      <c r="G3" s="2966" t="s">
        <v>2792</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2820</v>
      </c>
      <c r="C4" s="3027">
        <f ca="1">N4/100</f>
        <v>1.4999999999999999E-2</v>
      </c>
      <c r="G4" s="2972" t="s">
        <v>2793</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2794</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2795</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2796</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2797</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2798</v>
      </c>
      <c r="C10" s="2991"/>
      <c r="D10" s="2991"/>
      <c r="E10" s="2991"/>
      <c r="F10" s="2991"/>
      <c r="G10" s="2991"/>
      <c r="H10" s="2991"/>
      <c r="I10" s="2965"/>
      <c r="J10" s="2965"/>
      <c r="K10" s="2991"/>
      <c r="L10" s="2992" t="s">
        <v>2799</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2800</v>
      </c>
      <c r="C11" s="2996" t="s">
        <v>2801</v>
      </c>
      <c r="D11" s="2997" t="s">
        <v>2802</v>
      </c>
      <c r="E11" s="2998"/>
      <c r="F11" s="2997" t="s">
        <v>2803</v>
      </c>
      <c r="G11" s="2999"/>
      <c r="H11" s="2998"/>
      <c r="I11" s="2997" t="s">
        <v>2804</v>
      </c>
      <c r="J11" s="2998"/>
      <c r="K11" s="2994"/>
      <c r="L11" s="2995" t="s">
        <v>2800</v>
      </c>
      <c r="M11" s="2996" t="s">
        <v>2801</v>
      </c>
      <c r="N11" s="2995" t="s">
        <v>2805</v>
      </c>
      <c r="O11" s="2997" t="s">
        <v>2806</v>
      </c>
      <c r="P11" s="2999"/>
      <c r="Q11" s="2999"/>
      <c r="R11" s="2999"/>
      <c r="S11" s="2999"/>
      <c r="T11" s="2998"/>
      <c r="U11" s="2997" t="s">
        <v>2807</v>
      </c>
      <c r="V11" s="2999"/>
      <c r="W11" s="2998"/>
      <c r="X11" s="2995" t="s">
        <v>2808</v>
      </c>
      <c r="Y11" s="2995" t="s">
        <v>2809</v>
      </c>
      <c r="Z11" s="2995" t="s">
        <v>2810</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2811</v>
      </c>
      <c r="E12" s="3004" t="s">
        <v>2812</v>
      </c>
      <c r="F12" s="3004" t="s">
        <v>2813</v>
      </c>
      <c r="G12" s="3004" t="s">
        <v>2814</v>
      </c>
      <c r="H12" s="3004" t="s">
        <v>2796</v>
      </c>
      <c r="I12" s="3005" t="s">
        <v>2815</v>
      </c>
      <c r="J12" s="3005" t="s">
        <v>2815</v>
      </c>
      <c r="K12" s="3001"/>
      <c r="L12" s="3002"/>
      <c r="M12" s="3003"/>
      <c r="N12" s="3002"/>
      <c r="O12" s="3005" t="s">
        <v>2816</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2817</v>
      </c>
      <c r="C13" s="3009">
        <v>42301</v>
      </c>
      <c r="D13" s="3010">
        <v>4.3499999999999996</v>
      </c>
      <c r="E13" s="3010">
        <v>4.3499999999999996</v>
      </c>
      <c r="F13" s="3010">
        <v>4.75</v>
      </c>
      <c r="G13" s="3010">
        <v>4.75</v>
      </c>
      <c r="H13" s="3010">
        <v>4.9000000000000004</v>
      </c>
      <c r="I13" s="3010">
        <v>2.75</v>
      </c>
      <c r="J13" s="3010">
        <v>3.25</v>
      </c>
      <c r="K13" s="3007"/>
      <c r="L13" s="3008" t="s">
        <v>2817</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2818</v>
      </c>
      <c r="Y42" s="3014" t="s">
        <v>2818</v>
      </c>
      <c r="Z42" s="3014" t="s">
        <v>2818</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2818</v>
      </c>
      <c r="Y43" s="3014" t="s">
        <v>2818</v>
      </c>
      <c r="Z43" s="3014" t="s">
        <v>2818</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2818</v>
      </c>
      <c r="Y44" s="3014" t="s">
        <v>2818</v>
      </c>
      <c r="Z44" s="3014" t="s">
        <v>2818</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2818</v>
      </c>
      <c r="Y45" s="3014" t="s">
        <v>2818</v>
      </c>
      <c r="Z45" s="3014" t="s">
        <v>2818</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2818</v>
      </c>
      <c r="Y46" s="3014" t="s">
        <v>2818</v>
      </c>
      <c r="Z46" s="3014" t="s">
        <v>2818</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2818</v>
      </c>
      <c r="Y47" s="3014" t="s">
        <v>2818</v>
      </c>
      <c r="Z47" s="3014" t="s">
        <v>2818</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2818</v>
      </c>
      <c r="Y48" s="3014" t="s">
        <v>2818</v>
      </c>
      <c r="Z48" s="3014" t="s">
        <v>2818</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2818</v>
      </c>
      <c r="Y49" s="3014" t="s">
        <v>2818</v>
      </c>
      <c r="Z49" s="3014" t="s">
        <v>2818</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2818</v>
      </c>
      <c r="Y50" s="3014" t="s">
        <v>2818</v>
      </c>
      <c r="Z50" s="3014" t="s">
        <v>2818</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2818</v>
      </c>
      <c r="V51" s="3014" t="s">
        <v>2818</v>
      </c>
      <c r="W51" s="3014" t="s">
        <v>2818</v>
      </c>
      <c r="X51" s="3014" t="s">
        <v>2818</v>
      </c>
      <c r="Y51" s="3014" t="s">
        <v>2818</v>
      </c>
      <c r="Z51" s="3014" t="s">
        <v>2818</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2818</v>
      </c>
      <c r="J55" s="3014" t="s">
        <v>2818</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16" zoomScale="80" zoomScaleNormal="80" workbookViewId="0">
      <selection activeCell="A39" sqref="A39:XFD39"/>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3063</v>
      </c>
      <c r="D1" s="3155" t="s">
        <v>3044</v>
      </c>
      <c r="E1" s="2411" t="s">
        <v>2374</v>
      </c>
      <c r="F1" s="2412">
        <f ca="1">J53</f>
        <v>33.54</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5561</v>
      </c>
      <c r="C2" s="2057"/>
      <c r="D2" s="2055"/>
      <c r="E2" s="2056"/>
      <c r="F2" s="2056"/>
      <c r="G2" s="1591"/>
      <c r="H2" s="2057"/>
      <c r="I2" s="2057"/>
      <c r="J2" s="2057"/>
      <c r="K2" s="2058"/>
      <c r="L2" s="2057"/>
      <c r="M2" s="2057"/>
    </row>
    <row r="3" spans="1:33" ht="18" customHeight="1" thickBot="1">
      <c r="A3" s="833" t="s">
        <v>1728</v>
      </c>
      <c r="B3" s="834">
        <f ca="1">IF(ISERROR(B2*10000/F43),0,ROUND(B2*10000/F43,0))</f>
        <v>9482</v>
      </c>
      <c r="C3" s="2057"/>
      <c r="D3" s="2055"/>
      <c r="E3" s="2056"/>
      <c r="F3" s="2056"/>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2458</v>
      </c>
      <c r="C5" s="55">
        <f ca="1">C6+C10+C12</f>
        <v>364</v>
      </c>
      <c r="D5" s="2520" t="s">
        <v>2461</v>
      </c>
      <c r="E5" s="2514"/>
      <c r="F5" s="2515"/>
      <c r="G5" s="1593"/>
      <c r="H5" s="781">
        <v>1</v>
      </c>
      <c r="I5" s="782" t="s">
        <v>2458</v>
      </c>
      <c r="J5" s="55">
        <f ca="1">J6+J10+J12</f>
        <v>0</v>
      </c>
      <c r="K5" s="2520" t="s">
        <v>2461</v>
      </c>
      <c r="L5" s="2514"/>
      <c r="M5" s="2515"/>
    </row>
    <row r="6" spans="1:33" ht="18" customHeight="1">
      <c r="A6" s="1831" t="s">
        <v>1825</v>
      </c>
      <c r="B6" s="3471" t="s">
        <v>2463</v>
      </c>
      <c r="C6" s="783">
        <f ca="1">ROUND(F6*F8*F7*(1-F9)/10000,0)</f>
        <v>364</v>
      </c>
      <c r="D6" s="2521" t="s">
        <v>2462</v>
      </c>
      <c r="E6" s="784" t="s">
        <v>1739</v>
      </c>
      <c r="F6" s="785">
        <f ca="1">INDIRECT("'数据-取费表'!u"&amp;$G$1)</f>
        <v>2</v>
      </c>
      <c r="G6" s="1593"/>
      <c r="H6" s="2528" t="s">
        <v>2468</v>
      </c>
      <c r="I6" s="3471" t="s">
        <v>2463</v>
      </c>
      <c r="J6" s="783">
        <f ca="1">ROUND(M6*M8*M7*(1-M9)/10000,0)</f>
        <v>0</v>
      </c>
      <c r="K6" s="341" t="s">
        <v>1738</v>
      </c>
      <c r="L6" s="784" t="s">
        <v>1739</v>
      </c>
      <c r="M6" s="785">
        <f ca="1">INDIRECT("'数据-取费表'!z"&amp;$G$1)</f>
        <v>0</v>
      </c>
    </row>
    <row r="7" spans="1:33" ht="18" customHeight="1">
      <c r="A7" s="2524"/>
      <c r="B7" s="3472"/>
      <c r="C7" s="788"/>
      <c r="D7" s="789"/>
      <c r="E7" s="784" t="s">
        <v>1740</v>
      </c>
      <c r="F7" s="785">
        <f ca="1">IF(INDIRECT("'数据-取费表'!ah"&amp;$G$1)="",INDIRECT("'数据-取费表'!k"&amp;$G$1),INDIRECT("'数据-取费表'!ah"&amp;$G$1))</f>
        <v>5864.9200000000019</v>
      </c>
      <c r="G7" s="1593"/>
      <c r="H7" s="2513"/>
      <c r="I7" s="3472"/>
      <c r="J7" s="788"/>
      <c r="K7" s="789"/>
      <c r="L7" s="784" t="s">
        <v>1740</v>
      </c>
      <c r="M7" s="785">
        <f ca="1">F7</f>
        <v>5864.9200000000019</v>
      </c>
    </row>
    <row r="8" spans="1:33" ht="18" customHeight="1">
      <c r="A8" s="2517"/>
      <c r="B8" s="3473"/>
      <c r="C8" s="788"/>
      <c r="D8" s="789"/>
      <c r="E8" s="784" t="s">
        <v>1741</v>
      </c>
      <c r="F8" s="785">
        <f ca="1">INDIRECT("'数据-取费表'!ai"&amp;$G$1)</f>
        <v>365</v>
      </c>
      <c r="G8" s="1593"/>
      <c r="H8" s="2513"/>
      <c r="I8" s="3473"/>
      <c r="J8" s="788"/>
      <c r="K8" s="789"/>
      <c r="L8" s="784" t="s">
        <v>1741</v>
      </c>
      <c r="M8" s="785">
        <f ca="1">INDIRECT("'数据-取费表'!ai"&amp;$G$1)</f>
        <v>365</v>
      </c>
    </row>
    <row r="9" spans="1:33" ht="18" customHeight="1">
      <c r="A9" s="786"/>
      <c r="B9" s="3474"/>
      <c r="C9" s="788"/>
      <c r="D9" s="789"/>
      <c r="E9" s="784" t="s">
        <v>1742</v>
      </c>
      <c r="F9" s="794">
        <f ca="1">INDIRECT("'数据-取费表'!w"&amp;$G$1)</f>
        <v>0.15</v>
      </c>
      <c r="G9" s="1593"/>
      <c r="H9" s="2529"/>
      <c r="I9" s="3473"/>
      <c r="J9" s="788"/>
      <c r="K9" s="789"/>
      <c r="L9" s="795" t="s">
        <v>1742</v>
      </c>
      <c r="M9" s="796">
        <f ca="1">INDIRECT("'数据-取费表'!ab"&amp;$G$1)</f>
        <v>0</v>
      </c>
    </row>
    <row r="10" spans="1:33" ht="18" customHeight="1">
      <c r="A10" s="1831" t="s">
        <v>2466</v>
      </c>
      <c r="B10" s="2518" t="s">
        <v>2459</v>
      </c>
      <c r="C10" s="799">
        <f ca="1">ROUND(IF(F10="押一",C6/12*F11,IF(F10="押二",C6/12*2*F11,IF(F10="押三",C6/12*3*F11,C11*F11))),0)</f>
        <v>0</v>
      </c>
      <c r="D10" s="2525" t="s">
        <v>2973</v>
      </c>
      <c r="E10" s="2522" t="s">
        <v>2464</v>
      </c>
      <c r="F10" s="3197" t="s">
        <v>3149</v>
      </c>
      <c r="G10" s="1593"/>
      <c r="H10" s="2585" t="s">
        <v>2469</v>
      </c>
      <c r="I10" s="2590" t="s">
        <v>2459</v>
      </c>
      <c r="J10" s="783">
        <f ca="1">ROUND(IF(M10="押一",J6/12*M11,IF(M10="押二",J6/12*2*M11,IF(M10="押三",J6/12*3*M11,J11*M11))),0)</f>
        <v>0</v>
      </c>
      <c r="K10" s="2525" t="s">
        <v>2973</v>
      </c>
      <c r="L10" s="2522" t="s">
        <v>2464</v>
      </c>
      <c r="M10" s="2645"/>
    </row>
    <row r="11" spans="1:33" ht="18" customHeight="1">
      <c r="A11" s="790"/>
      <c r="B11" s="2519" t="s">
        <v>2573</v>
      </c>
      <c r="C11" s="2523"/>
      <c r="D11" s="789"/>
      <c r="E11" s="2522" t="s">
        <v>2465</v>
      </c>
      <c r="F11" s="796">
        <f ca="1">'数据-取费表'!B39</f>
        <v>1.4999999999999999E-2</v>
      </c>
      <c r="G11" s="1593"/>
      <c r="H11" s="2586"/>
      <c r="I11" s="2519" t="s">
        <v>2573</v>
      </c>
      <c r="J11" s="2523"/>
      <c r="K11" s="2587"/>
      <c r="L11" s="2522" t="s">
        <v>2465</v>
      </c>
      <c r="M11" s="2516">
        <f ca="1">'数据-取费表'!B39</f>
        <v>1.4999999999999999E-2</v>
      </c>
    </row>
    <row r="12" spans="1:33" ht="18" customHeight="1" thickBot="1">
      <c r="A12" s="2561" t="s">
        <v>2467</v>
      </c>
      <c r="B12" s="2562" t="s">
        <v>2460</v>
      </c>
      <c r="C12" s="2563"/>
      <c r="D12" s="2564"/>
      <c r="E12" s="2565"/>
      <c r="F12" s="2566"/>
      <c r="G12" s="1593"/>
      <c r="H12" s="2575" t="s">
        <v>2470</v>
      </c>
      <c r="I12" s="2588" t="s">
        <v>2460</v>
      </c>
      <c r="J12" s="2589"/>
      <c r="K12" s="2564"/>
      <c r="L12" s="2565"/>
      <c r="M12" s="2578"/>
    </row>
    <row r="13" spans="1:33" ht="18" customHeight="1" thickTop="1">
      <c r="A13" s="1830">
        <v>2</v>
      </c>
      <c r="B13" s="1828" t="s">
        <v>1743</v>
      </c>
      <c r="C13" s="792">
        <f ca="1">ROUND(C29*F13,0)</f>
        <v>2770</v>
      </c>
      <c r="D13" s="1835" t="s">
        <v>2297</v>
      </c>
      <c r="E13" s="1835" t="s">
        <v>1745</v>
      </c>
      <c r="F13" s="2560">
        <f ca="1">INDIRECT("'数据-取费表'!y"&amp;$G$1)</f>
        <v>1</v>
      </c>
      <c r="G13" s="1593"/>
      <c r="H13" s="1830">
        <v>2</v>
      </c>
      <c r="I13" s="1828" t="s">
        <v>1743</v>
      </c>
      <c r="J13" s="1820">
        <f ca="1">ROUND(J14*J15,0)</f>
        <v>0</v>
      </c>
      <c r="K13" s="1822" t="s">
        <v>1744</v>
      </c>
      <c r="L13" s="2576"/>
      <c r="M13" s="2577"/>
    </row>
    <row r="14" spans="1:33" ht="18" customHeight="1">
      <c r="A14" s="1649" t="s">
        <v>1885</v>
      </c>
      <c r="B14" s="784" t="s">
        <v>645</v>
      </c>
      <c r="C14" s="804">
        <f ca="1">INDIRECT("'数据-取费表'!m"&amp;$G$1)+INDIRECT("'数据-取费表'!t"&amp;$G$1)</f>
        <v>1780</v>
      </c>
      <c r="D14" s="1979" t="s">
        <v>1746</v>
      </c>
      <c r="E14" s="1980"/>
      <c r="F14" s="805"/>
      <c r="G14" s="1593"/>
      <c r="H14" s="1650" t="s">
        <v>1831</v>
      </c>
      <c r="I14" s="2231" t="s">
        <v>2826</v>
      </c>
      <c r="J14" s="53">
        <f ca="1">C29</f>
        <v>2770</v>
      </c>
      <c r="K14" s="26"/>
      <c r="L14" s="801"/>
      <c r="M14" s="802"/>
    </row>
    <row r="15" spans="1:33" s="2064" customFormat="1" ht="18" customHeight="1" thickBot="1">
      <c r="A15" s="1649" t="s">
        <v>1886</v>
      </c>
      <c r="B15" s="784" t="s">
        <v>647</v>
      </c>
      <c r="C15" s="53">
        <f ca="1">ROUND(C14*F15,0)</f>
        <v>53</v>
      </c>
      <c r="D15" s="806" t="s">
        <v>1747</v>
      </c>
      <c r="E15" s="806" t="s">
        <v>1748</v>
      </c>
      <c r="F15" s="807">
        <f>'数据-取费表'!B33</f>
        <v>0.03</v>
      </c>
      <c r="G15" s="1594"/>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276</v>
      </c>
      <c r="K16" s="1822" t="s">
        <v>1751</v>
      </c>
      <c r="L16" s="2510"/>
      <c r="M16" s="2515"/>
    </row>
    <row r="17" spans="1:33" s="2064" customFormat="1" ht="18" customHeight="1">
      <c r="A17" s="1649" t="s">
        <v>1888</v>
      </c>
      <c r="B17" s="784" t="s">
        <v>653</v>
      </c>
      <c r="C17" s="53">
        <f ca="1">ROUND(F17*(F43+INDIRECT("'数据-取费表'!S"&amp;$G$1))/10000,0)</f>
        <v>119</v>
      </c>
      <c r="D17" s="784" t="s">
        <v>1752</v>
      </c>
      <c r="E17" s="784" t="s">
        <v>1753</v>
      </c>
      <c r="F17" s="56">
        <f>'数据-取费表'!B35</f>
        <v>200</v>
      </c>
      <c r="G17" s="1594"/>
      <c r="H17" s="1650" t="s">
        <v>1831</v>
      </c>
      <c r="I17" s="784" t="s">
        <v>656</v>
      </c>
      <c r="J17" s="53">
        <f ca="1">ROUND(IF(项目基本情况!B11="自然人",J5*M17,J18+J19+J20),0)</f>
        <v>234</v>
      </c>
      <c r="K17" s="2509" t="s">
        <v>1754</v>
      </c>
      <c r="L17" s="2508" t="s">
        <v>1755</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4" t="s">
        <v>659</v>
      </c>
      <c r="C18" s="53">
        <f ca="1">ROUND(C14*F18,0)</f>
        <v>27</v>
      </c>
      <c r="D18" s="784" t="s">
        <v>1747</v>
      </c>
      <c r="E18" s="784" t="s">
        <v>1748</v>
      </c>
      <c r="F18" s="809">
        <f>'数据-取费表'!B36</f>
        <v>1.4999999999999999E-2</v>
      </c>
      <c r="G18" s="1594"/>
      <c r="H18" s="1649" t="s">
        <v>1885</v>
      </c>
      <c r="I18" s="784" t="s">
        <v>1756</v>
      </c>
      <c r="J18" s="53">
        <f ca="1">ROUND(J5*M18/1.05,1)</f>
        <v>0</v>
      </c>
      <c r="K18" s="2508" t="s">
        <v>1757</v>
      </c>
      <c r="L18" s="784" t="s">
        <v>1748</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1831</v>
      </c>
      <c r="B19" s="784" t="s">
        <v>662</v>
      </c>
      <c r="C19" s="53">
        <f ca="1">SUM(C14:C18)</f>
        <v>1979</v>
      </c>
      <c r="D19" s="261" t="s">
        <v>1758</v>
      </c>
      <c r="E19" s="1982"/>
      <c r="F19" s="56"/>
      <c r="G19" s="1593"/>
      <c r="H19" s="1649" t="s">
        <v>1886</v>
      </c>
      <c r="I19" s="784" t="s">
        <v>1759</v>
      </c>
      <c r="J19" s="53">
        <f ca="1">IF(K19="按租金收入计税",ROUND(J5*M19,1),ROUND(C29*F33*0.7,1))</f>
        <v>232.7</v>
      </c>
      <c r="K19" s="811" t="s">
        <v>665</v>
      </c>
      <c r="L19" s="784" t="s">
        <v>1748</v>
      </c>
      <c r="M19" s="809">
        <f>IF(K19="按租金收入计税",'数据-取费表'!B51,'数据-取费表'!B50)</f>
        <v>1.2E-2</v>
      </c>
    </row>
    <row r="20" spans="1:33" s="2064" customFormat="1" ht="18" customHeight="1">
      <c r="A20" s="1650" t="s">
        <v>1890</v>
      </c>
      <c r="B20" s="784" t="s">
        <v>666</v>
      </c>
      <c r="C20" s="53">
        <f ca="1">ROUND(C19*F20,0)</f>
        <v>40</v>
      </c>
      <c r="D20" s="812" t="s">
        <v>1760</v>
      </c>
      <c r="E20" s="784" t="s">
        <v>1748</v>
      </c>
      <c r="F20" s="809">
        <f>'数据-取费表'!B37</f>
        <v>0.02</v>
      </c>
      <c r="G20" s="1594"/>
      <c r="H20" s="1652" t="s">
        <v>1881</v>
      </c>
      <c r="I20" s="341" t="s">
        <v>1761</v>
      </c>
      <c r="J20" s="54">
        <f ca="1">ROUND(M20*M21/10000,0)</f>
        <v>1</v>
      </c>
      <c r="K20" s="814" t="s">
        <v>1762</v>
      </c>
      <c r="L20" s="784" t="s">
        <v>1763</v>
      </c>
      <c r="M20" s="640">
        <f>'数据-取费表'!B52</f>
        <v>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4" t="s">
        <v>1764</v>
      </c>
      <c r="C21" s="53" t="s">
        <v>1765</v>
      </c>
      <c r="D21" s="812" t="s">
        <v>2298</v>
      </c>
      <c r="E21" s="784" t="s">
        <v>1766</v>
      </c>
      <c r="F21" s="809">
        <f>'数据-取费表'!B38</f>
        <v>0.03</v>
      </c>
      <c r="G21" s="1594"/>
      <c r="H21" s="2530"/>
      <c r="I21" s="793"/>
      <c r="J21" s="69"/>
      <c r="K21" s="816"/>
      <c r="L21" s="784" t="s">
        <v>1767</v>
      </c>
      <c r="M21" s="785">
        <f ca="1">INDIRECT("'数据-取费表'!r"&amp;$G$1)</f>
        <v>1333.52</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4" t="s">
        <v>1768</v>
      </c>
      <c r="C22" s="53"/>
      <c r="D22" s="2596" t="str">
        <f>IF(F23&lt;=1,"单利计息。","复利计息。")&amp;"建造成本、管理费用、销售费用产生的利息。"</f>
        <v>复利计息。建造成本、管理费用、销售费用产生的利息。</v>
      </c>
      <c r="E22" s="1982"/>
      <c r="F22" s="56"/>
      <c r="G22" s="1593"/>
      <c r="H22" s="1650" t="s">
        <v>1890</v>
      </c>
      <c r="I22" s="784" t="s">
        <v>1769</v>
      </c>
      <c r="J22" s="53">
        <f ca="1">ROUND(J14*M22,0)</f>
        <v>42</v>
      </c>
      <c r="K22" s="2508" t="s">
        <v>1770</v>
      </c>
      <c r="L22" s="784" t="s">
        <v>1748</v>
      </c>
      <c r="M22" s="817">
        <f ca="1">INDIRECT("'数据-取费表'!Ak"&amp;$G$1)</f>
        <v>1.4999999999999999E-2</v>
      </c>
    </row>
    <row r="23" spans="1:33" s="2064" customFormat="1" ht="18" customHeight="1">
      <c r="A23" s="1649" t="s">
        <v>1832</v>
      </c>
      <c r="B23" s="784" t="s">
        <v>2535</v>
      </c>
      <c r="C23" s="53">
        <f ca="1">ROUND(IF('数据-取费表'!B22&lt;=1,(C19+C20)*F24*F23/2,(C19+C20)*(POWER((1+F24),F23/2)-1)),0)</f>
        <v>96</v>
      </c>
      <c r="D23" s="2595"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508" t="s">
        <v>1772</v>
      </c>
      <c r="L23" s="784" t="s">
        <v>1748</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4" t="s">
        <v>1773</v>
      </c>
      <c r="C24" s="53">
        <f ca="1">ROUND(IF('数据-取费表'!B22&lt;=1,F21*F24*F23/2,F21*(POWER((1+F24),F23/2)-1)),4)</f>
        <v>1.4E-3</v>
      </c>
      <c r="D24" s="2595" t="str">
        <f>IF(F23&lt;=1,"销售费用×利率×(建设周期÷2)","销售费用×((1+利率)^(建设周期÷2)-1)")</f>
        <v>销售费用×((1+利率)^(建设周期÷2)-1)</v>
      </c>
      <c r="E24" s="784" t="s">
        <v>1774</v>
      </c>
      <c r="F24" s="819">
        <f ca="1">'数据-取费表'!B40</f>
        <v>4.7500000000000001E-2</v>
      </c>
      <c r="G24" s="1594"/>
      <c r="H24" s="2575" t="s">
        <v>1892</v>
      </c>
      <c r="I24" s="2570" t="s">
        <v>666</v>
      </c>
      <c r="J24" s="2568">
        <f ca="1">ROUND(J5*M24,0)</f>
        <v>0</v>
      </c>
      <c r="K24" s="2569" t="s">
        <v>1775</v>
      </c>
      <c r="L24" s="2570" t="s">
        <v>1748</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4" t="s">
        <v>684</v>
      </c>
      <c r="C25" s="53"/>
      <c r="D25" s="261" t="s">
        <v>1776</v>
      </c>
      <c r="E25" s="1982"/>
      <c r="F25" s="56"/>
      <c r="G25" s="1593"/>
      <c r="H25" s="1830" t="s">
        <v>1777</v>
      </c>
      <c r="I25" s="3034" t="s">
        <v>2822</v>
      </c>
      <c r="J25" s="792">
        <f ca="1">J5-J16</f>
        <v>-276</v>
      </c>
      <c r="K25" s="2572" t="s">
        <v>1778</v>
      </c>
      <c r="L25" s="2573"/>
      <c r="M25" s="2574"/>
    </row>
    <row r="26" spans="1:33" ht="18" customHeight="1">
      <c r="A26" s="1649" t="s">
        <v>1832</v>
      </c>
      <c r="B26" s="784" t="s">
        <v>2438</v>
      </c>
      <c r="C26" s="53">
        <f ca="1">ROUND((C19+C20)*F26,0)</f>
        <v>404</v>
      </c>
      <c r="D26" s="812" t="s">
        <v>1779</v>
      </c>
      <c r="E26" s="795" t="s">
        <v>1780</v>
      </c>
      <c r="F26" s="794">
        <f ca="1">INDIRECT("'数据-取费表'!q"&amp;$G$1)</f>
        <v>0.2</v>
      </c>
      <c r="G26" s="1593"/>
      <c r="H26" s="2526" t="s">
        <v>1781</v>
      </c>
      <c r="I26" s="2232" t="s">
        <v>2827</v>
      </c>
      <c r="J26" s="783">
        <f ca="1">IF(J5&lt;&gt;0,ROUND(J25*(1-((1+M28)/(1+M26))^M27)/(M26-M28),0),0)</f>
        <v>0</v>
      </c>
      <c r="K26" s="814" t="s">
        <v>1782</v>
      </c>
      <c r="L26" s="784" t="s">
        <v>2419</v>
      </c>
      <c r="M26" s="794">
        <f ca="1">INDIRECT("'数据-取费表'!I"&amp;$G$1)</f>
        <v>4.4999999999999998E-2</v>
      </c>
    </row>
    <row r="27" spans="1:33" ht="18" customHeight="1">
      <c r="A27" s="1649" t="s">
        <v>1833</v>
      </c>
      <c r="B27" s="784" t="s">
        <v>686</v>
      </c>
      <c r="C27" s="53">
        <f ca="1">ROUND(F21*F26,4)</f>
        <v>6.0000000000000001E-3</v>
      </c>
      <c r="D27" s="812" t="s">
        <v>1783</v>
      </c>
      <c r="E27" s="806"/>
      <c r="F27" s="807"/>
      <c r="G27" s="1593"/>
      <c r="H27" s="2527"/>
      <c r="I27" s="787"/>
      <c r="J27" s="788"/>
      <c r="K27" s="821" t="s">
        <v>1784</v>
      </c>
      <c r="L27" s="784" t="s">
        <v>1785</v>
      </c>
      <c r="M27" s="822">
        <f ca="1">INDIRECT("'数据-取费表'!ag"&amp;$G$1)</f>
        <v>0</v>
      </c>
    </row>
    <row r="28" spans="1:33" s="2064" customFormat="1" ht="18" customHeight="1">
      <c r="A28" s="1651" t="s">
        <v>1842</v>
      </c>
      <c r="B28" s="784" t="s">
        <v>687</v>
      </c>
      <c r="C28" s="53">
        <f>ROUND(F28/(1+'数据-取费表'!C42),4)</f>
        <v>5.33E-2</v>
      </c>
      <c r="D28" s="812" t="s">
        <v>2299</v>
      </c>
      <c r="E28" s="784" t="s">
        <v>1786</v>
      </c>
      <c r="F28" s="809">
        <f>'数据-取费表'!B41</f>
        <v>5.6000000000000001E-2</v>
      </c>
      <c r="G28" s="1594"/>
      <c r="H28" s="1830"/>
      <c r="I28" s="791"/>
      <c r="J28" s="792"/>
      <c r="K28" s="816"/>
      <c r="L28" s="784" t="s">
        <v>1787</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2300</v>
      </c>
      <c r="C29" s="2568">
        <f ca="1">ROUND((C19+C20+C23+C26)/(1-F21-C24-C27-C28),0)</f>
        <v>2770</v>
      </c>
      <c r="D29" s="2569"/>
      <c r="E29" s="2570"/>
      <c r="F29" s="2571"/>
      <c r="G29" s="1594"/>
      <c r="H29" s="823" t="s">
        <v>1788</v>
      </c>
      <c r="I29" s="824" t="s">
        <v>1789</v>
      </c>
      <c r="J29" s="825">
        <f ca="1">ROUND(J26/(1+F40)^F41,0)</f>
        <v>0</v>
      </c>
      <c r="K29" s="826" t="s">
        <v>1790</v>
      </c>
      <c r="L29" s="827"/>
      <c r="M29" s="828">
        <f ca="1">INDIRECT("'数据-取费表'!k"&amp;$G$1)</f>
        <v>5864.9200000000019</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1894</v>
      </c>
      <c r="B30" s="1828" t="s">
        <v>1791</v>
      </c>
      <c r="C30" s="792">
        <f ca="1">ROUND(C31+C36+C37+C38,0)</f>
        <v>114</v>
      </c>
      <c r="D30" s="1822" t="s">
        <v>1792</v>
      </c>
      <c r="E30" s="2510"/>
      <c r="F30" s="2515"/>
      <c r="G30" s="2062"/>
      <c r="H30" s="2065"/>
      <c r="I30" s="2066"/>
      <c r="J30" s="2067"/>
      <c r="K30" s="2068"/>
      <c r="L30" s="2069"/>
      <c r="M30" s="2070"/>
    </row>
    <row r="31" spans="1:33" ht="18" customHeight="1">
      <c r="A31" s="1650" t="s">
        <v>1831</v>
      </c>
      <c r="B31" s="784" t="s">
        <v>656</v>
      </c>
      <c r="C31" s="53">
        <f ca="1">ROUND(IF(项目基本情况!B11="自然人",C5*F31,C32+C33+C34),1)</f>
        <v>64.2</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4" t="s">
        <v>1795</v>
      </c>
      <c r="C32" s="53">
        <f ca="1">ROUND(C5*F32/1.05,1)</f>
        <v>19.399999999999999</v>
      </c>
      <c r="D32" s="1977" t="s">
        <v>1796</v>
      </c>
      <c r="E32" s="784" t="s">
        <v>1797</v>
      </c>
      <c r="F32" s="809">
        <f>'数据-取费表'!B41</f>
        <v>5.6000000000000001E-2</v>
      </c>
      <c r="G32" s="2062"/>
      <c r="H32" s="2071"/>
      <c r="I32" s="2072"/>
      <c r="J32" s="2073"/>
      <c r="K32" s="2074"/>
      <c r="L32" s="2075"/>
      <c r="M32" s="2076"/>
    </row>
    <row r="33" spans="1:18" ht="18" customHeight="1">
      <c r="A33" s="1649" t="s">
        <v>1833</v>
      </c>
      <c r="B33" s="784" t="s">
        <v>1798</v>
      </c>
      <c r="C33" s="53">
        <f ca="1">IF(D33="按租金收入计税",ROUND(C5*F33,1),IF(D33="按房产原值计税",ROUND(C29*F33*0.7,1),INDIRECT("'数据-取费表'!Aj"&amp;$G$1)))</f>
        <v>43.7</v>
      </c>
      <c r="D33" s="811" t="s">
        <v>3046</v>
      </c>
      <c r="E33" s="784" t="s">
        <v>1797</v>
      </c>
      <c r="F33" s="809">
        <f>IF(D33="按租金收入计税",'数据-取费表'!B51,'数据-取费表'!B50)</f>
        <v>0.12</v>
      </c>
      <c r="G33" s="2062"/>
      <c r="H33" s="2077"/>
      <c r="I33" s="2077"/>
      <c r="J33" s="2077"/>
      <c r="K33" s="2078"/>
      <c r="L33" s="2077"/>
      <c r="M33" s="2077"/>
    </row>
    <row r="34" spans="1:18" ht="18" customHeight="1">
      <c r="A34" s="1652" t="s">
        <v>1834</v>
      </c>
      <c r="B34" s="341" t="s">
        <v>1799</v>
      </c>
      <c r="C34" s="54">
        <f ca="1">ROUND(F34*F35/10000,1)</f>
        <v>1.1000000000000001</v>
      </c>
      <c r="D34" s="814" t="s">
        <v>1800</v>
      </c>
      <c r="E34" s="784" t="s">
        <v>1801</v>
      </c>
      <c r="F34" s="640">
        <f>'数据-取费表'!B52</f>
        <v>8</v>
      </c>
      <c r="G34" s="2062"/>
      <c r="H34" s="2065"/>
      <c r="I34" s="835" t="s">
        <v>1814</v>
      </c>
      <c r="J34" s="836"/>
      <c r="K34" s="2080"/>
      <c r="L34" s="2079"/>
      <c r="M34" s="2079"/>
    </row>
    <row r="35" spans="1:18" ht="18" customHeight="1">
      <c r="A35" s="815"/>
      <c r="B35" s="793"/>
      <c r="C35" s="69"/>
      <c r="D35" s="816"/>
      <c r="E35" s="784" t="s">
        <v>1802</v>
      </c>
      <c r="F35" s="785">
        <f ca="1">INDIRECT("'数据-取费表'!r"&amp;$G$1)</f>
        <v>1333.52</v>
      </c>
      <c r="G35" s="2062"/>
      <c r="H35" s="2065"/>
      <c r="I35" s="837" t="s">
        <v>1815</v>
      </c>
      <c r="J35" s="838">
        <f ca="1">ROUND(C13*J36,0)</f>
        <v>208</v>
      </c>
      <c r="K35" s="2078"/>
      <c r="L35" s="2077"/>
      <c r="M35" s="2077"/>
    </row>
    <row r="36" spans="1:18" ht="18" customHeight="1">
      <c r="A36" s="1650" t="s">
        <v>1890</v>
      </c>
      <c r="B36" s="784" t="s">
        <v>1803</v>
      </c>
      <c r="C36" s="53">
        <f ca="1">ROUND(C29*F36,1)</f>
        <v>41.6</v>
      </c>
      <c r="D36" s="1977" t="s">
        <v>1804</v>
      </c>
      <c r="E36" s="784" t="s">
        <v>1797</v>
      </c>
      <c r="F36" s="817">
        <f ca="1">INDIRECT("'数据-取费表'!Ak"&amp;$G$1)</f>
        <v>1.4999999999999999E-2</v>
      </c>
      <c r="G36" s="2062"/>
      <c r="H36" s="2077"/>
      <c r="I36" s="839" t="s">
        <v>1816</v>
      </c>
      <c r="J36" s="840">
        <f ca="1">INDIRECT("'数据-取费表'!j"&amp;$G$1)</f>
        <v>7.4999999999999997E-2</v>
      </c>
      <c r="K36" s="2082"/>
      <c r="L36" s="2077"/>
      <c r="M36" s="2077"/>
    </row>
    <row r="37" spans="1:18" ht="18" customHeight="1">
      <c r="A37" s="1650" t="s">
        <v>1891</v>
      </c>
      <c r="B37" s="784" t="s">
        <v>679</v>
      </c>
      <c r="C37" s="53">
        <f ca="1">ROUND(C13*F37,1)</f>
        <v>4.2</v>
      </c>
      <c r="D37" s="1977" t="s">
        <v>1805</v>
      </c>
      <c r="E37" s="784" t="s">
        <v>1797</v>
      </c>
      <c r="F37" s="818">
        <f ca="1">INDIRECT("'数据-取费表'!Al"&amp;$G$1)</f>
        <v>1.5E-3</v>
      </c>
      <c r="G37" s="2062"/>
      <c r="H37" s="2077"/>
      <c r="I37" s="841" t="s">
        <v>1817</v>
      </c>
      <c r="J37" s="842"/>
      <c r="K37" s="2082"/>
      <c r="L37" s="2077"/>
      <c r="M37" s="2077"/>
    </row>
    <row r="38" spans="1:18" ht="18" customHeight="1" thickBot="1">
      <c r="A38" s="2575" t="s">
        <v>1892</v>
      </c>
      <c r="B38" s="2570" t="s">
        <v>666</v>
      </c>
      <c r="C38" s="2568">
        <f ca="1">ROUND(C5*F38,1)</f>
        <v>3.6</v>
      </c>
      <c r="D38" s="2569" t="s">
        <v>1806</v>
      </c>
      <c r="E38" s="2570" t="s">
        <v>1797</v>
      </c>
      <c r="F38" s="2566">
        <f ca="1">INDIRECT("'数据-取费表'!Am"&amp;$G$1)</f>
        <v>0.01</v>
      </c>
      <c r="G38" s="2062"/>
      <c r="H38" s="2077"/>
      <c r="I38" s="843" t="s">
        <v>1818</v>
      </c>
      <c r="J38" s="844"/>
      <c r="K38" s="2083"/>
      <c r="L38" s="2077"/>
      <c r="M38" s="2077"/>
    </row>
    <row r="39" spans="1:18" ht="24.6" customHeight="1" thickTop="1">
      <c r="A39" s="1830" t="s">
        <v>1895</v>
      </c>
      <c r="B39" s="3034" t="s">
        <v>2822</v>
      </c>
      <c r="C39" s="792">
        <f ca="1">C5-C30</f>
        <v>250</v>
      </c>
      <c r="D39" s="2572" t="s">
        <v>1807</v>
      </c>
      <c r="E39" s="2573"/>
      <c r="F39" s="2574"/>
      <c r="G39" s="2062"/>
      <c r="H39" s="2077"/>
      <c r="I39" s="837" t="s">
        <v>1819</v>
      </c>
      <c r="J39" s="845">
        <f ca="1">ROUND(J35/C39,3)</f>
        <v>0.83199999999999996</v>
      </c>
      <c r="K39" s="2083"/>
      <c r="L39" s="2077"/>
      <c r="M39" s="2077"/>
    </row>
    <row r="40" spans="1:18" ht="18" customHeight="1">
      <c r="A40" s="781" t="s">
        <v>1896</v>
      </c>
      <c r="B40" s="2232" t="s">
        <v>2301</v>
      </c>
      <c r="C40" s="783">
        <f ca="1">ROUND(C39*(1-((1+F42)/(1+F40))^F41)/(F40-F42),0)</f>
        <v>5561</v>
      </c>
      <c r="D40" s="814" t="s">
        <v>1808</v>
      </c>
      <c r="E40" s="784" t="s">
        <v>2419</v>
      </c>
      <c r="F40" s="794">
        <f ca="1">INDIRECT("'数据-取费表'!I"&amp;$G$1)</f>
        <v>4.4999999999999998E-2</v>
      </c>
      <c r="G40" s="2062"/>
      <c r="H40" s="2062"/>
      <c r="I40" s="837" t="s">
        <v>1820</v>
      </c>
      <c r="J40" s="845">
        <f ca="1">1-J39</f>
        <v>0.16800000000000004</v>
      </c>
      <c r="K40" s="2083"/>
      <c r="L40" s="2062"/>
      <c r="M40" s="2062"/>
    </row>
    <row r="41" spans="1:18" ht="18" customHeight="1">
      <c r="A41" s="786"/>
      <c r="B41" s="787"/>
      <c r="C41" s="788"/>
      <c r="D41" s="821" t="s">
        <v>1809</v>
      </c>
      <c r="E41" s="784" t="s">
        <v>2963</v>
      </c>
      <c r="F41" s="822">
        <f ca="1">IF(INDIRECT("'数据-取费表'!af"&amp;$G$1)=0,INDIRECT("'数据-取费表'!ae"&amp;$G$1),INDIRECT("'数据-取费表'!af"&amp;$G$1))</f>
        <v>33.54</v>
      </c>
      <c r="G41" s="2062"/>
      <c r="H41" s="1988"/>
      <c r="I41" s="843" t="s">
        <v>1821</v>
      </c>
      <c r="J41" s="846"/>
      <c r="K41" s="2082"/>
      <c r="L41" s="1988"/>
      <c r="M41" s="1988"/>
    </row>
    <row r="42" spans="1:18" ht="18" customHeight="1">
      <c r="A42" s="790"/>
      <c r="B42" s="791"/>
      <c r="C42" s="792"/>
      <c r="D42" s="816"/>
      <c r="E42" s="784" t="s">
        <v>1810</v>
      </c>
      <c r="F42" s="794">
        <f ca="1">INDIRECT("'数据-取费表'!v"&amp;$G$1)</f>
        <v>0.02</v>
      </c>
      <c r="G42" s="2062"/>
      <c r="H42" s="1988"/>
      <c r="I42" s="847" t="s">
        <v>1822</v>
      </c>
      <c r="J42" s="845">
        <f ca="1">ROUND(C13/C40,3)</f>
        <v>0.498</v>
      </c>
      <c r="K42" s="2082"/>
      <c r="L42" s="1988"/>
      <c r="M42" s="1988"/>
    </row>
    <row r="43" spans="1:18" ht="18" customHeight="1" thickBot="1">
      <c r="A43" s="823" t="s">
        <v>1788</v>
      </c>
      <c r="B43" s="824" t="s">
        <v>1811</v>
      </c>
      <c r="C43" s="825">
        <f ca="1">ROUND(C40*10000/F43,0)</f>
        <v>9482</v>
      </c>
      <c r="D43" s="826" t="s">
        <v>1812</v>
      </c>
      <c r="E43" s="827" t="s">
        <v>1813</v>
      </c>
      <c r="F43" s="828">
        <f ca="1">INDIRECT("'数据-取费表'!k"&amp;$G$1)</f>
        <v>5864.9200000000019</v>
      </c>
      <c r="G43" s="2062"/>
      <c r="H43" s="1988"/>
      <c r="I43" s="847" t="s">
        <v>1823</v>
      </c>
      <c r="J43" s="848">
        <f ca="1">1-J42</f>
        <v>0.502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-6367</v>
      </c>
      <c r="D46" s="2085"/>
      <c r="E46" s="2085"/>
      <c r="F46" s="2085"/>
      <c r="I46" s="2378" t="s">
        <v>2342</v>
      </c>
      <c r="J46" s="2379"/>
      <c r="K46" s="2380"/>
      <c r="L46" s="2381">
        <f>IF(OR(M47="住宅",D1="土地（套用方法）"),0,IF(L48&gt;J51,L60,J60))</f>
        <v>0</v>
      </c>
      <c r="O46" s="2418" t="s">
        <v>2410</v>
      </c>
      <c r="P46" s="1593"/>
      <c r="Q46" s="1605"/>
      <c r="R46" s="1593"/>
    </row>
    <row r="47" spans="1:18" s="2059" customFormat="1" ht="18" customHeight="1" thickBot="1">
      <c r="A47" s="2372">
        <v>1</v>
      </c>
      <c r="B47" s="2373" t="s">
        <v>635</v>
      </c>
      <c r="C47" s="2598">
        <f ca="1">C48+C52+C54</f>
        <v>0</v>
      </c>
      <c r="D47" s="2085"/>
      <c r="E47" s="2085"/>
      <c r="F47" s="2085"/>
      <c r="I47" s="2382" t="s">
        <v>2343</v>
      </c>
      <c r="J47" s="2387" t="s">
        <v>3045</v>
      </c>
      <c r="K47" s="2388" t="s">
        <v>2349</v>
      </c>
      <c r="L47" s="2389">
        <f ca="1">INDIRECT("'数据-取费表'!d"&amp;$G$1)</f>
        <v>50</v>
      </c>
      <c r="M47" s="1605" t="str">
        <f>IF(ISNUMBER(FIND("住宅",C1)),"住宅","非住宅")</f>
        <v>非住宅</v>
      </c>
      <c r="O47" s="2419" t="s">
        <v>2375</v>
      </c>
      <c r="P47" s="2420" t="s">
        <v>2376</v>
      </c>
      <c r="Q47" s="2421" t="s">
        <v>2377</v>
      </c>
      <c r="R47" s="2420" t="s">
        <v>2378</v>
      </c>
    </row>
    <row r="48" spans="1:18" s="2059" customFormat="1" ht="18" customHeight="1" thickBot="1">
      <c r="A48" s="2666" t="s">
        <v>2537</v>
      </c>
      <c r="B48" s="2667" t="s">
        <v>2538</v>
      </c>
      <c r="C48" s="2374">
        <f ca="1">ROUND(F48*F50*F49*(1-F51)/10000,0)</f>
        <v>0</v>
      </c>
      <c r="D48" s="2375" t="s">
        <v>636</v>
      </c>
      <c r="E48" s="2376" t="s">
        <v>2296</v>
      </c>
      <c r="F48" s="2377"/>
      <c r="G48" s="2090"/>
      <c r="I48" s="2383" t="s">
        <v>2344</v>
      </c>
      <c r="J48" s="2390" t="s">
        <v>2350</v>
      </c>
      <c r="K48" s="2391" t="s">
        <v>2351</v>
      </c>
      <c r="L48" s="2392">
        <f ca="1">INDIRECT("'数据-取费表'!f"&amp;$G$1)</f>
        <v>35.54</v>
      </c>
      <c r="O48" s="2422" t="s">
        <v>2379</v>
      </c>
      <c r="P48" s="2423" t="s">
        <v>2405</v>
      </c>
      <c r="Q48" s="2424">
        <f ca="1">C40+J29</f>
        <v>5561</v>
      </c>
      <c r="R48" s="2423" t="s">
        <v>2380</v>
      </c>
    </row>
    <row r="49" spans="1:18" s="2059" customFormat="1" ht="18" customHeight="1" thickBot="1">
      <c r="A49" s="786"/>
      <c r="B49" s="787"/>
      <c r="C49" s="788"/>
      <c r="D49" s="789"/>
      <c r="E49" s="784" t="s">
        <v>1740</v>
      </c>
      <c r="F49" s="785">
        <f ca="1">F7</f>
        <v>5864.9200000000019</v>
      </c>
      <c r="G49" s="2090"/>
      <c r="H49" s="2093"/>
      <c r="I49" s="2383" t="s">
        <v>2345</v>
      </c>
      <c r="J49" s="2393">
        <v>2020</v>
      </c>
      <c r="K49" s="2394" t="s">
        <v>2352</v>
      </c>
      <c r="L49" s="2395"/>
      <c r="O49" s="2422" t="s">
        <v>2381</v>
      </c>
      <c r="P49" s="2423" t="s">
        <v>2406</v>
      </c>
      <c r="Q49" s="2424" t="str">
        <f ca="1">J60</f>
        <v>0</v>
      </c>
      <c r="R49" s="2423" t="s">
        <v>2382</v>
      </c>
    </row>
    <row r="50" spans="1:18" s="2059" customFormat="1" ht="18" customHeight="1" thickBot="1">
      <c r="A50" s="786"/>
      <c r="B50" s="787"/>
      <c r="C50" s="788"/>
      <c r="D50" s="789"/>
      <c r="E50" s="784" t="s">
        <v>1741</v>
      </c>
      <c r="F50" s="785">
        <f ca="1">F8</f>
        <v>365</v>
      </c>
      <c r="G50" s="2095"/>
      <c r="H50" s="2093"/>
      <c r="I50" s="2383" t="s">
        <v>2346</v>
      </c>
      <c r="J50" s="2396">
        <f>SUMPRODUCT((I63:I65=J47)*(J62:L62=J48)*(J63:L65))</f>
        <v>60</v>
      </c>
      <c r="K50" s="2394" t="s">
        <v>2353</v>
      </c>
      <c r="L50" s="2395"/>
      <c r="O50" s="2425" t="s">
        <v>2383</v>
      </c>
      <c r="P50" s="2423" t="s">
        <v>2407</v>
      </c>
      <c r="Q50" s="2424">
        <f ca="1">C29</f>
        <v>2770</v>
      </c>
      <c r="R50" s="2423" t="s">
        <v>2380</v>
      </c>
    </row>
    <row r="51" spans="1:18" s="2059" customFormat="1" ht="18" customHeight="1" thickBot="1">
      <c r="A51" s="786"/>
      <c r="B51" s="787"/>
      <c r="C51" s="788"/>
      <c r="D51" s="789"/>
      <c r="E51" s="784" t="s">
        <v>640</v>
      </c>
      <c r="F51" s="2371"/>
      <c r="H51" s="2093"/>
      <c r="I51" s="2384" t="s">
        <v>2347</v>
      </c>
      <c r="J51" s="2397">
        <f>IF(J49="",J50,J49+J50-YEAR('数据-取费表'!B2))</f>
        <v>62</v>
      </c>
      <c r="K51" s="2383" t="s">
        <v>2354</v>
      </c>
      <c r="L51" s="2398">
        <f ca="1">ROUND(-PV(INDIRECT("'数据-取费表'!h"&amp;$G$1),L48,(C39-C13*J36),0),0)</f>
        <v>742</v>
      </c>
      <c r="O51" s="2425" t="s">
        <v>2384</v>
      </c>
      <c r="P51" s="2423" t="s">
        <v>2385</v>
      </c>
      <c r="Q51" s="2426" t="e">
        <f ca="1">J58</f>
        <v>#VALUE!</v>
      </c>
      <c r="R51" s="2427"/>
    </row>
    <row r="52" spans="1:18" s="2059" customFormat="1" ht="18" customHeight="1" thickBot="1">
      <c r="A52" s="781" t="s">
        <v>2536</v>
      </c>
      <c r="B52" s="2518" t="s">
        <v>2459</v>
      </c>
      <c r="C52" s="799">
        <f ca="1">ROUND(IF(F52="押一",C48/12*F11,IF(F52="押二",C48/12*2*F11,IF(F52="押三",C48/12*3*F11,C53*F11))),0)</f>
        <v>0</v>
      </c>
      <c r="D52" s="2525" t="s">
        <v>2974</v>
      </c>
      <c r="E52" s="2522" t="s">
        <v>2464</v>
      </c>
      <c r="F52" s="2645"/>
      <c r="I52" s="2385" t="s">
        <v>2421</v>
      </c>
      <c r="J52" s="2399">
        <v>0.09</v>
      </c>
      <c r="K52" s="2385" t="s">
        <v>2420</v>
      </c>
      <c r="L52" s="2399"/>
      <c r="O52" s="2425" t="s">
        <v>2386</v>
      </c>
      <c r="P52" s="2423" t="s">
        <v>2387</v>
      </c>
      <c r="Q52" s="2426">
        <f>J52</f>
        <v>0.09</v>
      </c>
      <c r="R52" s="2427"/>
    </row>
    <row r="53" spans="1:18" s="2059" customFormat="1" ht="39.75" customHeight="1" thickBot="1">
      <c r="A53" s="786"/>
      <c r="B53" s="2519" t="s">
        <v>2573</v>
      </c>
      <c r="C53" s="2523"/>
      <c r="D53" s="2525"/>
      <c r="E53" s="2522"/>
      <c r="F53" s="800"/>
      <c r="I53" s="2386" t="s">
        <v>2348</v>
      </c>
      <c r="J53" s="2400">
        <f ca="1">IF(M47="住宅",J51,IF(D1="——",MIN(J51,L48),IF(D1="土地（套用方法）",MIN(J51,L48-'数据-取费表'!B20))))</f>
        <v>33.54</v>
      </c>
      <c r="K53" s="3606" t="s">
        <v>2965</v>
      </c>
      <c r="L53" s="3607"/>
      <c r="O53" s="2425" t="s">
        <v>2388</v>
      </c>
      <c r="P53" s="2423" t="s">
        <v>2389</v>
      </c>
      <c r="Q53" s="2424">
        <f ca="1">J53</f>
        <v>33.54</v>
      </c>
      <c r="R53" s="2423" t="s">
        <v>2390</v>
      </c>
    </row>
    <row r="54" spans="1:18" s="2059" customFormat="1" ht="18" customHeight="1" thickBot="1">
      <c r="A54" s="2561" t="s">
        <v>2467</v>
      </c>
      <c r="B54" s="2562" t="s">
        <v>2460</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2391</v>
      </c>
      <c r="P54" s="2423" t="s">
        <v>2408</v>
      </c>
      <c r="Q54" s="2424">
        <f ca="1">Q48+Q49</f>
        <v>5561</v>
      </c>
      <c r="R54" s="2427" t="s">
        <v>2392</v>
      </c>
    </row>
    <row r="55" spans="1:18" s="2059" customFormat="1" ht="18" customHeight="1" thickTop="1" thickBot="1">
      <c r="A55" s="797">
        <v>2</v>
      </c>
      <c r="B55" s="798" t="s">
        <v>644</v>
      </c>
      <c r="C55" s="799">
        <f ca="1">C13</f>
        <v>2770</v>
      </c>
      <c r="D55" s="795"/>
      <c r="E55" s="795"/>
      <c r="F55" s="800"/>
      <c r="I55" s="3126" t="s">
        <v>2355</v>
      </c>
      <c r="J55" s="3125" t="e">
        <f ca="1">ROUND(IF(J47="钢混",J57/J50,1-(1-2%)*(J50-J57)/J50),3)</f>
        <v>#VALUE!</v>
      </c>
      <c r="K55" s="2401" t="s">
        <v>2356</v>
      </c>
      <c r="L55" s="2402"/>
      <c r="O55" s="2428" t="s">
        <v>2411</v>
      </c>
      <c r="P55" s="1593"/>
      <c r="Q55" s="1605"/>
      <c r="R55" s="1593"/>
    </row>
    <row r="56" spans="1:18" s="2059" customFormat="1" ht="42.75" customHeight="1" thickBot="1">
      <c r="A56" s="1651"/>
      <c r="B56" s="2231" t="s">
        <v>2302</v>
      </c>
      <c r="C56" s="53">
        <f ca="1">C29</f>
        <v>2770</v>
      </c>
      <c r="D56" s="2663"/>
      <c r="E56" s="784"/>
      <c r="F56" s="809"/>
      <c r="I56" s="2403" t="s">
        <v>2357</v>
      </c>
      <c r="J56" s="3149" t="s">
        <v>1679</v>
      </c>
      <c r="K56" s="2383" t="s">
        <v>2362</v>
      </c>
      <c r="L56" s="2392" t="str">
        <f ca="1">IF(L48&lt;J51,"——",L48-J51)</f>
        <v>——</v>
      </c>
      <c r="O56" s="2419" t="s">
        <v>2375</v>
      </c>
      <c r="P56" s="2420" t="s">
        <v>2376</v>
      </c>
      <c r="Q56" s="2421" t="s">
        <v>2377</v>
      </c>
      <c r="R56" s="2420" t="s">
        <v>2378</v>
      </c>
    </row>
    <row r="57" spans="1:18" s="2059" customFormat="1" ht="28.5" customHeight="1" thickBot="1">
      <c r="A57" s="797" t="s">
        <v>1749</v>
      </c>
      <c r="B57" s="798" t="s">
        <v>651</v>
      </c>
      <c r="C57" s="799">
        <f ca="1">ROUND(C58+C63+C64+C65,0)</f>
        <v>47</v>
      </c>
      <c r="D57" s="26" t="s">
        <v>1751</v>
      </c>
      <c r="E57" s="2664"/>
      <c r="F57" s="56"/>
      <c r="I57" s="2404" t="s">
        <v>2358</v>
      </c>
      <c r="J57" s="2406" t="str">
        <f ca="1">IF(OR(M47="住宅",J51&lt;L48,J56="是"),"——",J51-L48)</f>
        <v>——</v>
      </c>
      <c r="K57" s="2383" t="s">
        <v>2363</v>
      </c>
      <c r="L57" s="2392" t="str">
        <f ca="1">IF(L48&lt;J51,"——",IF(L55="比较法",L49,IF(L55="基准地价",L50,L51)))</f>
        <v>——</v>
      </c>
      <c r="O57" s="2422" t="s">
        <v>2379</v>
      </c>
      <c r="P57" s="2423" t="s">
        <v>2409</v>
      </c>
      <c r="Q57" s="2424">
        <f ca="1">C40+J29</f>
        <v>5561</v>
      </c>
      <c r="R57" s="2423" t="s">
        <v>2380</v>
      </c>
    </row>
    <row r="58" spans="1:18" s="2059" customFormat="1" ht="28.5" customHeight="1" thickBot="1">
      <c r="A58" s="1650" t="s">
        <v>1825</v>
      </c>
      <c r="B58" s="784" t="s">
        <v>656</v>
      </c>
      <c r="C58" s="53">
        <f ca="1">ROUND(IF(项目基本情况!B11="自然人",C47*F58,C59+C60+C61),1)</f>
        <v>1.1000000000000001</v>
      </c>
      <c r="D58" s="2662" t="s">
        <v>657</v>
      </c>
      <c r="E58" s="2663" t="s">
        <v>690</v>
      </c>
      <c r="F58" s="810" t="str">
        <f ca="1">IF(项目基本情况!B11="企业","",IF(INDIRECT("'数据-取费表'!c"&amp;$G$1)="住宅",5%,IF(F48*F49*F50/12/(1+'数据-取费表'!C42)&gt;20000,12%,7%)))</f>
        <v/>
      </c>
      <c r="I58" s="2404" t="s">
        <v>2359</v>
      </c>
      <c r="J58" s="3127" t="e">
        <f ca="1">IF(J55&lt;0.4,0.4,J55)</f>
        <v>#VALUE!</v>
      </c>
      <c r="K58" s="2383" t="s">
        <v>2364</v>
      </c>
      <c r="L58" s="2392" t="e">
        <f ca="1">ROUND(POWER(1+L52,L47-L48)*(POWER(1+L52,L48)-1)/(POWER(1+L52,L47)-1),4)</f>
        <v>#DIV/0!</v>
      </c>
      <c r="O58" s="2422" t="s">
        <v>2381</v>
      </c>
      <c r="P58" s="2423" t="s">
        <v>2412</v>
      </c>
      <c r="Q58" s="2424">
        <f ca="1">L60</f>
        <v>0</v>
      </c>
      <c r="R58" s="2427" t="s">
        <v>2414</v>
      </c>
    </row>
    <row r="59" spans="1:18" s="2059" customFormat="1" ht="28.5" customHeight="1" thickBot="1">
      <c r="A59" s="1649" t="s">
        <v>1832</v>
      </c>
      <c r="B59" s="784" t="s">
        <v>660</v>
      </c>
      <c r="C59" s="53">
        <f ca="1">ROUND(C47*F59/1.05,1)</f>
        <v>0</v>
      </c>
      <c r="D59" s="2663" t="s">
        <v>1757</v>
      </c>
      <c r="E59" s="784" t="s">
        <v>1748</v>
      </c>
      <c r="F59" s="809">
        <f t="shared" ref="F59:F65" si="0">F32</f>
        <v>5.6000000000000001E-2</v>
      </c>
      <c r="I59" s="2404" t="s">
        <v>2360</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9" t="s">
        <v>1833</v>
      </c>
      <c r="B60" s="784" t="s">
        <v>1759</v>
      </c>
      <c r="C60" s="53">
        <f ca="1">IF(D60="按租金收入计税",ROUND(C47*F60,1),IF(D60="按房产原值计税",ROUND(C56*F60*0.7,1),INDIRECT("'数据-取费表'!Aj"&amp;$G$1)))</f>
        <v>0</v>
      </c>
      <c r="D60" s="2663" t="str">
        <f>D33</f>
        <v>按租金收入计税</v>
      </c>
      <c r="E60" s="784" t="s">
        <v>1748</v>
      </c>
      <c r="F60" s="809">
        <f t="shared" si="0"/>
        <v>0.12</v>
      </c>
      <c r="I60" s="2405" t="s">
        <v>2361</v>
      </c>
      <c r="J60" s="2407" t="str">
        <f ca="1">IF(OR(M47="住宅",J51&lt;L48,J56="是"),"0",ROUND(J59/(1+J52)^J53,0))</f>
        <v>0</v>
      </c>
      <c r="K60" s="2408" t="s">
        <v>2366</v>
      </c>
      <c r="L60" s="2407">
        <f ca="1">IF(OR(M47="住宅",L48&lt;J51),0,ROUND(L57*(L58/L59-1),0))</f>
        <v>0</v>
      </c>
      <c r="O60" s="2425" t="s">
        <v>2384</v>
      </c>
      <c r="P60" s="2423" t="s">
        <v>2393</v>
      </c>
      <c r="Q60" s="2426">
        <f>L52</f>
        <v>0</v>
      </c>
      <c r="R60" s="2427"/>
    </row>
    <row r="61" spans="1:18" s="2059" customFormat="1" ht="18" customHeight="1" thickBot="1">
      <c r="A61" s="1652" t="s">
        <v>1834</v>
      </c>
      <c r="B61" s="341" t="s">
        <v>668</v>
      </c>
      <c r="C61" s="54">
        <f ca="1">ROUND(F61*F62/10000,1)</f>
        <v>1.1000000000000001</v>
      </c>
      <c r="D61" s="814" t="s">
        <v>669</v>
      </c>
      <c r="E61" s="784" t="s">
        <v>670</v>
      </c>
      <c r="F61" s="640">
        <f t="shared" si="0"/>
        <v>8</v>
      </c>
      <c r="K61" s="2086"/>
      <c r="O61" s="2425" t="s">
        <v>2386</v>
      </c>
      <c r="P61" s="2423" t="s">
        <v>2394</v>
      </c>
      <c r="Q61" s="2424" t="e">
        <f ca="1">L58</f>
        <v>#DIV/0!</v>
      </c>
      <c r="R61" s="2427" t="s">
        <v>2395</v>
      </c>
    </row>
    <row r="62" spans="1:18" s="2059" customFormat="1" ht="15.75" thickBot="1">
      <c r="A62" s="815"/>
      <c r="B62" s="793"/>
      <c r="C62" s="69"/>
      <c r="D62" s="816"/>
      <c r="E62" s="784" t="s">
        <v>674</v>
      </c>
      <c r="F62" s="785">
        <f t="shared" ca="1" si="0"/>
        <v>1333.52</v>
      </c>
      <c r="I62" s="2409" t="s">
        <v>2367</v>
      </c>
      <c r="J62" s="2410" t="s">
        <v>2368</v>
      </c>
      <c r="K62" s="2410" t="s">
        <v>2369</v>
      </c>
      <c r="L62" s="2410" t="s">
        <v>2350</v>
      </c>
      <c r="M62" s="3128" t="s">
        <v>2941</v>
      </c>
      <c r="O62" s="2425" t="s">
        <v>2388</v>
      </c>
      <c r="P62" s="2423" t="str">
        <f>K59</f>
        <v>建设期及建筑物耐用年限下的土地年期修正系数Kn</v>
      </c>
      <c r="Q62" s="2424" t="e">
        <f ca="1">L59</f>
        <v>#DIV/0!</v>
      </c>
      <c r="R62" s="2427" t="s">
        <v>2397</v>
      </c>
    </row>
    <row r="63" spans="1:18" s="2059" customFormat="1" ht="15.75" thickBot="1">
      <c r="A63" s="1650" t="s">
        <v>1890</v>
      </c>
      <c r="B63" s="784" t="s">
        <v>676</v>
      </c>
      <c r="C63" s="53">
        <f ca="1">ROUND(C56*F63,1)</f>
        <v>41.6</v>
      </c>
      <c r="D63" s="2663" t="s">
        <v>1804</v>
      </c>
      <c r="E63" s="784" t="s">
        <v>1748</v>
      </c>
      <c r="F63" s="817">
        <f t="shared" ca="1" si="0"/>
        <v>1.4999999999999999E-2</v>
      </c>
      <c r="I63" s="2409" t="s">
        <v>2370</v>
      </c>
      <c r="J63" s="2410">
        <v>70</v>
      </c>
      <c r="K63" s="2410">
        <v>50</v>
      </c>
      <c r="L63" s="2410">
        <v>80</v>
      </c>
      <c r="M63" s="3129">
        <v>0.02</v>
      </c>
      <c r="O63" s="2422" t="s">
        <v>2391</v>
      </c>
      <c r="P63" s="2423" t="s">
        <v>2408</v>
      </c>
      <c r="Q63" s="2424">
        <f ca="1">Q57+Q58</f>
        <v>5561</v>
      </c>
      <c r="R63" s="2427" t="s">
        <v>2392</v>
      </c>
    </row>
    <row r="64" spans="1:18" s="2059" customFormat="1" ht="16.5" thickBot="1">
      <c r="A64" s="1650" t="s">
        <v>1891</v>
      </c>
      <c r="B64" s="784" t="s">
        <v>679</v>
      </c>
      <c r="C64" s="53">
        <f ca="1">ROUND(C55*F64,1)</f>
        <v>4.2</v>
      </c>
      <c r="D64" s="2663" t="s">
        <v>680</v>
      </c>
      <c r="E64" s="784" t="s">
        <v>1748</v>
      </c>
      <c r="F64" s="818">
        <f t="shared" ca="1" si="0"/>
        <v>1.5E-3</v>
      </c>
      <c r="I64" s="2409" t="s">
        <v>2371</v>
      </c>
      <c r="J64" s="2410">
        <v>50</v>
      </c>
      <c r="K64" s="2410">
        <v>35</v>
      </c>
      <c r="L64" s="2410">
        <v>60</v>
      </c>
      <c r="M64" s="3130">
        <v>0</v>
      </c>
      <c r="O64" s="2428" t="s">
        <v>2415</v>
      </c>
      <c r="P64" s="1593"/>
      <c r="Q64" s="1605"/>
      <c r="R64" s="1593"/>
    </row>
    <row r="65" spans="1:18" s="2059" customFormat="1" ht="15.75" thickBot="1">
      <c r="A65" s="1650" t="s">
        <v>1892</v>
      </c>
      <c r="B65" s="784" t="s">
        <v>666</v>
      </c>
      <c r="C65" s="53">
        <f ca="1">ROUND(C47*F65,1)</f>
        <v>0</v>
      </c>
      <c r="D65" s="2663" t="s">
        <v>683</v>
      </c>
      <c r="E65" s="784" t="s">
        <v>1748</v>
      </c>
      <c r="F65" s="794">
        <f t="shared" ca="1" si="0"/>
        <v>0.01</v>
      </c>
      <c r="I65" s="2409" t="s">
        <v>2372</v>
      </c>
      <c r="J65" s="2410">
        <v>40</v>
      </c>
      <c r="K65" s="2410">
        <v>30</v>
      </c>
      <c r="L65" s="2410">
        <v>50</v>
      </c>
      <c r="M65" s="3129">
        <v>0.02</v>
      </c>
      <c r="O65" s="2419" t="s">
        <v>2375</v>
      </c>
      <c r="P65" s="2420" t="s">
        <v>2376</v>
      </c>
      <c r="Q65" s="2421" t="s">
        <v>2377</v>
      </c>
      <c r="R65" s="2420" t="s">
        <v>2378</v>
      </c>
    </row>
    <row r="66" spans="1:18" s="2059" customFormat="1" ht="24.75" thickBot="1">
      <c r="A66" s="797" t="s">
        <v>1777</v>
      </c>
      <c r="B66" s="3035" t="s">
        <v>2822</v>
      </c>
      <c r="C66" s="799">
        <f ca="1">C47-C57</f>
        <v>-47</v>
      </c>
      <c r="D66" s="2662" t="s">
        <v>700</v>
      </c>
      <c r="E66" s="2661"/>
      <c r="F66" s="820"/>
      <c r="K66" s="2086"/>
      <c r="O66" s="2422" t="s">
        <v>2379</v>
      </c>
      <c r="P66" s="2423" t="s">
        <v>2409</v>
      </c>
      <c r="Q66" s="2424">
        <f ca="1">C40+J29</f>
        <v>5561</v>
      </c>
      <c r="R66" s="2423" t="s">
        <v>2380</v>
      </c>
    </row>
    <row r="67" spans="1:18" s="2059" customFormat="1" ht="20.25" thickBot="1">
      <c r="A67" s="781" t="s">
        <v>1781</v>
      </c>
      <c r="B67" s="2232" t="s">
        <v>2301</v>
      </c>
      <c r="C67" s="783">
        <f ca="1">ROUND(C66*(1-((1+F69)/(1+F67))^F68)/(F67-F69),0)</f>
        <v>-806</v>
      </c>
      <c r="D67" s="814" t="s">
        <v>704</v>
      </c>
      <c r="E67" s="784" t="s">
        <v>705</v>
      </c>
      <c r="F67" s="794">
        <f ca="1">F40</f>
        <v>4.4999999999999998E-2</v>
      </c>
      <c r="K67" s="2086"/>
      <c r="O67" s="2422" t="s">
        <v>2381</v>
      </c>
      <c r="P67" s="2423" t="s">
        <v>2412</v>
      </c>
      <c r="Q67" s="2424">
        <f ca="1">L60</f>
        <v>0</v>
      </c>
      <c r="R67" s="2427" t="s">
        <v>2414</v>
      </c>
    </row>
    <row r="68" spans="1:18" ht="21.75" thickBot="1">
      <c r="A68" s="786"/>
      <c r="B68" s="787"/>
      <c r="C68" s="788"/>
      <c r="D68" s="821" t="s">
        <v>1809</v>
      </c>
      <c r="E68" s="784" t="s">
        <v>1785</v>
      </c>
      <c r="F68" s="822">
        <f ca="1">F41</f>
        <v>33.54</v>
      </c>
      <c r="O68" s="2425" t="s">
        <v>2383</v>
      </c>
      <c r="P68" s="2423" t="s">
        <v>2413</v>
      </c>
      <c r="Q68" s="2429">
        <f ca="1">L51</f>
        <v>742</v>
      </c>
      <c r="R68" s="2430" t="s">
        <v>2416</v>
      </c>
    </row>
    <row r="69" spans="1:18" ht="20.25" thickBot="1">
      <c r="A69" s="790"/>
      <c r="B69" s="791"/>
      <c r="C69" s="792"/>
      <c r="D69" s="816"/>
      <c r="E69" s="784" t="s">
        <v>710</v>
      </c>
      <c r="F69" s="2371"/>
      <c r="O69" s="2425" t="s">
        <v>2384</v>
      </c>
      <c r="P69" s="2431" t="s">
        <v>2398</v>
      </c>
      <c r="Q69" s="2424">
        <f ca="1">ROUND(Q70-Q71*Q72,0)</f>
        <v>42</v>
      </c>
      <c r="R69" s="2427"/>
    </row>
    <row r="70" spans="1:18" ht="15.75" thickBot="1">
      <c r="A70" s="823" t="s">
        <v>1788</v>
      </c>
      <c r="B70" s="824" t="s">
        <v>1811</v>
      </c>
      <c r="C70" s="825">
        <f ca="1">ROUND(C67*10000/F70,0)</f>
        <v>-1374</v>
      </c>
      <c r="D70" s="826" t="s">
        <v>1812</v>
      </c>
      <c r="E70" s="827" t="s">
        <v>1813</v>
      </c>
      <c r="F70" s="828">
        <f ca="1">F43</f>
        <v>5864.9200000000019</v>
      </c>
      <c r="O70" s="2425" t="s">
        <v>2399</v>
      </c>
      <c r="P70" s="2431" t="s">
        <v>2400</v>
      </c>
      <c r="Q70" s="2424">
        <f ca="1">C39</f>
        <v>250</v>
      </c>
      <c r="R70" s="2423" t="s">
        <v>2380</v>
      </c>
    </row>
    <row r="71" spans="1:18" ht="15.75" thickBot="1">
      <c r="O71" s="2425" t="s">
        <v>2401</v>
      </c>
      <c r="P71" s="2431" t="s">
        <v>2402</v>
      </c>
      <c r="Q71" s="2424">
        <f ca="1">C13</f>
        <v>2770</v>
      </c>
      <c r="R71" s="2423" t="s">
        <v>2380</v>
      </c>
    </row>
    <row r="72" spans="1:18" ht="15.75" thickBot="1">
      <c r="O72" s="2425" t="s">
        <v>2403</v>
      </c>
      <c r="P72" s="2431" t="s">
        <v>2404</v>
      </c>
      <c r="Q72" s="2426">
        <f ca="1">J36</f>
        <v>7.4999999999999997E-2</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建设期及建筑物耐用年限下的土地年期修正系数Kn</v>
      </c>
      <c r="Q75" s="2424" t="e">
        <f ca="1">L59</f>
        <v>#DIV/0!</v>
      </c>
      <c r="R75" s="2427" t="s">
        <v>2397</v>
      </c>
    </row>
    <row r="76" spans="1:18" ht="15.75" thickBot="1">
      <c r="O76" s="2422" t="s">
        <v>2391</v>
      </c>
      <c r="P76" s="2423" t="s">
        <v>2408</v>
      </c>
      <c r="Q76" s="2424">
        <f ca="1">Q66+Q67</f>
        <v>5561</v>
      </c>
      <c r="R76" s="242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 priority="7">
      <formula>$L$48&gt;$J$51</formula>
    </cfRule>
  </conditionalFormatting>
  <conditionalFormatting sqref="I55">
    <cfRule type="expression" dxfId="2" priority="8">
      <formula>$J$51&gt;$L$48</formula>
    </cfRule>
  </conditionalFormatting>
  <conditionalFormatting sqref="I60">
    <cfRule type="expression" dxfId="1" priority="6">
      <formula>$J$51&gt;$L$48</formula>
    </cfRule>
  </conditionalFormatting>
  <conditionalFormatting sqref="K60">
    <cfRule type="expression" dxfId="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2" t="s">
        <v>2038</v>
      </c>
      <c r="B1" s="3232"/>
      <c r="C1" s="3232"/>
      <c r="D1" s="3232"/>
      <c r="E1" s="3232"/>
      <c r="F1" s="3232"/>
      <c r="G1" s="3232"/>
      <c r="H1" s="3232"/>
      <c r="I1" s="3232"/>
      <c r="J1" s="3232"/>
      <c r="K1" s="3232"/>
      <c r="L1" s="3232"/>
      <c r="M1" s="3232"/>
      <c r="N1" s="3232"/>
      <c r="O1" s="3232"/>
      <c r="P1" s="3232"/>
      <c r="Q1" s="3232"/>
      <c r="R1" s="3232"/>
    </row>
    <row r="2" spans="1:18">
      <c r="A2" s="1808" t="s">
        <v>2040</v>
      </c>
      <c r="B2" s="1808"/>
      <c r="C2" s="1808"/>
      <c r="D2" s="1808"/>
      <c r="E2" s="1808"/>
      <c r="F2" s="1808"/>
      <c r="G2" s="1808"/>
      <c r="H2" s="1808"/>
      <c r="I2" s="1809"/>
      <c r="J2" s="1809"/>
      <c r="K2" s="1810" t="str">
        <f>"估价期日："&amp;TEXT(项目基本情况!D3,"yyyy年m月d日;;")</f>
        <v>估价期日：2018年5月24日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33" t="s">
        <v>2029</v>
      </c>
      <c r="B3" s="3233" t="s">
        <v>2731</v>
      </c>
      <c r="C3" s="3234" t="s">
        <v>2030</v>
      </c>
      <c r="D3" s="3233" t="s">
        <v>2735</v>
      </c>
      <c r="E3" s="3228" t="s">
        <v>2031</v>
      </c>
      <c r="F3" s="3228"/>
      <c r="G3" s="3228"/>
      <c r="H3" s="3228" t="s">
        <v>2032</v>
      </c>
      <c r="I3" s="3228"/>
      <c r="J3" s="3228"/>
      <c r="K3" s="3234" t="s">
        <v>2033</v>
      </c>
      <c r="L3" s="3234" t="s">
        <v>2034</v>
      </c>
      <c r="M3" s="3233" t="s">
        <v>2732</v>
      </c>
      <c r="N3" s="3235" t="str">
        <f>"（分摊）"&amp;项目基本情况!B16&amp;"国有建设用地使用权面积/㎡"</f>
        <v>（分摊）出让国有建设用地使用权面积/㎡</v>
      </c>
      <c r="O3" s="3233" t="s">
        <v>2063</v>
      </c>
      <c r="P3" s="3234" t="s">
        <v>2043</v>
      </c>
      <c r="Q3" s="3234" t="s">
        <v>2064</v>
      </c>
      <c r="R3" s="3234" t="s">
        <v>2035</v>
      </c>
    </row>
    <row r="4" spans="1:18" ht="36.75" customHeight="1">
      <c r="A4" s="3233"/>
      <c r="B4" s="3233"/>
      <c r="C4" s="3234"/>
      <c r="D4" s="3233"/>
      <c r="E4" s="2673" t="s">
        <v>2042</v>
      </c>
      <c r="F4" s="2673" t="s">
        <v>2744</v>
      </c>
      <c r="G4" s="2673" t="s">
        <v>2036</v>
      </c>
      <c r="H4" s="2673" t="s">
        <v>2037</v>
      </c>
      <c r="I4" s="2673" t="s">
        <v>2745</v>
      </c>
      <c r="J4" s="2673" t="s">
        <v>2036</v>
      </c>
      <c r="K4" s="3234"/>
      <c r="L4" s="3234"/>
      <c r="M4" s="3233"/>
      <c r="N4" s="3235"/>
      <c r="O4" s="3233"/>
      <c r="P4" s="3234"/>
      <c r="Q4" s="3234"/>
      <c r="R4" s="3234"/>
    </row>
    <row r="5" spans="1:18" ht="135" customHeight="1">
      <c r="A5" s="1943" t="s">
        <v>2655</v>
      </c>
      <c r="B5" s="2891" t="s">
        <v>2653</v>
      </c>
      <c r="C5" s="2672">
        <v>22</v>
      </c>
      <c r="D5" s="2671" t="s">
        <v>2654</v>
      </c>
      <c r="E5" s="1811" t="str">
        <f>项目基本情况!B12</f>
        <v>住宅</v>
      </c>
      <c r="F5" s="2671">
        <v>258</v>
      </c>
      <c r="G5" s="1811" t="str">
        <f>项目基本情况!B13</f>
        <v>住宅、商业、地下车库</v>
      </c>
      <c r="H5" s="2671">
        <v>1.5</v>
      </c>
      <c r="I5" s="2671">
        <v>1.5</v>
      </c>
      <c r="J5" s="2671">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住宅55.5年、商业25.5年</v>
      </c>
      <c r="N5" s="1811">
        <f>项目基本情况!C22</f>
        <v>15168.4</v>
      </c>
      <c r="O5" s="1811">
        <f>项目基本情况!C21</f>
        <v>67516.63</v>
      </c>
      <c r="P5" s="1811">
        <f ca="1">结果表!E42</f>
        <v>42960</v>
      </c>
      <c r="Q5" s="1811">
        <f ca="1">结果表!D42</f>
        <v>9652</v>
      </c>
      <c r="R5" s="1812">
        <f ca="1">结果表!C42</f>
        <v>65164</v>
      </c>
    </row>
    <row r="6" spans="1:18">
      <c r="A6" s="3229" t="str">
        <f>IF(项目基本情况!B9="市场价格","——","抵押价格")</f>
        <v>——</v>
      </c>
      <c r="B6" s="3230"/>
      <c r="C6" s="3230"/>
      <c r="D6" s="3230"/>
      <c r="E6" s="3230"/>
      <c r="F6" s="3230"/>
      <c r="G6" s="3230"/>
      <c r="H6" s="3230"/>
      <c r="I6" s="3230"/>
      <c r="J6" s="3230"/>
      <c r="K6" s="3230"/>
      <c r="L6" s="3230"/>
      <c r="M6" s="3230"/>
      <c r="N6" s="3230"/>
      <c r="O6" s="3230"/>
      <c r="P6" s="3230"/>
      <c r="Q6" s="3231"/>
      <c r="R6" s="1813" t="str">
        <f>结果表!O39</f>
        <v>——</v>
      </c>
    </row>
    <row r="7" spans="1:18">
      <c r="A7" s="3229" t="str">
        <f>IF(项目基本情况!B9="市场价格","——",IF(项目基本情况!E8="已注销及未注销","抵押担保权已注销时的抵押价格","——"))</f>
        <v>——</v>
      </c>
      <c r="B7" s="3230"/>
      <c r="C7" s="3230"/>
      <c r="D7" s="3230"/>
      <c r="E7" s="3230"/>
      <c r="F7" s="3230"/>
      <c r="G7" s="3230"/>
      <c r="H7" s="3230"/>
      <c r="I7" s="3230"/>
      <c r="J7" s="3230"/>
      <c r="K7" s="3230"/>
      <c r="L7" s="3230"/>
      <c r="M7" s="3230"/>
      <c r="N7" s="3230"/>
      <c r="O7" s="3230"/>
      <c r="P7" s="3230"/>
      <c r="Q7" s="3231"/>
      <c r="R7" s="1813" t="str">
        <f>结果表!O40</f>
        <v>——</v>
      </c>
    </row>
    <row r="8" spans="1:18">
      <c r="A8" s="3229" t="str">
        <f>IF(项目基本情况!B9="市场价格","——",项目基本情况!E9)</f>
        <v>——</v>
      </c>
      <c r="B8" s="3230"/>
      <c r="C8" s="3230"/>
      <c r="D8" s="3230"/>
      <c r="E8" s="3230"/>
      <c r="F8" s="3230"/>
      <c r="G8" s="3230"/>
      <c r="H8" s="3230"/>
      <c r="I8" s="3230"/>
      <c r="J8" s="3230"/>
      <c r="K8" s="3230"/>
      <c r="L8" s="3230"/>
      <c r="M8" s="3230"/>
      <c r="N8" s="3230"/>
      <c r="O8" s="3230"/>
      <c r="P8" s="3230"/>
      <c r="Q8" s="3231"/>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37" t="s">
        <v>2065</v>
      </c>
      <c r="B1" s="3237"/>
      <c r="C1" s="3237"/>
      <c r="D1" s="3237"/>
    </row>
    <row r="2" spans="1:4" ht="47.25" customHeight="1">
      <c r="A2" s="3238" t="str">
        <f>"1.权利限制："&amp;项目基本情况!L24&amp;"未设定租赁等其他他项权利。"</f>
        <v>1.权利限制：根据估价对象《国有土地使用证》复印件，截至估价期日，估价对象已设定抵押。未设定租赁等其他他项权利。</v>
      </c>
      <c r="B2" s="3238"/>
      <c r="C2" s="3238"/>
      <c r="D2" s="3238"/>
    </row>
    <row r="3" spans="1:4" ht="48" customHeight="1">
      <c r="A3" s="323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7"/>
      <c r="C3" s="3237"/>
      <c r="D3" s="3237"/>
    </row>
    <row r="4" spans="1:4" ht="36.75" customHeight="1">
      <c r="A4" s="3237" t="str">
        <f>"3.估价规划限制条件：详见"&amp;项目基本情况!E21&amp;"。"</f>
        <v>3.估价规划限制条件：详见《建设工程规划许可证》[[2014]汕规建字第015号]。</v>
      </c>
      <c r="B4" s="3237"/>
      <c r="C4" s="3237"/>
      <c r="D4" s="3237"/>
    </row>
    <row r="5" spans="1:4">
      <c r="A5" s="3236" t="s">
        <v>2066</v>
      </c>
      <c r="B5" s="3236"/>
      <c r="C5" s="3236"/>
      <c r="D5" s="3236"/>
    </row>
    <row r="6" spans="1:4">
      <c r="A6" s="3237" t="s">
        <v>2044</v>
      </c>
      <c r="B6" s="3237"/>
      <c r="C6" s="3237"/>
      <c r="D6" s="3237"/>
    </row>
    <row r="7" spans="1:4" ht="33" customHeight="1">
      <c r="A7" s="3237" t="s">
        <v>2575</v>
      </c>
      <c r="B7" s="3237"/>
      <c r="C7" s="3237"/>
      <c r="D7" s="3237"/>
    </row>
    <row r="8" spans="1:4" ht="32.25" customHeight="1">
      <c r="A8" s="32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37"/>
      <c r="C8" s="3237"/>
      <c r="D8" s="3237"/>
    </row>
    <row r="9" spans="1:4" ht="33.75" customHeight="1">
      <c r="A9" s="3237" t="str">
        <f>IF(项目基本情况!B8="抵押","3.抵押双方在办理抵押登记手续时，应使用本公司出具的正式《土地估价报告》，特提请报告使用者注意。","——")</f>
        <v>——</v>
      </c>
      <c r="B9" s="3237"/>
      <c r="C9" s="3237"/>
      <c r="D9" s="3237"/>
    </row>
    <row r="10" spans="1:4">
      <c r="A10" s="3237" t="str">
        <f>IF(项目基本情况!B8="抵押","4.估价师所知悉的法定优先受偿款情况为：","——")</f>
        <v>——</v>
      </c>
      <c r="B10" s="3237"/>
      <c r="C10" s="3237"/>
      <c r="D10" s="3237"/>
    </row>
    <row r="11" spans="1:4" ht="37.5" customHeight="1">
      <c r="A11" s="3239" t="str">
        <f>IF(项目基本情况!B8="抵押","（1）"&amp;CONCATENATE(项目基本情况!L24,项目基本情况!L25,项目基本情况!L26),"——")</f>
        <v>——</v>
      </c>
      <c r="B11" s="3239"/>
      <c r="C11" s="3239"/>
      <c r="D11" s="3239"/>
    </row>
    <row r="12" spans="1:4" ht="168" customHeight="1">
      <c r="A12" s="3236" t="s">
        <v>2068</v>
      </c>
      <c r="B12" s="3236"/>
      <c r="C12" s="3236"/>
      <c r="D12" s="3236"/>
    </row>
    <row r="13" spans="1:4">
      <c r="A13" s="3240" t="s">
        <v>2746</v>
      </c>
      <c r="B13" s="3240"/>
      <c r="C13" s="3240"/>
      <c r="D13" s="3240"/>
    </row>
    <row r="14" spans="1:4">
      <c r="A14" s="3239" t="str">
        <f>IF(项目基本情况!B8="抵押","综上，"&amp;结果表!K47,"——")</f>
        <v>——</v>
      </c>
      <c r="B14" s="3239"/>
      <c r="C14" s="3239"/>
      <c r="D14" s="3239"/>
    </row>
    <row r="15" spans="1:4" ht="58.5" customHeight="1">
      <c r="A15" s="32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7"/>
      <c r="C15" s="3237"/>
      <c r="D15" s="3237"/>
    </row>
    <row r="16" spans="1:4" ht="70.5" customHeight="1">
      <c r="A16" s="32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7"/>
      <c r="C16" s="3237"/>
      <c r="D16" s="3237"/>
    </row>
    <row r="17" spans="1:4">
      <c r="A17" s="3237" t="s">
        <v>2702</v>
      </c>
      <c r="B17" s="3237"/>
      <c r="C17" s="3237"/>
      <c r="D17" s="3237"/>
    </row>
    <row r="18" spans="1:4">
      <c r="A18" s="3237" t="s">
        <v>2694</v>
      </c>
      <c r="B18" s="3237"/>
      <c r="C18" s="3237"/>
      <c r="D18" s="3237"/>
    </row>
    <row r="19" spans="1:4">
      <c r="A19" s="2892" t="s">
        <v>2695</v>
      </c>
      <c r="B19" s="2892" t="s">
        <v>2696</v>
      </c>
      <c r="C19" s="2892" t="s">
        <v>2697</v>
      </c>
      <c r="D19" s="2892" t="s">
        <v>2698</v>
      </c>
    </row>
    <row r="20" spans="1:4">
      <c r="A20" s="2892" t="str">
        <f>项目基本情况!B4</f>
        <v>梁津</v>
      </c>
      <c r="B20" s="2892">
        <f ca="1">项目基本情况!C4</f>
        <v>96010014</v>
      </c>
      <c r="C20" s="2894"/>
      <c r="D20" s="1801" t="s">
        <v>2703</v>
      </c>
    </row>
    <row r="21" spans="1:4">
      <c r="A21" s="2892" t="str">
        <f>项目基本情况!D4</f>
        <v>王鹏</v>
      </c>
      <c r="B21" s="2892">
        <f ca="1">项目基本情况!E4</f>
        <v>2002110030</v>
      </c>
      <c r="C21" s="2894"/>
      <c r="D21" s="1801" t="s">
        <v>2704</v>
      </c>
    </row>
    <row r="23" spans="1:4">
      <c r="A23" s="3237" t="s">
        <v>2699</v>
      </c>
      <c r="B23" s="3237"/>
      <c r="C23" s="3237"/>
      <c r="D23" s="3237"/>
    </row>
    <row r="24" spans="1:4">
      <c r="A24" s="2892" t="s">
        <v>2695</v>
      </c>
      <c r="B24" s="2892" t="s">
        <v>2700</v>
      </c>
      <c r="C24" s="2892" t="s">
        <v>2697</v>
      </c>
      <c r="D24" s="2892" t="s">
        <v>2698</v>
      </c>
    </row>
    <row r="25" spans="1:4">
      <c r="A25" s="2895" t="s">
        <v>2701</v>
      </c>
      <c r="B25" s="2892" t="s">
        <v>952</v>
      </c>
      <c r="C25" s="2894"/>
      <c r="D25" s="1801" t="s">
        <v>2704</v>
      </c>
    </row>
    <row r="29" spans="1:4">
      <c r="D29" s="2893" t="s">
        <v>2039</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48" t="s">
        <v>53</v>
      </c>
      <c r="B15" s="3249" t="s">
        <v>846</v>
      </c>
      <c r="C15" s="3245"/>
    </row>
    <row r="16" spans="1:7" ht="14.25">
      <c r="A16" s="3248"/>
      <c r="B16" s="3246" t="s">
        <v>54</v>
      </c>
      <c r="C16" s="1172" t="s">
        <v>53</v>
      </c>
    </row>
    <row r="17" spans="1:3" ht="14.25">
      <c r="A17" s="3248"/>
      <c r="B17" s="3246"/>
      <c r="C17" s="1172" t="s">
        <v>55</v>
      </c>
    </row>
    <row r="18" spans="1:3" ht="14.25">
      <c r="A18" s="3248"/>
      <c r="B18" s="3246"/>
      <c r="C18" s="1172" t="s">
        <v>56</v>
      </c>
    </row>
    <row r="19" spans="1:3" ht="14.25">
      <c r="A19" s="3248"/>
      <c r="B19" s="3244" t="s">
        <v>57</v>
      </c>
      <c r="C19" s="3245"/>
    </row>
    <row r="20" spans="1:3" ht="14.25">
      <c r="A20" s="1173" t="s">
        <v>58</v>
      </c>
      <c r="B20" s="1174"/>
      <c r="C20" s="1175"/>
    </row>
    <row r="21" spans="1:3" ht="14.25">
      <c r="A21" s="3247" t="s">
        <v>59</v>
      </c>
      <c r="B21" s="3244" t="s">
        <v>60</v>
      </c>
      <c r="C21" s="3245"/>
    </row>
    <row r="22" spans="1:3" ht="14.25">
      <c r="A22" s="3247"/>
      <c r="B22" s="3244" t="s">
        <v>61</v>
      </c>
      <c r="C22" s="3245"/>
    </row>
    <row r="23" spans="1:3" ht="14.25">
      <c r="A23" s="3247"/>
      <c r="B23" s="3244" t="s">
        <v>62</v>
      </c>
      <c r="C23" s="3245"/>
    </row>
    <row r="24" spans="1:3" ht="14.25">
      <c r="A24" s="3247"/>
      <c r="B24" s="3250" t="s">
        <v>63</v>
      </c>
      <c r="C24" s="1176" t="s">
        <v>837</v>
      </c>
    </row>
    <row r="25" spans="1:3" ht="14.25">
      <c r="A25" s="3247"/>
      <c r="B25" s="3251"/>
      <c r="C25" s="1176" t="s">
        <v>838</v>
      </c>
    </row>
    <row r="26" spans="1:3" ht="14.25">
      <c r="A26" s="3247"/>
      <c r="B26" s="3251"/>
      <c r="C26" s="1176" t="s">
        <v>839</v>
      </c>
    </row>
    <row r="27" spans="1:3" ht="14.25">
      <c r="A27" s="3247"/>
      <c r="B27" s="3251"/>
      <c r="C27" s="1176" t="s">
        <v>840</v>
      </c>
    </row>
    <row r="28" spans="1:3" ht="14.25">
      <c r="A28" s="3247"/>
      <c r="B28" s="3251"/>
      <c r="C28" s="1176" t="s">
        <v>841</v>
      </c>
    </row>
    <row r="29" spans="1:3" ht="14.25">
      <c r="A29" s="3247"/>
      <c r="B29" s="3251"/>
      <c r="C29" s="1176" t="s">
        <v>842</v>
      </c>
    </row>
    <row r="30" spans="1:3" ht="14.25">
      <c r="A30" s="3247"/>
      <c r="B30" s="3251"/>
      <c r="C30" s="1176" t="s">
        <v>843</v>
      </c>
    </row>
    <row r="31" spans="1:3" ht="14.25">
      <c r="A31" s="3247"/>
      <c r="B31" s="3251"/>
      <c r="C31" s="1176" t="s">
        <v>844</v>
      </c>
    </row>
    <row r="32" spans="1:3" ht="14.25">
      <c r="A32" s="3247"/>
      <c r="B32" s="3251"/>
      <c r="C32" s="1176" t="s">
        <v>1647</v>
      </c>
    </row>
    <row r="33" spans="1:3" ht="14.25">
      <c r="A33" s="3247"/>
      <c r="B33" s="3241" t="s">
        <v>1653</v>
      </c>
      <c r="C33" s="1176" t="s">
        <v>1648</v>
      </c>
    </row>
    <row r="34" spans="1:3" ht="14.25">
      <c r="A34" s="3247"/>
      <c r="B34" s="3242"/>
      <c r="C34" s="1181" t="s">
        <v>1649</v>
      </c>
    </row>
    <row r="35" spans="1:3" ht="14.25">
      <c r="A35" s="3247"/>
      <c r="B35" s="3242"/>
      <c r="C35" s="1182" t="s">
        <v>1650</v>
      </c>
    </row>
    <row r="36" spans="1:3" ht="14.25">
      <c r="A36" s="3247"/>
      <c r="B36" s="3242"/>
      <c r="C36" s="1182" t="s">
        <v>1651</v>
      </c>
    </row>
    <row r="37" spans="1:3" ht="14.25">
      <c r="A37" s="3247"/>
      <c r="B37" s="3243"/>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C18" sqref="C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8">
        <f ca="1">TODAY()</f>
        <v>43252</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0">
        <v>43849</v>
      </c>
      <c r="D4" s="2343" t="s">
        <v>1915</v>
      </c>
      <c r="E4" s="2343">
        <f ca="1">IF(F4&lt;B2,"已过期",96010014)</f>
        <v>96010014</v>
      </c>
      <c r="F4" s="3031">
        <v>47118</v>
      </c>
    </row>
    <row r="5" spans="1:6" ht="20.25" customHeight="1">
      <c r="A5" s="2343" t="s">
        <v>1916</v>
      </c>
      <c r="B5" s="2343">
        <f ca="1">IF(C5&lt;B2,"已过期",1119970074)</f>
        <v>1119970074</v>
      </c>
      <c r="C5" s="3030">
        <v>43849</v>
      </c>
      <c r="D5" s="2343" t="s">
        <v>1916</v>
      </c>
      <c r="E5" s="2343">
        <f ca="1">IF(F5&lt;B2,"已过期",2002110027)</f>
        <v>2002110027</v>
      </c>
      <c r="F5" s="3031">
        <v>46752</v>
      </c>
    </row>
    <row r="6" spans="1:6" ht="20.25" customHeight="1">
      <c r="A6" s="2343" t="s">
        <v>1917</v>
      </c>
      <c r="B6" s="2343">
        <f ca="1">IF(C6&lt;B2,"已过期",1119970111)</f>
        <v>1119970111</v>
      </c>
      <c r="C6" s="3030">
        <v>43849</v>
      </c>
      <c r="D6" s="2343" t="s">
        <v>1917</v>
      </c>
      <c r="E6" s="2343">
        <f ca="1">IF(F6&lt;B2,"已过期",94010078)</f>
        <v>94010078</v>
      </c>
      <c r="F6" s="3031">
        <v>46387</v>
      </c>
    </row>
    <row r="7" spans="1:6" ht="20.25" customHeight="1">
      <c r="A7" s="2343" t="s">
        <v>1918</v>
      </c>
      <c r="B7" s="2343">
        <f ca="1">IF(C7&lt;B2,"已过期",1120050019)</f>
        <v>1120050019</v>
      </c>
      <c r="C7" s="3030">
        <v>43359</v>
      </c>
      <c r="D7" s="2343" t="s">
        <v>1918</v>
      </c>
      <c r="E7" s="2343">
        <f ca="1">IF(F7&lt;B2,"已过期",2002110030)</f>
        <v>2002110030</v>
      </c>
      <c r="F7" s="3031">
        <v>46387</v>
      </c>
    </row>
    <row r="8" spans="1:6" ht="20.25" customHeight="1">
      <c r="A8" s="2343" t="s">
        <v>1919</v>
      </c>
      <c r="B8" s="2343">
        <f ca="1">IF(C8&lt;B2,"已过期",1120000080)</f>
        <v>1120000080</v>
      </c>
      <c r="C8" s="3030">
        <v>43849</v>
      </c>
      <c r="D8" s="2343" t="s">
        <v>1919</v>
      </c>
      <c r="E8" s="2343">
        <f ca="1">IF(F8&lt;B2,"已过期",2000110082)</f>
        <v>2000110082</v>
      </c>
      <c r="F8" s="3031">
        <v>46387</v>
      </c>
    </row>
    <row r="9" spans="1:6" ht="20.25" customHeight="1">
      <c r="A9" s="2343" t="s">
        <v>1920</v>
      </c>
      <c r="B9" s="2343">
        <f ca="1">IF(C9&lt;B2,"已过期",1419970001)</f>
        <v>1419970001</v>
      </c>
      <c r="C9" s="3030">
        <v>43867</v>
      </c>
      <c r="D9" s="2343" t="s">
        <v>1920</v>
      </c>
      <c r="E9" s="2343">
        <f ca="1">IF(F9&lt;B2,"已过期",2002110125)</f>
        <v>2002110125</v>
      </c>
      <c r="F9" s="3031">
        <v>47118</v>
      </c>
    </row>
    <row r="10" spans="1:6" ht="20.25" customHeight="1">
      <c r="A10" s="2343" t="s">
        <v>1921</v>
      </c>
      <c r="B10" s="2343">
        <f ca="1">IF(C10&lt;B2,"已过期",1120060040)</f>
        <v>1120060040</v>
      </c>
      <c r="C10" s="3030">
        <v>43483</v>
      </c>
      <c r="D10" s="2343" t="s">
        <v>1921</v>
      </c>
      <c r="E10" s="2343">
        <f ca="1">IF(F10&lt;B2,"已过期",2004110096)</f>
        <v>2004110096</v>
      </c>
      <c r="F10" s="3031">
        <v>47118</v>
      </c>
    </row>
    <row r="11" spans="1:6" ht="20.25" customHeight="1">
      <c r="A11" s="2343" t="s">
        <v>1922</v>
      </c>
      <c r="B11" s="2343">
        <f ca="1">IF(C11&lt;B2,"已过期",1120100036)</f>
        <v>1120100036</v>
      </c>
      <c r="C11" s="3030">
        <v>43622</v>
      </c>
      <c r="D11" s="2343" t="s">
        <v>1922</v>
      </c>
      <c r="E11" s="2343">
        <f ca="1">IF(F11&lt;B2,"已过期",2010110070)</f>
        <v>2010110070</v>
      </c>
      <c r="F11" s="3031">
        <v>47907</v>
      </c>
    </row>
    <row r="12" spans="1:6" ht="20.25" customHeight="1">
      <c r="A12" s="2343" t="s">
        <v>2977</v>
      </c>
      <c r="B12" s="2343">
        <v>1120110054</v>
      </c>
      <c r="C12" s="3030">
        <v>43937</v>
      </c>
      <c r="D12" s="2343" t="s">
        <v>2977</v>
      </c>
      <c r="E12" s="2343">
        <v>2008110060</v>
      </c>
      <c r="F12" s="3031">
        <v>47177</v>
      </c>
    </row>
    <row r="13" spans="1:6" ht="20.25" customHeight="1">
      <c r="A13" s="2343" t="s">
        <v>1923</v>
      </c>
      <c r="B13" s="2343">
        <f ca="1">IF(C13&lt;B2,"已过期",1120070131)</f>
        <v>1120070131</v>
      </c>
      <c r="C13" s="3030">
        <v>43814</v>
      </c>
      <c r="D13" s="2343" t="s">
        <v>1923</v>
      </c>
      <c r="E13" s="2343">
        <v>2014110011</v>
      </c>
      <c r="F13" s="3031">
        <v>49302</v>
      </c>
    </row>
    <row r="14" spans="1:6" ht="20.25" customHeight="1">
      <c r="A14" s="2343" t="s">
        <v>1924</v>
      </c>
      <c r="B14" s="2343">
        <f ca="1">IF(C14&lt;B2,"已过期",1120130020)</f>
        <v>1120130020</v>
      </c>
      <c r="C14" s="3030">
        <v>43622</v>
      </c>
      <c r="D14" s="2343"/>
      <c r="E14" s="2343"/>
      <c r="F14" s="2343"/>
    </row>
    <row r="15" spans="1:6" ht="20.25" customHeight="1">
      <c r="A15" s="2343" t="s">
        <v>2574</v>
      </c>
      <c r="B15" s="2343">
        <v>1120070085</v>
      </c>
      <c r="C15" s="3030">
        <v>43814</v>
      </c>
      <c r="D15" s="2343" t="s">
        <v>2574</v>
      </c>
      <c r="E15" s="2343">
        <v>2004110128</v>
      </c>
      <c r="F15" s="3031">
        <v>47118</v>
      </c>
    </row>
    <row r="16" spans="1:6" ht="20.25" customHeight="1">
      <c r="A16" s="2343" t="s">
        <v>1925</v>
      </c>
      <c r="B16" s="2343">
        <f ca="1">IF(C16&lt;B2,"已过期",1120140022)</f>
        <v>1120140022</v>
      </c>
      <c r="C16" s="3030">
        <v>44029</v>
      </c>
      <c r="D16" s="2343" t="s">
        <v>1925</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1926</v>
      </c>
      <c r="E21" s="2343">
        <f ca="1">IF(F21&lt;B2,"已过期",2011110090)</f>
        <v>2011110090</v>
      </c>
      <c r="F21" s="3031">
        <v>48302</v>
      </c>
    </row>
    <row r="22" spans="1:7" ht="20.25" customHeight="1">
      <c r="A22" s="2343" t="s">
        <v>1927</v>
      </c>
      <c r="B22" s="2343">
        <f ca="1">IF(C22&lt;B2,"已过期",1120020033)</f>
        <v>1120020033</v>
      </c>
      <c r="C22" s="3030">
        <v>43304</v>
      </c>
      <c r="D22" s="2343" t="s">
        <v>1927</v>
      </c>
      <c r="E22" s="2343">
        <f ca="1">IF(F22&lt;B2,"已过期",2000110137)</f>
        <v>2000110137</v>
      </c>
      <c r="F22" s="3031">
        <v>46387</v>
      </c>
    </row>
    <row r="23" spans="1:7" ht="20.25" customHeight="1">
      <c r="A23" s="2343" t="s">
        <v>1928</v>
      </c>
      <c r="B23" s="2343">
        <f ca="1">IF(C23&lt;B2,"已过期",1120130048)</f>
        <v>1120130048</v>
      </c>
      <c r="C23" s="3030">
        <v>43686</v>
      </c>
      <c r="D23" s="2343"/>
      <c r="E23" s="2343"/>
      <c r="F23" s="2343"/>
    </row>
    <row r="24" spans="1:7" s="2347" customFormat="1" ht="20.25" customHeight="1">
      <c r="A24" s="2345" t="s">
        <v>2053</v>
      </c>
      <c r="B24" s="2345" t="s">
        <v>2053</v>
      </c>
      <c r="C24" s="3030"/>
      <c r="D24" s="3032" t="s">
        <v>2053</v>
      </c>
      <c r="E24" s="2345" t="s">
        <v>2053</v>
      </c>
      <c r="F24" s="2346"/>
    </row>
    <row r="25" spans="1:7" ht="20.25" customHeight="1">
      <c r="A25" s="3252" t="s">
        <v>1929</v>
      </c>
      <c r="B25" s="3252"/>
      <c r="C25" s="3252"/>
      <c r="D25" s="3252"/>
      <c r="E25" s="3252"/>
      <c r="F25" s="3252"/>
      <c r="G25" s="3252"/>
    </row>
    <row r="26" spans="1:7" ht="20.25" customHeight="1">
      <c r="A26" s="3253" t="s">
        <v>1930</v>
      </c>
      <c r="B26" s="3253"/>
      <c r="C26" s="3253"/>
      <c r="D26" s="3253" t="s">
        <v>1931</v>
      </c>
      <c r="E26" s="3253"/>
      <c r="F26" s="3253"/>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4" priority="82">
      <formula>AND($C24-TODAY()&lt;30,TODAY()&lt;$C24)</formula>
    </cfRule>
  </conditionalFormatting>
  <conditionalFormatting sqref="C28">
    <cfRule type="expression" dxfId="183" priority="81">
      <formula>AND($C28-TODAY()&lt;30,TODAY()&lt;$C28)</formula>
    </cfRule>
  </conditionalFormatting>
  <conditionalFormatting sqref="C28 F4">
    <cfRule type="cellIs" dxfId="182" priority="83" stopIfTrue="1" operator="lessThan">
      <formula>$B$2</formula>
    </cfRule>
  </conditionalFormatting>
  <conditionalFormatting sqref="F5">
    <cfRule type="cellIs" dxfId="181" priority="79" stopIfTrue="1" operator="lessThan">
      <formula>$B$2</formula>
    </cfRule>
  </conditionalFormatting>
  <conditionalFormatting sqref="F6 F8 F10">
    <cfRule type="cellIs" dxfId="180" priority="77" stopIfTrue="1" operator="lessThan">
      <formula>$B$2</formula>
    </cfRule>
  </conditionalFormatting>
  <conditionalFormatting sqref="C24:D24">
    <cfRule type="expression" dxfId="179" priority="75">
      <formula>AND($C24-TODAY()&lt;30,TODAY()&lt;$C24)</formula>
    </cfRule>
  </conditionalFormatting>
  <conditionalFormatting sqref="F7 F9 F11 C24:D24">
    <cfRule type="cellIs" dxfId="178" priority="76" stopIfTrue="1" operator="lessThan">
      <formula>$B$2</formula>
    </cfRule>
  </conditionalFormatting>
  <conditionalFormatting sqref="F16">
    <cfRule type="cellIs" dxfId="177" priority="49" stopIfTrue="1" operator="lessThan">
      <formula>$B$2</formula>
    </cfRule>
  </conditionalFormatting>
  <conditionalFormatting sqref="F18">
    <cfRule type="cellIs" dxfId="176" priority="48" stopIfTrue="1" operator="lessThan">
      <formula>$B$2</formula>
    </cfRule>
  </conditionalFormatting>
  <conditionalFormatting sqref="F22">
    <cfRule type="cellIs" dxfId="175" priority="47" stopIfTrue="1" operator="lessThan">
      <formula>$B$2</formula>
    </cfRule>
  </conditionalFormatting>
  <conditionalFormatting sqref="F21">
    <cfRule type="cellIs" dxfId="174" priority="46" stopIfTrue="1" operator="lessThan">
      <formula>$B$2</formula>
    </cfRule>
  </conditionalFormatting>
  <conditionalFormatting sqref="F17">
    <cfRule type="cellIs" dxfId="173" priority="45" stopIfTrue="1" operator="lessThan">
      <formula>$B$2</formula>
    </cfRule>
  </conditionalFormatting>
  <conditionalFormatting sqref="B4:B11 E4:E11 E16:E23 B16:B23 B13:B14 E13:E14">
    <cfRule type="cellIs" dxfId="172" priority="44" stopIfTrue="1" operator="equal">
      <formula>"已过期"</formula>
    </cfRule>
  </conditionalFormatting>
  <conditionalFormatting sqref="F28">
    <cfRule type="cellIs" dxfId="171" priority="41" stopIfTrue="1" operator="lessThan">
      <formula>$B$2</formula>
    </cfRule>
  </conditionalFormatting>
  <conditionalFormatting sqref="F29">
    <cfRule type="cellIs" dxfId="170" priority="39" stopIfTrue="1" operator="lessThan">
      <formula>$B$2</formula>
    </cfRule>
  </conditionalFormatting>
  <conditionalFormatting sqref="F28">
    <cfRule type="expression" dxfId="169" priority="85">
      <formula>AND($E28-TODAY()&lt;30,TODAY()&lt;$E28)</formula>
    </cfRule>
  </conditionalFormatting>
  <conditionalFormatting sqref="F29">
    <cfRule type="expression" dxfId="168" priority="86" stopIfTrue="1">
      <formula>AND($E29-TODAY()&lt;30,TODAY()&lt;$E29)</formula>
    </cfRule>
  </conditionalFormatting>
  <conditionalFormatting sqref="C5">
    <cfRule type="expression" dxfId="167" priority="36">
      <formula>AND($C5-TODAY()&lt;30,TODAY()&lt;$C5)</formula>
    </cfRule>
  </conditionalFormatting>
  <conditionalFormatting sqref="C5">
    <cfRule type="cellIs" dxfId="166" priority="37" stopIfTrue="1" operator="lessThan">
      <formula>$B$2</formula>
    </cfRule>
  </conditionalFormatting>
  <conditionalFormatting sqref="C4:C6">
    <cfRule type="expression" dxfId="165" priority="34">
      <formula>AND($C4-TODAY()&lt;30,TODAY()&lt;$C4)</formula>
    </cfRule>
  </conditionalFormatting>
  <conditionalFormatting sqref="C4:C6">
    <cfRule type="cellIs" dxfId="164" priority="35" stopIfTrue="1" operator="lessThan">
      <formula>$B$2</formula>
    </cfRule>
  </conditionalFormatting>
  <conditionalFormatting sqref="C8:C9">
    <cfRule type="expression" dxfId="163" priority="32">
      <formula>AND($C8-TODAY()&lt;30,TODAY()&lt;$C8)</formula>
    </cfRule>
  </conditionalFormatting>
  <conditionalFormatting sqref="C8:C9">
    <cfRule type="cellIs" dxfId="162" priority="33" stopIfTrue="1" operator="lessThan">
      <formula>$B$2</formula>
    </cfRule>
  </conditionalFormatting>
  <conditionalFormatting sqref="B15 E15">
    <cfRule type="cellIs" dxfId="161" priority="20" stopIfTrue="1" operator="equal">
      <formula>"已过期"</formula>
    </cfRule>
  </conditionalFormatting>
  <conditionalFormatting sqref="F15">
    <cfRule type="cellIs" dxfId="160" priority="17" stopIfTrue="1" operator="lessThan">
      <formula>$B$2</formula>
    </cfRule>
  </conditionalFormatting>
  <conditionalFormatting sqref="C7">
    <cfRule type="expression" dxfId="159" priority="15">
      <formula>AND($C7-TODAY()&lt;30,TODAY()&lt;$C7)</formula>
    </cfRule>
  </conditionalFormatting>
  <conditionalFormatting sqref="C7">
    <cfRule type="cellIs" dxfId="158" priority="16" stopIfTrue="1" operator="lessThan">
      <formula>$B$2</formula>
    </cfRule>
  </conditionalFormatting>
  <conditionalFormatting sqref="C10:C11 C13:C23">
    <cfRule type="expression" dxfId="157" priority="13">
      <formula>AND($C10-TODAY()&lt;30,TODAY()&lt;$C10)</formula>
    </cfRule>
  </conditionalFormatting>
  <conditionalFormatting sqref="C10:C11 C13:C23">
    <cfRule type="cellIs" dxfId="156" priority="14" stopIfTrue="1" operator="lessThan">
      <formula>$B$2</formula>
    </cfRule>
  </conditionalFormatting>
  <conditionalFormatting sqref="F13">
    <cfRule type="cellIs" dxfId="155" priority="12" stopIfTrue="1" operator="lessThan">
      <formula>$B$2</formula>
    </cfRule>
  </conditionalFormatting>
  <conditionalFormatting sqref="F12">
    <cfRule type="cellIs" dxfId="154" priority="4" stopIfTrue="1" operator="lessThan">
      <formula>$B$2</formula>
    </cfRule>
  </conditionalFormatting>
  <conditionalFormatting sqref="B12 E12">
    <cfRule type="cellIs" dxfId="153" priority="3" stopIfTrue="1" operator="equal">
      <formula>"已过期"</formula>
    </cfRule>
  </conditionalFormatting>
  <conditionalFormatting sqref="C12">
    <cfRule type="expression" dxfId="152" priority="1">
      <formula>AND($C12-TODAY()&lt;30,TODAY()&lt;$C12)</formula>
    </cfRule>
  </conditionalFormatting>
  <conditionalFormatting sqref="C12">
    <cfRule type="cellIs" dxfId="15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2545</v>
      </c>
      <c r="R1" s="2606" t="s">
        <v>2539</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40" t="s">
        <v>2954</v>
      </c>
      <c r="C18" s="1555"/>
    </row>
    <row r="19" spans="1:3">
      <c r="A19" s="8" t="s">
        <v>120</v>
      </c>
      <c r="B19" s="3140" t="s">
        <v>2962</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东锦峰地产投资有限公司拟使用广东省汕头市龙湖区海湾公园片区（335-00-02-096）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54"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商业、地下车库，剩余土地使用年限为住宅55.5年、商业25.5年的出让国有建设用地使用权价格。</v>
      </c>
      <c r="D53" s="1768"/>
      <c r="E53" s="1768"/>
    </row>
    <row r="54" spans="1:5">
      <c r="A54" s="3254"/>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54"/>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54"/>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54"/>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Sheet1</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2018-06-01T10:12:57Z</dcterms:modified>
</cp:coreProperties>
</file>