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最终2-60\"/>
    </mc:Choice>
  </mc:AlternateContent>
  <xr:revisionPtr revIDLastSave="0" documentId="13_ncr:1_{8DF0E06B-0674-4734-9E00-7C567A400F9F}" xr6:coauthVersionLast="47" xr6:coauthVersionMax="47" xr10:uidLastSave="{00000000-0000-0000-0000-000000000000}"/>
  <bookViews>
    <workbookView xWindow="-120" yWindow="-120" windowWidth="21840" windowHeight="13140"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9" i="6" l="1"/>
  <c r="C33" i="82" s="1"/>
  <c r="P92" i="82"/>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I10" i="33"/>
  <c r="G10" i="33"/>
  <c r="E10" i="33"/>
  <c r="C10" i="33"/>
  <c r="I7" i="33"/>
  <c r="G7" i="33"/>
  <c r="E7" i="33"/>
  <c r="I14" i="3"/>
  <c r="I15" i="3"/>
  <c r="I16" i="3"/>
  <c r="I17" i="3"/>
  <c r="I13" i="3"/>
  <c r="C14" i="3"/>
  <c r="C15" i="3"/>
  <c r="C16" i="3"/>
  <c r="C17" i="3"/>
  <c r="C13" i="3"/>
  <c r="D3" i="4"/>
  <c r="E9" i="81"/>
  <c r="I12" i="79"/>
  <c r="D2" i="82"/>
  <c r="C33" i="33" l="1"/>
  <c r="F15" i="82"/>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3" i="82" l="1"/>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B2"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67"/>
  <c r="F40" i="67"/>
  <c r="F3" i="73"/>
  <c r="J15" i="67"/>
  <c r="E12" i="76"/>
  <c r="F26" i="67"/>
  <c r="B11" i="76"/>
  <c r="L48" i="67"/>
  <c r="B12" i="76"/>
  <c r="F37" i="67"/>
  <c r="B13" i="76"/>
  <c r="B9" i="76"/>
  <c r="F6" i="73"/>
  <c r="M9" i="67"/>
  <c r="D6" i="73"/>
  <c r="M6" i="67"/>
  <c r="F13" i="67"/>
  <c r="F20" i="31"/>
  <c r="E13" i="76"/>
  <c r="AO13" i="1"/>
  <c r="E2" i="68"/>
  <c r="B10" i="76"/>
  <c r="F8" i="67"/>
  <c r="E7" i="76"/>
  <c r="E8" i="76"/>
  <c r="C76" i="67"/>
  <c r="E9" i="76"/>
  <c r="F6" i="67"/>
  <c r="F9" i="67"/>
  <c r="F7" i="73"/>
  <c r="F36" i="67"/>
  <c r="E11" i="76"/>
  <c r="M28" i="67"/>
  <c r="F42" i="67"/>
  <c r="E10" i="76"/>
  <c r="F16" i="67"/>
  <c r="B8" i="76"/>
  <c r="M22" i="67"/>
  <c r="M24" i="67"/>
  <c r="F5" i="73"/>
  <c r="E2" i="69"/>
  <c r="F38" i="67"/>
  <c r="F4" i="73"/>
  <c r="M26" i="67"/>
  <c r="M8" i="67"/>
  <c r="M23" i="67"/>
  <c r="B7" i="76"/>
  <c r="BA16" i="3" l="1"/>
  <c r="G1" i="69"/>
  <c r="G1" i="15"/>
  <c r="B6" i="1"/>
  <c r="E6" i="1" s="1"/>
  <c r="BE5" i="3"/>
  <c r="BP5" i="3"/>
  <c r="BI5" i="3"/>
  <c r="BS5" i="3"/>
  <c r="BH5" i="3"/>
  <c r="BA15" i="3"/>
  <c r="K6" i="1"/>
  <c r="M6" i="1" s="1"/>
  <c r="O6" i="1" s="1"/>
  <c r="BG5" i="3"/>
  <c r="BT5" i="3"/>
  <c r="BN5" i="3"/>
  <c r="BO5" i="3"/>
  <c r="BR5" i="3"/>
  <c r="U37" i="33"/>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E12" i="6" s="1"/>
  <c r="E57" i="40" s="1"/>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9"/>
  <c r="D9" i="68"/>
  <c r="F26" i="15"/>
  <c r="M26" i="15"/>
  <c r="F8" i="15"/>
  <c r="M9" i="15"/>
  <c r="M6" i="15"/>
  <c r="F7" i="15"/>
  <c r="M28" i="15"/>
  <c r="M29" i="67"/>
  <c r="D7" i="73"/>
  <c r="M24" i="15"/>
  <c r="F6" i="15"/>
  <c r="M23" i="15"/>
  <c r="F40" i="15"/>
  <c r="C76" i="15"/>
  <c r="F42" i="15"/>
  <c r="D3" i="73"/>
  <c r="F43" i="15"/>
  <c r="F36" i="15"/>
  <c r="J15" i="15"/>
  <c r="F38" i="15"/>
  <c r="F13" i="15"/>
  <c r="F16" i="15"/>
  <c r="D5" i="73"/>
  <c r="M8" i="15"/>
  <c r="L48" i="15"/>
  <c r="F43" i="67"/>
  <c r="F7" i="67"/>
  <c r="L47" i="15"/>
  <c r="M22" i="15"/>
  <c r="D4" i="73"/>
  <c r="M29" i="15"/>
  <c r="F37" i="15"/>
  <c r="F9" i="15"/>
  <c r="H16" i="1" l="1"/>
  <c r="Q16" i="1"/>
  <c r="F27" i="69" s="1"/>
  <c r="E15" i="6"/>
  <c r="E64" i="39" s="1"/>
  <c r="F29" i="6"/>
  <c r="E29" i="6" s="1"/>
  <c r="K15" i="1" s="1"/>
  <c r="F65" i="15"/>
  <c r="M7" i="15"/>
  <c r="M17" i="15" s="1"/>
  <c r="F50" i="15"/>
  <c r="E13" i="6"/>
  <c r="F28" i="6"/>
  <c r="F30" i="6" s="1"/>
  <c r="E11" i="6"/>
  <c r="E60" i="39" s="1"/>
  <c r="G28" i="6"/>
  <c r="G30" i="6" s="1"/>
  <c r="G31" i="6" s="1"/>
  <c r="E10" i="6"/>
  <c r="E8" i="6"/>
  <c r="F27" i="6" s="1"/>
  <c r="E14" i="6"/>
  <c r="F50" i="67"/>
  <c r="C49" i="67" s="1"/>
  <c r="F31" i="67"/>
  <c r="C6" i="67"/>
  <c r="M7" i="67"/>
  <c r="J6" i="67" s="1"/>
  <c r="J18" i="67" s="1"/>
  <c r="F71" i="67"/>
  <c r="AP6" i="1"/>
  <c r="C36" i="69" s="1"/>
  <c r="E28" i="6"/>
  <c r="K14" i="1" s="1"/>
  <c r="U15" i="33"/>
  <c r="W27" i="33"/>
  <c r="S14" i="33"/>
  <c r="AA14" i="33"/>
  <c r="AC14" i="33"/>
  <c r="W14" i="33"/>
  <c r="AC9" i="33"/>
  <c r="W9" i="33"/>
  <c r="U27" i="33"/>
  <c r="W25" i="33"/>
  <c r="AA25" i="33"/>
  <c r="S25" i="33"/>
  <c r="AA15" i="33"/>
  <c r="S15" i="33"/>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347"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C16" i="15"/>
  <c r="G1" i="73"/>
  <c r="C16" i="67"/>
  <c r="AE6" i="1"/>
  <c r="J10" i="40" l="1"/>
  <c r="AC10" i="40" s="1"/>
  <c r="K16" i="1"/>
  <c r="E16" i="6"/>
  <c r="E56" i="40"/>
  <c r="F59" i="67"/>
  <c r="AA10" i="39"/>
  <c r="H10" i="39"/>
  <c r="U10" i="39" s="1"/>
  <c r="E189" i="3"/>
  <c r="E162" i="3"/>
  <c r="E485" i="3"/>
  <c r="E121" i="3"/>
  <c r="E63" i="39"/>
  <c r="E59" i="40"/>
  <c r="AI6" i="3"/>
  <c r="E538" i="3"/>
  <c r="J5" i="67"/>
  <c r="J24" i="67" s="1"/>
  <c r="M17" i="67"/>
  <c r="E204" i="3"/>
  <c r="E111" i="3"/>
  <c r="E572" i="3"/>
  <c r="E586" i="3"/>
  <c r="E336" i="3"/>
  <c r="Q60" i="15"/>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B14" i="7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14" i="12"/>
  <c r="L18" i="9"/>
  <c r="D3" i="33"/>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F41" i="15"/>
  <c r="M27" i="67"/>
  <c r="M27" i="15"/>
  <c r="AA10" i="40" l="1"/>
  <c r="D3" i="37"/>
  <c r="D19" i="11"/>
  <c r="C19" i="11" s="1"/>
  <c r="D37" i="11"/>
  <c r="D3" i="34"/>
  <c r="E6" i="6"/>
  <c r="D10" i="69" s="1"/>
  <c r="C17" i="4"/>
  <c r="B4" i="52" s="1"/>
  <c r="B43" i="72" s="1"/>
  <c r="M18" i="9"/>
  <c r="B118" i="9" s="1"/>
  <c r="B1" i="74" s="1"/>
  <c r="D3" i="21"/>
  <c r="AB10" i="39"/>
  <c r="AC10" i="39"/>
  <c r="U10" i="40"/>
  <c r="F69" i="67"/>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7" i="15"/>
  <c r="C14" i="67"/>
  <c r="C17" i="67"/>
  <c r="H24" i="6" l="1"/>
  <c r="E6" i="3"/>
  <c r="H21" i="6"/>
  <c r="H25" i="6"/>
  <c r="D30" i="6"/>
  <c r="C44" i="11"/>
  <c r="D41" i="11" s="1"/>
  <c r="F41" i="68"/>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D2" i="35"/>
  <c r="C19" i="9"/>
  <c r="D2" i="36"/>
  <c r="L51" i="15"/>
  <c r="D2" i="37"/>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34" i="9"/>
  <c r="AO12" i="1"/>
  <c r="AO7" i="1"/>
  <c r="C20" i="9"/>
  <c r="D20" i="9"/>
  <c r="AO10" i="1"/>
  <c r="D35" i="9"/>
  <c r="AO11" i="1"/>
  <c r="AO9" i="1"/>
  <c r="AO8" i="1"/>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<sst xmlns="http://schemas.openxmlformats.org/spreadsheetml/2006/main" count="8348" uniqueCount="3493">
  <si>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</si>
  <si>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</si>
  <si>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</si>
  <si>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</si>
  <si>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</si>
  <si>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</si>
  <si>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</si>
  <si>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</si>
  <si>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</si>
  <si>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</si>
  <si>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</si>
  <si>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</si>
  <si>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</si>
  <si>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</si>
  <si>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</si>
  <si>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</si>
  <si>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</si>
  <si>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</si>
  <si>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</si>
  <si>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</si>
  <si>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</si>
  <si>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</si>
  <si>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</si>
  <si>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</si>
  <si>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</si>
  <si>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</si>
  <si>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</si>
  <si>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</si>
  <si>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</si>
  <si>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</si>
  <si>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</si>
  <si>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</si>
  <si>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</si>
  <si>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</si>
  <si>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</si>
  <si>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</si>
  <si>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</si>
  <si>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</si>
  <si>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</si>
  <si>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</si>
  <si>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</si>
  <si>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</si>
  <si>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</si>
  <si>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</si>
  <si>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</si>
  <si>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</si>
  <si>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</si>
  <si>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</si>
  <si>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</si>
  <si>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</si>
  <si>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</si>
  <si>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</si>
  <si>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</si>
  <si>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</si>
  <si>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</si>
  <si>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</si>
  <si>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</si>
  <si>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</si>
  <si>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</si>
  <si>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</si>
  <si>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</si>
  <si>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</si>
  <si>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</si>
  <si>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</si>
  <si>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</si>
  <si>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</si>
  <si>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</si>
  <si>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</si>
  <si>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</si>
  <si>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</si>
  <si>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</si>
  <si>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</si>
  <si>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</si>
  <si>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</si>
  <si>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</si>
  <si>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</si>
  <si>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</si>
  <si>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</si>
  <si>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</si>
  <si>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</si>
  <si>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</si>
  <si>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</si>
  <si>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</si>
  <si>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</si>
  <si>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</si>
  <si>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</si>
  <si>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</si>
  <si>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</si>
  <si>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</si>
  <si>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</si>
  <si>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</si>
  <si>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</si>
  <si>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</si>
  <si>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</si>
  <si>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</si>
  <si>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</si>
  <si>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</si>
  <si>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</si>
  <si>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</si>
  <si>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</si>
  <si>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</si>
  <si>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</si>
  <si>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</si>
  <si>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</si>
  <si>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</si>
  <si>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</si>
  <si>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</si>
  <si>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</si>
  <si>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</si>
  <si>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</si>
  <si>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</si>
  <si>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</si>
  <si>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</si>
  <si>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</si>
  <si>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</si>
  <si>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</si>
  <si>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</si>
  <si>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</si>
  <si>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</si>
  <si>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</si>
  <si>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</si>
  <si>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</si>
  <si>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</si>
  <si>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</si>
  <si>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</si>
  <si>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</si>
  <si>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</si>
  <si>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</si>
  <si>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</si>
  <si>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</si>
  <si>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</si>
  <si>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</si>
  <si>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</si>
  <si>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</si>
  <si>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</si>
  <si>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</si>
  <si>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</si>
  <si>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</si>
  <si>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</si>
  <si>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</si>
  <si>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</si>
  <si>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</si>
  <si>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</si>
  <si>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</si>
  <si>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</si>
  <si>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</si>
  <si>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</si>
  <si>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</si>
  <si>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</si>
  <si>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</si>
  <si>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</si>
  <si>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</si>
  <si>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</si>
  <si>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</si>
  <si>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</si>
  <si>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</si>
  <si>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</si>
  <si>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</si>
  <si>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</si>
  <si>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</si>
  <si>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</si>
  <si>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</si>
  <si>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</si>
  <si>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</si>
  <si>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</si>
  <si>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</si>
  <si>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</si>
  <si>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</si>
  <si>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</si>
  <si>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</si>
  <si>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</si>
  <si>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</si>
  <si>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</si>
  <si>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</si>
  <si>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</si>
  <si>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</si>
  <si>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</si>
  <si>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</si>
  <si>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</si>
  <si>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</si>
  <si>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</si>
  <si>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</si>
  <si>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</si>
  <si>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</si>
  <si>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</si>
  <si>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</si>
  <si>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</si>
  <si>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</si>
  <si>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</si>
  <si>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</si>
  <si>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</si>
  <si>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</si>
  <si>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</si>
  <si>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</si>
  <si>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</si>
  <si>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</si>
  <si>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</si>
  <si>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</si>
  <si>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</si>
  <si>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</si>
  <si>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</si>
  <si>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</si>
  <si>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</si>
  <si>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</si>
  <si>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</si>
  <si>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</si>
  <si>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</si>
  <si>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</si>
  <si>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</si>
  <si>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</si>
  <si>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</si>
  <si>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</si>
  <si>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</si>
  <si>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</si>
  <si>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</si>
  <si>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</si>
  <si>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</si>
  <si>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</si>
  <si>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</si>
  <si>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</si>
  <si>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</si>
  <si>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</si>
  <si>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</si>
  <si>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</si>
  <si>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</si>
  <si>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</si>
  <si>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</si>
  <si>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</si>
  <si>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</si>
  <si>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</si>
  <si>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</si>
  <si>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</si>
  <si>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</si>
  <si>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</si>
  <si>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</si>
  <si>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</si>
  <si>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</si>
  <si>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</si>
  <si>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</si>
  <si>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</si>
  <si>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</si>
  <si>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</si>
  <si>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</si>
  <si>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</si>
  <si>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</si>
  <si>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</si>
  <si>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</si>
  <si>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</si>
  <si>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</si>
  <si>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</si>
  <si>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</si>
  <si>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</si>
  <si>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</si>
  <si>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</si>
  <si>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</si>
  <si>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</si>
  <si>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</si>
  <si>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</si>
  <si>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</si>
  <si>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</si>
  <si>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</si>
  <si>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</si>
  <si>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</si>
  <si>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</si>
  <si>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</si>
  <si>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</si>
  <si>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</si>
  <si>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</si>
  <si>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</si>
  <si>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</si>
  <si>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</si>
  <si>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</si>
  <si>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</si>
  <si>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</si>
  <si>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</si>
  <si>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</si>
  <si>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</si>
  <si>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</si>
  <si>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</si>
  <si>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</si>
  <si>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</si>
  <si>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</si>
  <si>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</si>
  <si>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</si>
  <si>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</si>
  <si>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</si>
  <si>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</si>
  <si>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</si>
  <si>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</si>
  <si>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</si>
  <si>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</si>
  <si>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</si>
  <si>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</si>
  <si>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</si>
  <si>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</si>
  <si>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</si>
  <si>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</si>
  <si>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</si>
  <si>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</si>
  <si>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</si>
  <si>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</si>
  <si>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</si>
  <si>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</si>
  <si>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</si>
  <si>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</si>
  <si>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</si>
  <si>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</si>
  <si>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</si>
  <si>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</si>
  <si>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</si>
  <si>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</si>
  <si>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</si>
  <si>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</si>
  <si>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</si>
  <si>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</si>
  <si>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</si>
  <si>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</si>
  <si>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</si>
  <si>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</si>
  <si>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</si>
  <si>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</si>
  <si>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</si>
  <si>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</si>
  <si>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</si>
  <si>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</si>
  <si>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</si>
  <si>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</si>
  <si>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</si>
  <si>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</si>
  <si>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</si>
  <si>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</si>
  <si>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</si>
  <si>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</si>
  <si>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</si>
  <si>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</si>
  <si>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</si>
  <si>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</si>
  <si>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</si>
  <si>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</si>
  <si>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</si>
  <si>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</si>
  <si>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</si>
  <si>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</si>
  <si>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</si>
  <si>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</si>
  <si>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</si>
  <si>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</si>
  <si>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</si>
  <si>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</si>
  <si>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</si>
  <si>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</si>
  <si>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</si>
  <si>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</si>
  <si>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</si>
  <si>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</si>
  <si>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</si>
  <si>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</si>
  <si>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</si>
  <si>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</si>
  <si>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</si>
  <si>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</si>
  <si>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</si>
  <si>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</si>
  <si>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</si>
  <si>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</si>
  <si>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</si>
  <si>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</si>
  <si>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</si>
  <si>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</si>
  <si>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</si>
  <si>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</si>
  <si>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</si>
  <si>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</si>
  <si>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</si>
  <si>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</si>
  <si>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</si>
  <si>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</si>
  <si>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</si>
  <si>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</si>
  <si>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</si>
  <si>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</si>
  <si>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</si>
  <si>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</si>
  <si>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</si>
  <si>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</si>
  <si>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</si>
  <si>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</si>
  <si>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</si>
  <si>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</si>
  <si>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</si>
  <si>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</si>
  <si>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</si>
  <si>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</si>
  <si>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</si>
  <si>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</si>
  <si>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</si>
  <si>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</si>
  <si>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</si>
  <si>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</si>
  <si>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</si>
  <si>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</si>
  <si>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</si>
  <si>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</si>
  <si>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</si>
  <si>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</si>
  <si>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</si>
  <si>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</si>
  <si>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</si>
  <si>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</si>
  <si>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</si>
  <si>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</si>
  <si>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</si>
  <si>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</si>
  <si>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</si>
  <si>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</si>
  <si>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</si>
  <si>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</si>
  <si>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</si>
  <si>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</si>
  <si>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</si>
  <si>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</si>
  <si>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</si>
  <si>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</si>
  <si>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</si>
  <si>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</si>
  <si>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</si>
  <si>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</si>
  <si>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</si>
  <si>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</si>
  <si>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</si>
  <si>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</si>
  <si>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</si>
  <si>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</si>
  <si>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</si>
  <si>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</si>
  <si>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</si>
  <si>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</si>
  <si>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</si>
  <si>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</si>
  <si>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</si>
  <si>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</si>
  <si>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</si>
  <si>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</si>
  <si>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</si>
  <si>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</si>
  <si>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</si>
  <si>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</si>
  <si>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</si>
  <si>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</si>
  <si>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</si>
  <si>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</si>
  <si>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</si>
  <si>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</si>
  <si>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</si>
  <si>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</si>
  <si>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</si>
  <si>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</si>
  <si>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</si>
  <si>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</si>
  <si>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</si>
  <si>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</si>
  <si>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</si>
  <si>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</si>
  <si>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</si>
  <si>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</si>
  <si>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</si>
  <si>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</si>
  <si>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</si>
  <si>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</si>
  <si>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</si>
  <si>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</si>
  <si>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</si>
  <si>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</si>
  <si>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</si>
  <si>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</si>
  <si>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</si>
  <si>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</si>
  <si>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</si>
  <si>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</si>
  <si>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</si>
  <si>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</si>
  <si>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</si>
  <si>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</si>
  <si>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</si>
  <si>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</si>
  <si>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</si>
  <si>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</si>
  <si>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</si>
  <si>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</si>
  <si>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</si>
  <si>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</si>
  <si>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</si>
  <si>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</si>
  <si>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</si>
  <si>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</si>
  <si>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</si>
  <si>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</si>
  <si>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</si>
  <si>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</si>
  <si>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</si>
  <si>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</si>
  <si>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</si>
  <si>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</si>
  <si>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</si>
  <si>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</si>
  <si>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</si>
  <si>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</si>
  <si>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</si>
  <si>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</si>
  <si>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</si>
  <si>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</si>
  <si>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</si>
  <si>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</si>
  <si>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</si>
  <si>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</si>
  <si>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</si>
  <si>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</si>
  <si>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</si>
  <si>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</si>
  <si>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</si>
  <si>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</si>
  <si>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</si>
  <si>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</si>
  <si>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</si>
  <si>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</si>
  <si>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</si>
  <si>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</si>
  <si>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</si>
  <si>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</si>
  <si>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</si>
  <si>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</si>
  <si>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</si>
  <si>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</si>
  <si>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</si>
  <si>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</si>
  <si>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</si>
  <si>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</si>
  <si>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</si>
  <si>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</si>
  <si>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</si>
  <si>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</si>
  <si>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</si>
  <si>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</si>
  <si>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</si>
  <si>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</si>
  <si>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</si>
  <si>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</si>
  <si>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</si>
  <si>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</si>
  <si>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</si>
  <si>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</si>
  <si>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</si>
  <si>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</si>
  <si>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</si>
  <si>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</si>
  <si>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</si>
  <si>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</si>
  <si>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</si>
  <si>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</si>
  <si>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</si>
  <si>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</si>
  <si>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</si>
  <si>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</si>
  <si>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</si>
  <si>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</si>
  <si>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</si>
  <si>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</si>
  <si>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</si>
  <si>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</si>
  <si>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</si>
  <si>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</si>
  <si>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</si>
  <si>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</si>
  <si>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</si>
  <si>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</si>
  <si>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</si>
  <si>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</si>
  <si>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</si>
  <si>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</si>
  <si>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</si>
  <si>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</si>
  <si>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</si>
  <si>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</si>
  <si>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</si>
  <si>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</si>
  <si>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</si>
  <si>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</si>
  <si>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</si>
  <si>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</si>
  <si>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</si>
  <si>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</si>
  <si>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</si>
  <si>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</si>
  <si>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</si>
  <si>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</si>
  <si>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</si>
  <si>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</si>
  <si>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</si>
  <si>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</si>
  <si>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</si>
  <si>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</si>
  <si>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</si>
  <si>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</si>
  <si>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</si>
  <si>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</si>
  <si>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</si>
  <si>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</si>
  <si>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</si>
  <si>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</si>
  <si>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</si>
  <si>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</si>
  <si>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</si>
  <si>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</si>
  <si>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</si>
  <si>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</si>
  <si>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</si>
  <si>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</si>
  <si>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</si>
  <si>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</si>
  <si>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</si>
  <si>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</si>
  <si>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</si>
  <si>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</si>
  <si>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</si>
  <si>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</si>
  <si>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</si>
  <si>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</si>
  <si>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</si>
  <si>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</si>
  <si>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</si>
  <si>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</si>
  <si>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</si>
  <si>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</si>
  <si>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</si>
  <si>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</si>
  <si>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</si>
  <si>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</si>
  <si>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</si>
  <si>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</si>
  <si>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</si>
  <si>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</si>
  <si>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</si>
  <si>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</si>
  <si>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</si>
  <si>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</si>
  <si>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</si>
  <si>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</si>
  <si>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</si>
  <si>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</si>
  <si>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</si>
  <si>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</si>
  <si>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</si>
  <si>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</si>
  <si>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</si>
  <si>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</si>
  <si>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</si>
  <si>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</si>
  <si>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</si>
  <si>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</si>
  <si>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</si>
  <si>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</si>
  <si>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</si>
  <si>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</si>
  <si>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</si>
  <si>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</si>
  <si>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</si>
  <si>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</si>
  <si>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</si>
  <si>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</si>
  <si>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</si>
  <si>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</si>
  <si>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</si>
  <si>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</si>
  <si>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</si>
  <si>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</si>
  <si>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</si>
  <si>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</si>
  <si>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</si>
  <si>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</si>
  <si>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</si>
  <si>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</si>
  <si>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</si>
  <si>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</si>
  <si>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</si>
  <si>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</si>
  <si>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</si>
  <si>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</si>
  <si>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</si>
  <si>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</si>
  <si>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</si>
  <si>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</si>
  <si>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</si>
  <si>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</si>
  <si>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</si>
  <si>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</si>
  <si>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</si>
  <si>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</si>
  <si>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</si>
  <si>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</si>
  <si>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</si>
  <si>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</si>
  <si>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</si>
  <si>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</si>
  <si>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</si>
  <si>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</si>
  <si>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</si>
  <si>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</si>
  <si>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</si>
  <si>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</si>
  <si>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</si>
  <si>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</si>
  <si>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</si>
  <si>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</si>
  <si>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</si>
  <si>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</si>
  <si>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</si>
  <si>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</si>
  <si>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</si>
  <si>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</si>
  <si>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</si>
  <si>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</si>
  <si>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</si>
  <si>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</si>
  <si>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</si>
  <si>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</si>
  <si>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</si>
  <si>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</si>
  <si>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</si>
  <si>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</si>
  <si>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</si>
  <si>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</si>
  <si>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</si>
  <si>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</si>
  <si>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</si>
  <si>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</si>
  <si>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</si>
  <si>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</si>
  <si>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</si>
  <si>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</si>
  <si>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</si>
  <si>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</si>
  <si>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</si>
  <si>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</si>
  <si>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</si>
  <si>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</si>
  <si>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</si>
  <si>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</si>
  <si>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</si>
  <si>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</si>
  <si>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</si>
  <si>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</si>
  <si>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</si>
  <si>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</si>
  <si>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</si>
  <si>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</si>
  <si>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</si>
  <si>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</si>
  <si>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</si>
  <si>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</si>
  <si>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</si>
  <si>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</si>
  <si>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</si>
  <si>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</si>
  <si>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</si>
  <si>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</si>
  <si>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</si>
  <si>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</si>
  <si>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</si>
  <si>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</si>
  <si>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</si>
  <si>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</si>
  <si>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</si>
  <si>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</si>
  <si>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</si>
  <si>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</si>
  <si>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</si>
  <si>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</si>
  <si>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</si>
  <si>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</si>
  <si>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</si>
  <si>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</si>
  <si>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</si>
  <si>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</si>
  <si>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</si>
  <si>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</si>
  <si>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</si>
  <si>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</si>
  <si>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</si>
  <si>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</si>
  <si>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</si>
  <si>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</si>
  <si>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</si>
  <si>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</si>
  <si>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</si>
  <si>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</si>
  <si>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</si>
  <si>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</si>
  <si>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</si>
  <si>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</si>
  <si>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</si>
  <si>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</si>
  <si>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</si>
  <si>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</si>
  <si>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</si>
  <si>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</si>
  <si>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</si>
  <si>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</si>
  <si>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</si>
  <si>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</si>
  <si>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</si>
  <si>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</si>
  <si>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</si>
  <si>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</si>
  <si>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</si>
  <si>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</si>
  <si>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</si>
  <si>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</si>
  <si>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</si>
  <si>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</si>
  <si>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</si>
  <si>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</si>
  <si>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</si>
  <si>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</si>
  <si>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</si>
  <si>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</si>
  <si>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</si>
  <si>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</si>
  <si>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</si>
  <si>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</si>
  <si>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</si>
  <si>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</si>
  <si>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</si>
  <si>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</si>
  <si>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</si>
  <si>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</si>
  <si>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</si>
  <si>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</si>
  <si>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</si>
  <si>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</si>
  <si>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</si>
  <si>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</si>
  <si>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</si>
  <si>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</si>
  <si>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</si>
  <si>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</si>
  <si>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</si>
  <si>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</si>
  <si>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</si>
  <si>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</si>
  <si>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</si>
  <si>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</si>
  <si>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</si>
  <si>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</si>
  <si>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</si>
  <si>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</si>
  <si>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</si>
  <si>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</si>
  <si>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</si>
  <si>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</si>
  <si>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</si>
  <si>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</si>
  <si>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</si>
  <si>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</si>
  <si>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</si>
  <si>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</si>
  <si>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</si>
  <si>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</si>
  <si>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</si>
  <si>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</si>
  <si>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</si>
  <si>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</si>
  <si>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</si>
  <si>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</si>
  <si>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</si>
  <si>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</si>
  <si>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</si>
  <si>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</si>
  <si>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</si>
  <si>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</si>
  <si>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</si>
  <si>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</si>
  <si>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</si>
  <si>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</si>
  <si>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</si>
  <si>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</si>
  <si>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</si>
  <si>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</si>
  <si>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</si>
  <si>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</si>
  <si>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</si>
  <si>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</si>
  <si>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</si>
  <si>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</si>
  <si>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</si>
  <si>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</si>
  <si>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</si>
  <si>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</si>
  <si>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</si>
  <si>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</si>
  <si>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</si>
  <si>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</si>
  <si>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</si>
  <si>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</si>
  <si>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</si>
  <si>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</si>
  <si>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</si>
  <si>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</si>
  <si>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</si>
  <si>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</si>
  <si>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</si>
  <si>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</si>
  <si>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</si>
  <si>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</si>
  <si>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</si>
  <si>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</si>
  <si>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</si>
  <si>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</si>
  <si>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</si>
  <si>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</si>
  <si>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</si>
  <si>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</si>
  <si>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</si>
  <si>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</si>
  <si>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</si>
  <si>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</si>
  <si>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</si>
  <si>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</si>
  <si>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</si>
  <si>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</si>
  <si>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</si>
  <si>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</si>
  <si>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</si>
  <si>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</si>
  <si>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</si>
  <si>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</si>
  <si>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</si>
  <si>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</si>
  <si>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</si>
  <si>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</si>
  <si>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</si>
  <si>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</si>
  <si>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</si>
  <si>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</si>
  <si>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</si>
  <si>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</si>
  <si>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</si>
  <si>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</si>
  <si>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</si>
  <si>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</si>
  <si>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</si>
  <si>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</si>
  <si>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</si>
  <si>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</si>
  <si>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</si>
  <si>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</si>
  <si>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</si>
  <si>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</si>
  <si>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</si>
  <si>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</si>
  <si>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</si>
  <si>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</si>
  <si>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</si>
  <si>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</si>
  <si>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</si>
  <si>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</si>
  <si>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</si>
  <si>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</si>
  <si>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</si>
  <si>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</si>
  <si>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</si>
  <si>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</si>
  <si>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</si>
  <si>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</si>
  <si>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</si>
  <si>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</si>
  <si>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</si>
  <si>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</si>
  <si>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</si>
  <si>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</si>
  <si>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</si>
  <si>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</si>
  <si>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</si>
  <si>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</si>
  <si>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</si>
  <si>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</si>
  <si>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</si>
  <si>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</si>
  <si>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</si>
  <si>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</si>
  <si>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</si>
  <si>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</si>
  <si>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</si>
  <si>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</si>
  <si>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</si>
  <si>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</si>
  <si>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</si>
  <si>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</si>
  <si>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</si>
  <si>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</si>
  <si>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</si>
  <si>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</si>
  <si>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</si>
  <si>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</si>
  <si>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</si>
  <si>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</si>
  <si>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</si>
  <si>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</si>
  <si>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</si>
  <si>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</si>
  <si>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</si>
  <si>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</si>
  <si>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</si>
  <si>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</si>
  <si>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</si>
  <si>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</si>
  <si>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</si>
  <si>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</si>
  <si>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</si>
  <si>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</si>
  <si>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</si>
  <si>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</si>
  <si>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</si>
  <si>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</si>
  <si>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</si>
  <si>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</si>
  <si>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</si>
  <si>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</si>
  <si>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</si>
  <si>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</si>
  <si>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</si>
  <si>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</si>
  <si>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</si>
  <si>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</si>
  <si>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</si>
  <si>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</si>
  <si>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</si>
  <si>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</si>
  <si>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</si>
  <si>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</si>
  <si>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</si>
  <si>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</si>
  <si>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</si>
  <si>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</si>
  <si>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</si>
  <si>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</si>
  <si>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</si>
  <si>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</si>
  <si>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</si>
  <si>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</si>
  <si>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</si>
  <si>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</si>
  <si>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</si>
  <si>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</si>
  <si>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</si>
  <si>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</si>
  <si>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</si>
  <si>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</si>
  <si>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</si>
  <si>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</si>
  <si>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</si>
  <si>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</si>
  <si>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</si>
  <si>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</si>
  <si>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</si>
  <si>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</si>
  <si>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</si>
  <si>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</si>
  <si>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</si>
  <si>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</si>
  <si>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</si>
  <si>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</si>
  <si>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</si>
  <si>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</si>
  <si>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</si>
  <si>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</si>
  <si>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</si>
  <si>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</si>
  <si>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</si>
  <si>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</si>
  <si>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</si>
  <si>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</si>
  <si>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</si>
  <si>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</si>
  <si>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</si>
  <si>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</si>
  <si>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</si>
  <si>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</si>
  <si>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</si>
  <si>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</si>
  <si>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</si>
  <si>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</si>
  <si>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</si>
  <si>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</si>
  <si>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</si>
  <si>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</si>
  <si>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</si>
  <si>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</si>
  <si>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</si>
  <si>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</si>
  <si>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</si>
  <si>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</si>
  <si>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</si>
  <si>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</si>
  <si>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</si>
  <si>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</si>
  <si>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</si>
  <si>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</si>
  <si>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</si>
  <si>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</si>
  <si>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</si>
  <si>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</si>
  <si>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</si>
  <si>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</si>
  <si>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</si>
  <si>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</si>
  <si>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</si>
  <si>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</si>
  <si>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</si>
  <si>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</si>
  <si>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</si>
  <si>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</si>
  <si>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</si>
  <si>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</si>
  <si>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</si>
  <si>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</si>
  <si>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</si>
  <si>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</si>
  <si>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</si>
  <si>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</si>
  <si>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</si>
  <si>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</si>
  <si>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</si>
  <si>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</si>
  <si>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</si>
  <si>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</si>
  <si>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</si>
  <si>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</si>
  <si>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</si>
  <si>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</si>
  <si>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</si>
  <si>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</si>
  <si>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</si>
  <si>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</si>
  <si>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</si>
  <si>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</si>
  <si>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</si>
  <si>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</si>
  <si>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</si>
  <si>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</si>
  <si>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</si>
  <si>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</si>
  <si>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</si>
  <si>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</si>
  <si>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</si>
  <si>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</si>
  <si>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</si>
  <si>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</si>
  <si>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</si>
  <si>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</si>
  <si>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</si>
  <si>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</si>
  <si>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</si>
  <si>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</si>
  <si>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</si>
  <si>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</si>
  <si>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</si>
  <si>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</si>
  <si>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</si>
  <si>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</si>
  <si>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</si>
  <si>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</si>
  <si>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</si>
  <si>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</si>
  <si>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</si>
  <si>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</si>
  <si>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</si>
  <si>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</si>
  <si>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</si>
  <si>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</si>
  <si>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</si>
  <si>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</si>
  <si>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</si>
  <si>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</si>
  <si>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</si>
  <si>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</si>
  <si>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</si>
  <si>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</si>
  <si>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</si>
  <si>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</si>
  <si>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</si>
  <si>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</si>
  <si>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</si>
  <si>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</si>
  <si>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</si>
  <si>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</si>
  <si>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</si>
  <si>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</si>
  <si>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</si>
  <si>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</si>
  <si>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</si>
  <si>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</si>
  <si>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</si>
  <si>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</si>
  <si>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</si>
  <si>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</si>
  <si>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</si>
  <si>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</si>
  <si>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</si>
  <si>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</si>
  <si>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</si>
  <si>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</si>
  <si>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</si>
  <si>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</si>
  <si>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</si>
  <si>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</si>
  <si>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</si>
  <si>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</si>
  <si>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</si>
  <si>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</si>
  <si>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</si>
  <si>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</si>
  <si>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</si>
  <si>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</si>
  <si>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</si>
  <si>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</si>
  <si>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</si>
  <si>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</si>
  <si>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</si>
  <si>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</si>
  <si>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</si>
  <si>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</si>
  <si>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</si>
  <si>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</si>
  <si>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</si>
  <si>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</si>
  <si>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</si>
  <si>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</si>
  <si>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</si>
  <si>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</si>
  <si>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</si>
  <si>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</si>
  <si>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</si>
  <si>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</si>
  <si>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</si>
  <si>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</si>
  <si>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</si>
  <si>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</si>
  <si>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</si>
  <si>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</si>
  <si>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</si>
  <si>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</si>
  <si>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</si>
  <si>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</si>
  <si>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</si>
  <si>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</si>
  <si>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</si>
  <si>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</si>
  <si>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</si>
  <si>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</si>
  <si>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</si>
  <si>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</si>
  <si>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</si>
  <si>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</si>
  <si>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</si>
  <si>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</si>
  <si>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</si>
  <si>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</si>
  <si>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</si>
  <si>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</si>
  <si>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</si>
  <si>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</si>
  <si>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</si>
  <si>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</si>
  <si>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</si>
  <si>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</si>
  <si>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</si>
  <si>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</si>
  <si>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</si>
  <si>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</si>
  <si>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</si>
  <si>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</si>
  <si>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</si>
  <si>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</si>
  <si>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</si>
  <si>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</si>
  <si>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</si>
  <si>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</si>
  <si>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</si>
  <si>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</si>
  <si>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</si>
  <si>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</si>
  <si>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</si>
  <si>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</si>
  <si>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</si>
  <si>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</si>
  <si>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</si>
  <si>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</si>
  <si>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</si>
  <si>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</si>
  <si>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</si>
  <si>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</si>
  <si>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</si>
  <si>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</si>
  <si>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</si>
  <si>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</si>
  <si>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</si>
  <si>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</si>
  <si>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</si>
  <si>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</si>
  <si>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</si>
  <si>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</si>
  <si>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</si>
  <si>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</si>
  <si>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</si>
  <si>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</si>
  <si>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</si>
  <si>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</si>
  <si>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</si>
  <si>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</si>
  <si>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</si>
  <si>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</si>
  <si>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</si>
  <si>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</si>
  <si>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</si>
  <si>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</si>
  <si>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</si>
  <si>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</si>
  <si>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</si>
  <si>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</si>
  <si>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</si>
  <si>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</si>
  <si>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</si>
  <si>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</si>
  <si>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</si>
  <si>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</si>
  <si>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</si>
  <si>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</si>
  <si>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</si>
  <si>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</si>
  <si>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</si>
  <si>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</si>
  <si>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</si>
  <si>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</si>
  <si>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</si>
  <si>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</si>
  <si>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</si>
  <si>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</si>
  <si>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</si>
  <si>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</si>
  <si>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</si>
  <si>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</si>
  <si>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</si>
  <si>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</si>
  <si>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</si>
  <si>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</si>
  <si>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</si>
  <si>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</si>
  <si>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</si>
  <si>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</si>
  <si>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</si>
  <si>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</si>
  <si>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</si>
  <si>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</si>
  <si>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</si>
  <si>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</si>
  <si>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</si>
  <si>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</si>
  <si>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</si>
  <si>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</si>
  <si>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</si>
  <si>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</si>
  <si>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</si>
  <si>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</si>
  <si>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</si>
  <si>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</si>
  <si>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</si>
  <si>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</si>
  <si>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</si>
  <si>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</si>
  <si>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</si>
  <si>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</si>
  <si>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</si>
  <si>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</si>
  <si>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</si>
  <si>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</si>
  <si>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</si>
  <si>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</si>
  <si>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</si>
  <si>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</si>
  <si>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</si>
  <si>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</si>
  <si>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</si>
  <si>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</si>
  <si>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</si>
  <si>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</si>
  <si>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</si>
  <si>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</si>
  <si>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</si>
  <si>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</si>
  <si>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</si>
  <si>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</si>
  <si>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</si>
  <si>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</si>
  <si>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</si>
  <si>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</si>
  <si>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</si>
  <si>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</si>
  <si>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</si>
  <si>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</si>
  <si>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</si>
  <si>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</si>
  <si>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</si>
  <si>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</si>
  <si>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</si>
  <si>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</si>
  <si>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</si>
  <si>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</si>
  <si>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</si>
  <si>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</si>
  <si>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</si>
  <si>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</si>
  <si>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</si>
  <si>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</si>
  <si>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</si>
  <si>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</si>
  <si>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</si>
  <si>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</si>
  <si>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</si>
  <si>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</si>
  <si>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</si>
  <si>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</si>
  <si>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</si>
  <si>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</si>
  <si>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</si>
  <si>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</si>
  <si>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</si>
  <si>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</si>
  <si>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</si>
  <si>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</si>
  <si>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</si>
  <si>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</si>
  <si>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</si>
  <si>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</si>
  <si>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</si>
  <si>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</si>
  <si>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</si>
  <si>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</si>
  <si>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</si>
  <si>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</si>
  <si>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</si>
  <si>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</si>
  <si>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</si>
  <si>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</si>
  <si>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</si>
  <si>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</si>
  <si>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</si>
  <si>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</si>
  <si>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</si>
  <si>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</si>
  <si>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</si>
  <si>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</si>
  <si>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</si>
  <si>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</si>
  <si>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</si>
  <si>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</si>
  <si>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</si>
  <si>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</si>
  <si>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</si>
  <si>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</si>
  <si>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</si>
  <si>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</si>
  <si>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</si>
  <si>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</si>
  <si>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</si>
  <si>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</si>
  <si>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</si>
  <si>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</si>
  <si>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</si>
  <si>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</si>
  <si>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</si>
  <si>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</si>
  <si>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</si>
  <si>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</si>
  <si>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</si>
  <si>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</si>
  <si>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</si>
  <si>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</si>
  <si>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</si>
  <si>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</si>
  <si>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</si>
  <si>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</si>
  <si>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</si>
  <si>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</si>
  <si>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</si>
  <si>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</si>
  <si>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</si>
  <si>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</si>
  <si>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</si>
  <si>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</si>
  <si>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</si>
  <si>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</si>
  <si>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</si>
  <si>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</si>
  <si>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</si>
  <si>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</si>
  <si>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</si>
  <si>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</si>
  <si>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</si>
  <si>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</si>
  <si>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</si>
  <si>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</si>
  <si>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</si>
  <si>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</si>
  <si>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</si>
  <si>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</si>
  <si>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</si>
  <si>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</si>
  <si>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</si>
  <si>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</si>
  <si>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</si>
  <si>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</si>
  <si>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</si>
  <si>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</si>
  <si>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</si>
  <si>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</si>
  <si>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</si>
  <si>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</si>
  <si>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</si>
  <si>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</si>
  <si>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</si>
  <si>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</si>
  <si>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</si>
  <si>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</si>
  <si>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</si>
  <si>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</si>
  <si>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</si>
  <si>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</si>
  <si>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</si>
  <si>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</si>
  <si>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</si>
  <si>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</si>
  <si>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</si>
  <si>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</si>
  <si>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</si>
  <si>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</si>
  <si>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</si>
  <si>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</si>
  <si>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</si>
  <si>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</si>
  <si>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</si>
  <si>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</si>
  <si>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</si>
  <si>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</si>
  <si>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</si>
  <si>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</si>
  <si>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</si>
  <si>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</si>
  <si>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</si>
  <si>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</si>
  <si>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</si>
  <si>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</si>
  <si>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</si>
  <si>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</si>
  <si>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</si>
  <si>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</si>
  <si>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</si>
  <si>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</si>
  <si>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</si>
  <si>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</si>
  <si>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</si>
  <si>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</si>
  <si>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</si>
  <si>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</si>
  <si>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</si>
  <si>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</si>
  <si>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</si>
  <si>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</si>
  <si>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</si>
  <si>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</si>
  <si>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</si>
  <si>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</si>
  <si>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</si>
  <si>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</si>
  <si>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</si>
  <si>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</si>
  <si>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</si>
  <si>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</si>
  <si>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</si>
  <si>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</si>
  <si>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</si>
  <si>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</si>
  <si>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</si>
  <si>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</si>
  <si>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</si>
  <si>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</si>
  <si>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</si>
  <si>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</si>
  <si>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</si>
  <si>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</si>
  <si>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</si>
  <si>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</si>
  <si>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</si>
  <si>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</si>
  <si>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</si>
  <si>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</si>
  <si>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</si>
  <si>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</si>
  <si>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</si>
  <si>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</si>
  <si>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</si>
  <si>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</si>
  <si>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</si>
  <si>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</si>
  <si>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</si>
  <si>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</si>
  <si>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</si>
  <si>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</si>
  <si>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</si>
  <si>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</si>
  <si>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</si>
  <si>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</si>
  <si>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</si>
  <si>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</si>
  <si>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</si>
  <si>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</si>
  <si>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</si>
  <si>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</si>
  <si>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</si>
  <si>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</si>
  <si>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</si>
  <si>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</si>
  <si>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</si>
  <si>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</si>
  <si>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</si>
  <si>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</si>
  <si>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</si>
  <si>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</si>
  <si>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</si>
  <si>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</si>
  <si>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</si>
  <si>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</si>
  <si>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</si>
  <si>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</si>
  <si>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</si>
  <si>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</si>
  <si>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</si>
  <si>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</si>
  <si>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</si>
  <si>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</si>
  <si>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</si>
  <si>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</si>
  <si>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</si>
  <si>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</si>
  <si>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</si>
  <si>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</si>
  <si>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</si>
  <si>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</si>
  <si>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</si>
  <si>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</si>
  <si>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</si>
  <si>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</si>
  <si>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</si>
  <si>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</si>
  <si>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</si>
  <si>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</si>
  <si>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</si>
  <si>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</si>
  <si>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</si>
  <si>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</si>
  <si>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</si>
  <si>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</si>
  <si>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</si>
  <si>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</si>
  <si>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</si>
  <si>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</si>
  <si>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</si>
  <si>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</si>
  <si>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</si>
  <si>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</si>
  <si>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</si>
  <si>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</si>
  <si>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</si>
  <si>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</si>
  <si>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</si>
  <si>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</si>
  <si>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</si>
  <si>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</si>
  <si>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</si>
  <si>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</si>
  <si>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</si>
  <si>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</si>
  <si>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</si>
  <si>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</si>
  <si>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</si>
  <si>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</si>
  <si>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</si>
  <si>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</si>
  <si>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</si>
  <si>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</si>
  <si>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</si>
  <si>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</si>
  <si>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</si>
  <si>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</si>
  <si>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</si>
  <si>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</si>
  <si>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</si>
  <si>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</si>
  <si>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</si>
  <si>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</si>
  <si>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</si>
  <si>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</si>
  <si>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</si>
  <si>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</si>
  <si>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</si>
  <si>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</si>
  <si>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</si>
  <si>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</si>
  <si>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</si>
  <si>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</si>
  <si>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</si>
  <si>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</si>
  <si>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</si>
  <si>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</si>
  <si>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</si>
  <si>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</si>
  <si>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</si>
  <si>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</si>
  <si>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</si>
  <si>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</si>
  <si>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</si>
  <si>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</si>
  <si>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</si>
  <si>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</si>
  <si>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</si>
  <si>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</si>
  <si>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</si>
  <si>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</si>
  <si>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</si>
  <si>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</si>
  <si>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</si>
  <si>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</si>
  <si>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</si>
  <si>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</si>
  <si>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</si>
  <si>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</si>
  <si>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</si>
  <si>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</si>
  <si>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</si>
  <si>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</si>
  <si>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</si>
  <si>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</si>
  <si>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</si>
  <si>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</si>
  <si>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</si>
  <si>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</si>
  <si>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</si>
  <si>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</si>
  <si>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</si>
  <si>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</si>
  <si>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</si>
  <si>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</si>
  <si>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</si>
  <si>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</si>
  <si>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</si>
  <si>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</si>
  <si>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</si>
  <si>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</si>
  <si>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</si>
  <si>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</si>
  <si>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</si>
  <si>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</si>
  <si>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</si>
  <si>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</si>
  <si>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</si>
  <si>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</si>
  <si>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</si>
  <si>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</si>
  <si>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</si>
  <si>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</si>
  <si>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</si>
  <si>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</si>
  <si>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</si>
  <si>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</si>
  <si>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</si>
  <si>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</si>
  <si>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</si>
  <si>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</si>
  <si>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</si>
  <si>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</si>
  <si>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</si>
  <si>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</si>
  <si>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</si>
  <si>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</si>
  <si>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</si>
  <si>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</si>
  <si>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</si>
  <si>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</si>
  <si>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</si>
  <si>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</si>
  <si>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</si>
  <si>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</si>
  <si>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</si>
  <si>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</si>
  <si>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</si>
  <si>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</si>
  <si>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</si>
  <si>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</si>
  <si>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</si>
  <si>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</si>
  <si>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</si>
  <si>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</si>
  <si>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</si>
  <si>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</si>
  <si>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</si>
  <si>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</si>
  <si>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</si>
  <si>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</si>
  <si>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</si>
  <si>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</si>
  <si>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</si>
  <si>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</si>
  <si>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</si>
  <si>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</si>
  <si>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</si>
  <si>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</si>
  <si>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</si>
  <si>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</si>
  <si>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</si>
  <si>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</si>
  <si>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</si>
  <si>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</si>
  <si>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</si>
  <si>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</si>
  <si>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</si>
  <si>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</si>
  <si>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</si>
  <si>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</si>
  <si>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</si>
  <si>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</si>
  <si>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</si>
  <si>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</si>
  <si>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</si>
  <si>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</si>
  <si>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</si>
  <si>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</si>
  <si>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</si>
  <si>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</si>
  <si>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</si>
  <si>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</si>
  <si>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</si>
  <si>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</si>
  <si>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</si>
  <si>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</si>
  <si>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</si>
  <si>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</si>
  <si>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</si>
  <si>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</si>
  <si>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</si>
  <si>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</si>
  <si>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</si>
  <si>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</si>
  <si>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</si>
  <si>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</si>
  <si>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</si>
  <si>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</si>
  <si>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</si>
  <si>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</si>
  <si>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</si>
  <si>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</si>
  <si>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</si>
  <si>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</si>
  <si>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</si>
  <si>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</si>
  <si>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</si>
  <si>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</si>
  <si>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</si>
  <si>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</si>
  <si>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</si>
  <si>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</si>
  <si>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</si>
  <si>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</si>
  <si>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</si>
  <si>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</si>
  <si>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</si>
  <si>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</si>
  <si>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</si>
  <si>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</si>
  <si>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</si>
  <si>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</si>
  <si>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</si>
  <si>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</si>
  <si>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</si>
  <si>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</si>
  <si>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</si>
  <si>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</si>
  <si>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</si>
  <si>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</si>
  <si>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</si>
  <si>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</si>
  <si>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</si>
  <si>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</si>
  <si>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</si>
  <si>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</si>
  <si>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</si>
  <si>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</si>
  <si>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</si>
  <si>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</si>
  <si>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</si>
  <si>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</si>
  <si>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</si>
  <si>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</si>
  <si>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</si>
  <si>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</si>
  <si>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</si>
  <si>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</si>
  <si>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</si>
  <si>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</si>
  <si>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</si>
  <si>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</si>
  <si>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</si>
  <si>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</si>
  <si>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</si>
  <si>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</si>
  <si>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</si>
  <si>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</si>
  <si>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</si>
  <si>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</si>
  <si>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</si>
  <si>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</si>
  <si>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</si>
  <si>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</si>
  <si>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</si>
  <si>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</si>
  <si>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</si>
  <si>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</si>
  <si>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</si>
  <si>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</si>
  <si>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</si>
  <si>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</si>
  <si>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</si>
  <si>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</si>
  <si>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</si>
  <si>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</si>
  <si>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</si>
  <si>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</si>
  <si>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</si>
  <si>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</si>
  <si>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</si>
  <si>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</si>
  <si>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</si>
  <si>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</si>
  <si>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</si>
  <si>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</si>
  <si>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</si>
  <si>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</si>
  <si>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</si>
  <si>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</si>
  <si>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</si>
  <si>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</si>
  <si>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</si>
  <si>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</si>
  <si>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</si>
  <si>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</si>
  <si>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</si>
  <si>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</si>
  <si>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</si>
  <si>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</si>
  <si>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</si>
  <si>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</si>
  <si>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</si>
  <si>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</si>
  <si>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</si>
  <si>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</si>
  <si>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</si>
  <si>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</si>
  <si>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</si>
  <si>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</si>
  <si>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</si>
  <si>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</si>
  <si>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</si>
  <si>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</si>
  <si>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</si>
  <si>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</si>
  <si>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</si>
  <si>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</si>
  <si>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</si>
  <si>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</si>
  <si>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</si>
  <si>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</si>
  <si>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</si>
  <si>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</si>
  <si>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</si>
  <si>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</si>
  <si>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</si>
  <si>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</si>
  <si>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</si>
  <si>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</si>
  <si>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</si>
  <si>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</si>
  <si>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</si>
  <si>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</si>
  <si>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</si>
  <si>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</si>
  <si>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</si>
  <si>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</si>
  <si>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</si>
  <si>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</si>
  <si>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</si>
  <si>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</si>
  <si>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</si>
  <si>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</si>
  <si>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</si>
  <si>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</si>
  <si>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</si>
  <si>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</si>
  <si>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</si>
  <si>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</si>
  <si>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</si>
  <si>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</si>
  <si>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</si>
  <si>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</si>
  <si>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</si>
  <si>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</si>
  <si>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</si>
  <si>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</si>
  <si>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</si>
  <si>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</si>
  <si>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</si>
  <si>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</si>
  <si>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</si>
  <si>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</si>
  <si>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</si>
  <si>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</si>
  <si>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</si>
  <si>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</si>
  <si>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</si>
  <si>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</si>
  <si>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</si>
  <si>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</si>
  <si>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</si>
  <si>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</si>
  <si>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</si>
  <si>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</si>
  <si>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</si>
  <si>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</si>
  <si>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</si>
  <si>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</si>
  <si>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</si>
  <si>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</si>
  <si>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</si>
  <si>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</si>
  <si>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</si>
  <si>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</si>
  <si>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</si>
  <si>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</si>
  <si>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</si>
  <si>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</si>
  <si>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</si>
  <si>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</si>
  <si>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</si>
  <si>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</si>
  <si>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</si>
  <si>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</si>
  <si>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</si>
  <si>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</si>
  <si>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</si>
  <si>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</si>
  <si>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</si>
  <si>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</si>
  <si>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</si>
  <si>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</si>
  <si>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</si>
  <si>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</si>
  <si>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</si>
  <si>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</si>
  <si>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</si>
  <si>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</si>
  <si>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</si>
  <si>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</si>
  <si>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</si>
  <si>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</si>
  <si>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</si>
  <si>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</si>
  <si>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</si>
  <si>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</si>
  <si>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</si>
  <si>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</si>
  <si>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</si>
  <si>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</si>
  <si>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</si>
  <si>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</si>
  <si>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</si>
  <si>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</si>
  <si>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</si>
  <si>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</si>
  <si>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</si>
  <si>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</si>
  <si>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</si>
  <si>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</si>
  <si>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</si>
  <si>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</si>
  <si>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</si>
  <si>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</si>
  <si>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</si>
  <si>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</si>
  <si>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</si>
  <si>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</si>
  <si>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</si>
  <si>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</si>
  <si>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</si>
  <si>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</si>
  <si>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</si>
  <si>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</si>
  <si>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</si>
  <si>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</si>
  <si>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</si>
  <si>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</si>
  <si>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</si>
  <si>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</si>
  <si>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</si>
  <si>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</si>
  <si>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</si>
  <si>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</si>
  <si>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</si>
  <si>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</si>
  <si>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</si>
  <si>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</si>
  <si>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</si>
  <si>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</si>
  <si>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</si>
  <si>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</si>
  <si>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</si>
  <si>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</si>
  <si>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</si>
  <si>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</si>
  <si>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</si>
  <si>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</si>
  <si>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</si>
  <si>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</si>
  <si>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</si>
  <si>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</si>
  <si>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</si>
  <si>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</si>
  <si>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</si>
  <si>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</si>
  <si>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</si>
  <si>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</si>
  <si>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</si>
  <si>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</si>
  <si>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</si>
  <si>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</si>
  <si>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</si>
  <si>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</si>
  <si>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</si>
  <si>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</si>
  <si>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</si>
  <si>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</si>
  <si>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</si>
  <si>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</si>
  <si>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</si>
  <si>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</si>
  <si>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</si>
  <si>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</si>
  <si>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</si>
  <si>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</si>
  <si>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</si>
  <si>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</si>
  <si>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</si>
  <si>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</si>
  <si>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</si>
  <si>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</si>
  <si>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</si>
  <si>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</si>
  <si>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</si>
  <si>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</si>
  <si>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</si>
  <si>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</si>
  <si>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</si>
  <si>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</si>
  <si>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</si>
  <si>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</si>
  <si>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</si>
  <si>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</si>
  <si>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</si>
  <si>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</si>
  <si>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</si>
  <si>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</si>
  <si>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</si>
  <si>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</si>
  <si>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</si>
  <si>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</si>
  <si>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</si>
  <si>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</si>
  <si>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</si>
  <si>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</si>
  <si>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</si>
  <si>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</si>
  <si>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</si>
  <si>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</si>
  <si>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</si>
  <si>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</si>
  <si>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</si>
  <si>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</si>
  <si>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</si>
  <si>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</si>
  <si>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</si>
  <si>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</si>
  <si>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</si>
  <si>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</si>
  <si>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</si>
  <si>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</si>
  <si>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</si>
  <si>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</si>
  <si>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</si>
  <si>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</si>
  <si>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</si>
  <si>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</si>
  <si>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</si>
  <si>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</si>
  <si>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</si>
  <si>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</si>
  <si>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</si>
  <si>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</si>
  <si>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</si>
  <si>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</si>
  <si>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</si>
  <si>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</si>
  <si>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</si>
  <si>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</si>
  <si>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</si>
  <si>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</si>
  <si>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</si>
  <si>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</si>
  <si>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</si>
  <si>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</si>
  <si>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</si>
  <si>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</si>
  <si>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</si>
  <si>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</si>
  <si>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</si>
  <si>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</si>
  <si>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</si>
  <si>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</si>
  <si>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</si>
  <si>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</si>
  <si>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</si>
  <si>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</si>
  <si>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</si>
  <si>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</si>
  <si>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</si>
  <si>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</si>
  <si>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</si>
  <si>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</si>
  <si>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</si>
  <si>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</si>
  <si>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</si>
  <si>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</si>
  <si>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</si>
  <si>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</si>
  <si>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</si>
  <si>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</si>
  <si>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</si>
  <si>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</si>
  <si>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</si>
  <si>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</si>
  <si>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</si>
  <si>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</si>
  <si>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</si>
  <si>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</si>
  <si>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</si>
  <si>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</si>
  <si>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</si>
  <si>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</si>
  <si>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</si>
  <si>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</si>
  <si>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</si>
  <si>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</si>
  <si>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</si>
  <si>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</si>
  <si>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</si>
  <si>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</si>
  <si>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</si>
  <si>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</si>
  <si>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</si>
  <si>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</si>
  <si>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</si>
  <si>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</si>
  <si>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</si>
  <si>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</si>
  <si>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</si>
  <si>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</si>
  <si>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</si>
  <si>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</si>
  <si>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</si>
  <si>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</si>
  <si>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</si>
  <si>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</si>
  <si>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</si>
  <si>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</si>
  <si>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</si>
  <si>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</si>
  <si>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</si>
  <si>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</si>
  <si>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</si>
  <si>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</si>
  <si>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</si>
  <si>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</si>
  <si>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</si>
  <si>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</si>
  <si>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</si>
  <si>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</si>
  <si>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</si>
  <si>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</si>
  <si>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</si>
  <si>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</si>
  <si>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</si>
  <si>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</si>
  <si>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</si>
  <si>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</si>
  <si>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</si>
  <si>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</si>
  <si>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</si>
  <si>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</si>
  <si>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</si>
  <si>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</si>
  <si>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</si>
  <si>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</si>
  <si>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</si>
  <si>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</si>
  <si>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</si>
  <si>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</si>
  <si>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</si>
  <si>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</si>
  <si>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</si>
  <si>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</si>
  <si>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</si>
  <si>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</si>
  <si>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</si>
  <si>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</si>
  <si>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</si>
  <si>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</si>
  <si>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</si>
  <si>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</si>
  <si>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</si>
  <si>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</si>
  <si>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</si>
  <si>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</si>
  <si>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</si>
  <si>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</si>
  <si>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</si>
  <si>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</si>
  <si>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</si>
  <si>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</si>
  <si>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</si>
  <si>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</si>
  <si>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</si>
  <si>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</si>
  <si>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</si>
  <si>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</si>
  <si>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</si>
  <si>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</si>
  <si>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</si>
  <si>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</si>
  <si>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</si>
  <si>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</si>
  <si>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</si>
  <si>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</si>
  <si>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</si>
  <si>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</si>
  <si>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</si>
  <si>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</si>
  <si>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</si>
  <si>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</si>
  <si>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</si>
  <si>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</si>
  <si>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</si>
  <si>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</si>
  <si>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</si>
  <si>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</si>
  <si>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</si>
  <si>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</si>
  <si>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</si>
  <si>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</si>
  <si>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</si>
  <si>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</si>
  <si>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</si>
  <si>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</si>
  <si>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</si>
  <si>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</si>
  <si>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</si>
  <si>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</si>
  <si>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</si>
  <si>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</si>
  <si>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</si>
  <si>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</si>
  <si>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</si>
  <si>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</si>
  <si>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</si>
  <si>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</si>
  <si>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</si>
  <si>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</si>
  <si>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</si>
  <si>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</si>
  <si>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</si>
  <si>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</si>
  <si>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</si>
  <si>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</si>
  <si>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</si>
  <si>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</si>
  <si>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</si>
  <si>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</si>
  <si>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</si>
  <si>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</si>
  <si>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</si>
  <si>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</si>
  <si>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</si>
  <si>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</si>
  <si>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</si>
  <si>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</si>
  <si>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</si>
  <si>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</si>
  <si>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</si>
  <si>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</si>
  <si>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</si>
  <si>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</si>
  <si>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</si>
  <si>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</si>
  <si>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</si>
  <si>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</si>
  <si>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</si>
  <si>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</si>
  <si>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</si>
  <si>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</si>
  <si>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</si>
  <si>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</si>
  <si>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</si>
  <si>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</si>
  <si>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</si>
  <si>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</si>
  <si>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</si>
  <si>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</si>
  <si>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</si>
  <si>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</si>
  <si>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</si>
  <si>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</si>
  <si>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</si>
  <si>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</si>
  <si>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</si>
  <si>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</si>
  <si>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</si>
  <si>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</si>
  <si>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</si>
  <si>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</si>
  <si>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</si>
  <si>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</si>
  <si>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</si>
  <si>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</si>
  <si>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</si>
  <si>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</si>
  <si>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</si>
  <si>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</si>
  <si>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</si>
  <si>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</si>
  <si>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</si>
  <si>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</si>
  <si>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</si>
  <si>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</si>
  <si>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</si>
  <si>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</si>
  <si>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</si>
  <si>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</si>
  <si>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</si>
  <si>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</si>
  <si>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</si>
  <si>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</si>
  <si>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</si>
  <si>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</si>
  <si>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</si>
  <si>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</si>
  <si>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</si>
  <si>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</si>
  <si>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</si>
  <si>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</si>
  <si>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</si>
  <si>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</si>
  <si>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</si>
  <si>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</si>
  <si>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</si>
  <si>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</si>
  <si>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</si>
  <si>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</si>
  <si>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</si>
  <si>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</si>
  <si>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</si>
  <si>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</si>
  <si>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</si>
  <si>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</si>
  <si>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</si>
  <si>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</si>
  <si>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</si>
  <si>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</si>
  <si>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</si>
  <si>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</si>
  <si>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</si>
  <si>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</si>
  <si>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</si>
  <si>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</si>
  <si>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</si>
  <si>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</si>
  <si>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</si>
  <si>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</si>
  <si>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</si>
  <si>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</si>
  <si>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</si>
  <si>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</si>
  <si>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</si>
  <si>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</si>
  <si>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</si>
  <si>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</si>
  <si>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</si>
  <si>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</si>
  <si>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</si>
  <si>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</si>
  <si>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</si>
  <si>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</si>
  <si>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</si>
  <si>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</si>
  <si>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</si>
  <si>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</si>
  <si>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</si>
  <si>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</si>
  <si>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</si>
  <si>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</si>
  <si>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</si>
  <si>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</si>
  <si>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</si>
  <si>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</si>
  <si>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</si>
  <si>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</si>
  <si>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</si>
  <si>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</si>
  <si>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</si>
  <si>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</si>
  <si>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</si>
  <si>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</si>
  <si>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</si>
  <si>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</si>
  <si>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</si>
  <si>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</si>
  <si>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</si>
  <si>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</si>
  <si>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</si>
  <si>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</si>
  <si>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</si>
  <si>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</si>
  <si>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</si>
  <si>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</si>
  <si>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</si>
  <si>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</si>
  <si>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</si>
  <si>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</si>
  <si>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</si>
  <si>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</si>
  <si>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</si>
  <si>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</si>
  <si>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</si>
  <si>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</si>
  <si>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</si>
  <si>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</si>
  <si>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</si>
  <si>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</si>
  <si>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</si>
  <si>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</si>
  <si>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</si>
  <si>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</si>
  <si>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</si>
  <si>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</si>
  <si>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</si>
  <si>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</si>
  <si>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</si>
  <si>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</si>
  <si>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</si>
  <si>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</si>
  <si>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</si>
  <si>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</si>
  <si>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</si>
  <si>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</si>
  <si>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</si>
  <si>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</si>
  <si>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</si>
  <si>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</si>
  <si>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</si>
  <si>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</si>
  <si>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</si>
  <si>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</si>
  <si>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</si>
  <si>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</si>
  <si>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</si>
  <si>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</si>
  <si>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</si>
  <si>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</si>
  <si>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</si>
  <si>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</si>
  <si>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</si>
  <si>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</si>
  <si>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</si>
  <si>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</si>
  <si>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</si>
  <si>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</si>
  <si>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</si>
  <si>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</si>
  <si>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</si>
  <si>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</si>
  <si>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</si>
  <si>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</si>
  <si>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</si>
  <si>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</si>
  <si>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</si>
  <si>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</si>
  <si>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</si>
  <si>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</si>
  <si>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</si>
  <si>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</si>
  <si>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</si>
  <si>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</si>
  <si>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</si>
  <si>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</si>
  <si>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</si>
  <si>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</si>
  <si>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</si>
  <si>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</si>
  <si>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</si>
  <si>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</si>
  <si>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</si>
  <si>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</si>
  <si>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</si>
  <si>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</si>
  <si>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</si>
  <si>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</si>
  <si>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</si>
  <si>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</si>
  <si>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</si>
  <si>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</si>
  <si>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</si>
  <si>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</si>
  <si>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</si>
  <si>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</si>
  <si>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</si>
  <si>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</si>
  <si>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</si>
  <si>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</si>
  <si>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</si>
  <si>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</si>
  <si>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</si>
  <si>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</si>
  <si>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</si>
  <si>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</si>
  <si>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</si>
  <si>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</si>
  <si>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</si>
  <si>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</si>
  <si>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</si>
  <si>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</si>
  <si>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</si>
  <si>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</si>
  <si>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</si>
  <si>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</si>
  <si>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</si>
  <si>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</si>
  <si>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</si>
  <si>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</si>
  <si>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</si>
  <si>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</si>
  <si>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</si>
  <si>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</si>
  <si>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</si>
  <si>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</si>
  <si>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</si>
  <si>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</si>
  <si>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</si>
  <si>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</si>
  <si>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</si>
  <si>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</si>
  <si>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</si>
  <si>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</si>
  <si>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</si>
  <si>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</si>
  <si>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</si>
  <si>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</si>
  <si>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</si>
  <si>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</si>
  <si>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</si>
  <si>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</si>
  <si>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</si>
  <si>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</si>
  <si>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</si>
  <si>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</si>
  <si>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</si>
  <si>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</si>
  <si>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</si>
  <si>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</si>
  <si>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</si>
  <si>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</si>
  <si>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</si>
  <si>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</si>
  <si>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</si>
  <si>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</si>
  <si>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</si>
  <si>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</si>
  <si>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</si>
  <si>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</si>
  <si>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</si>
  <si>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</si>
  <si>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</si>
  <si>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</si>
  <si>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</si>
  <si>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</si>
  <si>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</si>
  <si>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</si>
  <si>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</si>
  <si>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</si>
  <si>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</si>
  <si>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</si>
  <si>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</si>
  <si>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</si>
  <si>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</si>
  <si>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</si>
  <si>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</si>
  <si>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</si>
  <si>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</si>
  <si>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</si>
  <si>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</si>
  <si>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</si>
  <si>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</si>
  <si>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</si>
  <si>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</si>
  <si>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</si>
  <si>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</si>
  <si>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</si>
  <si>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</si>
  <si>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</si>
  <si>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</si>
  <si>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</si>
  <si>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</si>
  <si>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</si>
  <si>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</si>
  <si>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</si>
  <si>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</si>
  <si>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</si>
  <si>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</si>
  <si>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</si>
  <si>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</si>
  <si>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</si>
  <si>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</si>
  <si>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</si>
  <si>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</si>
  <si>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</si>
  <si>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</si>
  <si>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</si>
  <si>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</si>
  <si>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</si>
  <si>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</si>
  <si>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</si>
  <si>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</si>
  <si>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</si>
  <si>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</si>
  <si>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</si>
  <si>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</si>
  <si>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</si>
  <si>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</si>
  <si>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</si>
  <si>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</si>
  <si>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</si>
  <si>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</si>
  <si>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</si>
  <si>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</si>
  <si>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</si>
  <si>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</si>
  <si>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</si>
  <si>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</si>
  <si>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</si>
  <si>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</si>
  <si>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</si>
  <si>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</si>
  <si>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</si>
  <si>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</si>
  <si>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</si>
  <si>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</si>
  <si>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</si>
  <si>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</si>
  <si>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</si>
  <si>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</si>
  <si>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</si>
  <si>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</si>
  <si>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</si>
  <si>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</si>
  <si>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</si>
  <si>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</si>
  <si>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</si>
  <si>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</si>
  <si>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</si>
  <si>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</si>
  <si>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</si>
  <si>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</si>
  <si>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</si>
  <si>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</si>
  <si>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</si>
  <si>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</si>
  <si>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</si>
  <si>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</si>
  <si>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</si>
  <si>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</si>
  <si>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</si>
  <si>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</si>
  <si>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</si>
  <si>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</si>
  <si>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</si>
  <si>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</si>
  <si>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</si>
  <si>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</si>
  <si>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</si>
  <si>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</si>
  <si>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</si>
  <si>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</si>
  <si>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</si>
  <si>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</si>
  <si>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</si>
  <si>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</si>
  <si>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</si>
  <si>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</si>
  <si>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</si>
  <si>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</si>
  <si>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</si>
  <si>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</si>
  <si>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</si>
  <si>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</si>
  <si>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</si>
  <si>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</si>
  <si>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</si>
  <si>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</si>
  <si>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</si>
  <si>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</si>
  <si>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</si>
  <si>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</si>
  <si>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</si>
  <si>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</si>
  <si>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</si>
  <si>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</si>
  <si>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</si>
  <si>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</si>
  <si>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</si>
  <si>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</si>
  <si>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</si>
  <si>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</si>
  <si>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</si>
  <si>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</si>
  <si>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</si>
  <si>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</si>
  <si>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</si>
  <si>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</si>
  <si>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</si>
  <si>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</si>
  <si>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</si>
  <si>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</si>
  <si>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</si>
  <si>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</si>
  <si>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</si>
  <si>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</si>
  <si>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</si>
  <si>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</si>
  <si>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</si>
  <si>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</si>
  <si>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</si>
  <si>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</si>
  <si>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</si>
  <si>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</si>
  <si>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</si>
  <si>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</si>
  <si>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</si>
  <si>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</si>
  <si>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</si>
  <si>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</si>
  <si>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</si>
  <si>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</si>
  <si>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</si>
  <si>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</si>
  <si>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</si>
  <si>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</si>
  <si>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</si>
  <si>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</si>
  <si>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</si>
  <si>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</si>
  <si>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</si>
  <si>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</si>
  <si>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</si>
  <si>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</si>
  <si>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</si>
  <si>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</si>
  <si>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</si>
  <si>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</si>
  <si>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</si>
  <si>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</si>
  <si>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</si>
  <si>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</si>
  <si>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</si>
  <si>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</si>
  <si>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</si>
  <si>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</si>
  <si>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</si>
  <si>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</si>
  <si>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</si>
  <si>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</si>
  <si>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</si>
  <si>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</si>
  <si>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</si>
  <si>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</si>
  <si>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</si>
  <si>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</si>
  <si>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</si>
  <si>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</si>
  <si>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</si>
  <si>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</si>
  <si>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</si>
  <si>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</si>
  <si>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</si>
  <si>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</si>
  <si>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</si>
  <si>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</si>
  <si>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</si>
  <si>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</si>
  <si>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</si>
  <si>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</si>
  <si>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</si>
  <si>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</si>
  <si>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</si>
  <si>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</si>
  <si>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</si>
  <si>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</si>
  <si>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</si>
  <si>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</si>
  <si>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</si>
  <si>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</si>
  <si>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</si>
  <si>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</si>
  <si>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</si>
  <si>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</si>
  <si>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</si>
  <si>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</si>
  <si>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</si>
  <si>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</si>
  <si>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</si>
  <si>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</si>
  <si>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</si>
  <si>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</si>
  <si>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</si>
  <si>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</si>
  <si>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</si>
  <si>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</si>
  <si>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</si>
  <si>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</si>
  <si>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</si>
  <si>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</si>
  <si>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</si>
  <si>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</si>
  <si>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</si>
  <si>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</si>
  <si>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</si>
  <si>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</si>
  <si>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</si>
  <si>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</si>
  <si>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</si>
  <si>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</si>
  <si>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</si>
  <si>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</si>
  <si>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</si>
  <si>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</si>
  <si>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</si>
  <si>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</si>
  <si>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</si>
  <si>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</si>
  <si>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</si>
  <si>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</si>
  <si>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</si>
  <si>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</si>
  <si>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</si>
  <si>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</si>
  <si>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</si>
  <si>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</si>
  <si>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</si>
  <si>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</si>
  <si>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</si>
  <si>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</si>
  <si>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</si>
  <si>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</si>
  <si>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</si>
  <si>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</si>
  <si>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</si>
  <si>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</si>
  <si>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</si>
  <si>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</si>
  <si>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</si>
  <si>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</si>
  <si>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</si>
  <si>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</si>
  <si>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</si>
  <si>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</si>
  <si>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</si>
  <si>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</si>
  <si>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</si>
  <si>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</si>
  <si>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</si>
  <si>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</si>
  <si>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</si>
  <si>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</si>
  <si>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</si>
  <si>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</si>
  <si>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</si>
  <si>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</si>
  <si>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</si>
  <si>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</si>
  <si>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</si>
  <si>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</si>
  <si>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</si>
  <si>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</si>
  <si>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</si>
  <si>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</si>
  <si>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</si>
  <si>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</si>
  <si>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</si>
  <si>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</si>
  <si>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</si>
  <si>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</si>
  <si>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</si>
  <si>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</si>
  <si>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</si>
  <si>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</si>
  <si>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</si>
  <si>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</si>
  <si>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</si>
  <si>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</si>
  <si>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</si>
  <si>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</si>
  <si>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</si>
  <si>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</si>
  <si>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</si>
  <si>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</si>
  <si>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</si>
  <si>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</si>
  <si>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</si>
  <si>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</si>
  <si>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</si>
  <si>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</si>
  <si>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</si>
  <si>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</si>
  <si>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</si>
  <si>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</si>
  <si>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</si>
  <si>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</si>
  <si>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</si>
  <si>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</si>
  <si>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</si>
  <si>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</si>
  <si>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</si>
  <si>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</si>
  <si>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</si>
  <si>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</si>
  <si>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</si>
  <si>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</si>
  <si>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</si>
  <si>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</si>
  <si>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</si>
  <si>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</si>
  <si>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</si>
  <si>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</si>
  <si>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</si>
  <si>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</si>
  <si>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</si>
  <si>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</si>
  <si>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</si>
  <si>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</si>
  <si>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</si>
  <si>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</si>
  <si>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</si>
  <si>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</si>
  <si>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</si>
  <si>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</si>
  <si>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</si>
  <si>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</si>
  <si>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</si>
  <si>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</si>
  <si>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</si>
  <si>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</si>
  <si>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</si>
  <si>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</si>
  <si>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</si>
  <si>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</si>
  <si>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</si>
  <si>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</si>
  <si>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</si>
  <si>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</si>
  <si>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</si>
  <si>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</si>
  <si>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</si>
  <si>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</si>
  <si>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</si>
  <si>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</si>
  <si>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</si>
  <si>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</si>
  <si>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</si>
  <si>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</si>
  <si>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</si>
  <si>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</si>
  <si>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</si>
  <si>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</si>
  <si>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</si>
  <si>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</si>
  <si>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</si>
  <si>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</si>
  <si>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</si>
  <si>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</si>
  <si>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</si>
  <si>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</si>
  <si>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</si>
  <si>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</si>
  <si>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</si>
  <si>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</si>
  <si>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</si>
  <si>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</si>
  <si>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</si>
  <si>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</si>
  <si>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</si>
  <si>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</si>
  <si>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</si>
  <si>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</si>
  <si>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</si>
  <si>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</si>
  <si>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</si>
  <si>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</si>
  <si>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</si>
  <si>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</si>
  <si>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</si>
  <si>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</si>
  <si>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</si>
  <si>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</si>
  <si>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</si>
  <si>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</si>
  <si>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</si>
  <si>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</si>
  <si>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</si>
  <si>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</si>
  <si>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</si>
  <si>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</si>
  <si>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</si>
  <si>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</si>
  <si>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</si>
  <si>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</si>
  <si>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</si>
  <si>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</si>
  <si>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</si>
  <si>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</si>
  <si>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</si>
  <si>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</si>
  <si>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</si>
  <si>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</si>
  <si>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</si>
  <si>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</si>
  <si>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</si>
  <si>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</si>
  <si>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</si>
  <si>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</si>
  <si>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</si>
  <si>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</si>
  <si>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</si>
  <si>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</si>
  <si>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</si>
  <si>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</si>
  <si>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</si>
  <si>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</si>
  <si>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</si>
  <si>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</si>
  <si>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</si>
  <si>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</si>
  <si>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</si>
  <si>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</si>
  <si>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</si>
  <si>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</si>
  <si>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</si>
  <si>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</si>
  <si>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</si>
  <si>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</si>
  <si>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</si>
  <si>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</si>
  <si>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</si>
  <si>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</si>
  <si>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</si>
  <si>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</si>
  <si>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</si>
  <si>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</si>
  <si>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</si>
  <si>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</si>
  <si>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</si>
  <si>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</si>
  <si>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</si>
  <si>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</si>
  <si>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</si>
  <si>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</si>
  <si>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</si>
  <si>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</si>
  <si>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</si>
  <si>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</si>
  <si>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</si>
  <si>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</si>
  <si>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</si>
  <si>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</si>
  <si>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</si>
  <si>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</si>
  <si>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</si>
  <si>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</si>
  <si>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</si>
  <si>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</si>
  <si>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</si>
  <si>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</si>
  <si>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</si>
  <si>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</si>
  <si>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</si>
  <si>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</si>
  <si>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</si>
  <si>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</si>
  <si>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</si>
  <si>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</si>
  <si>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</si>
  <si>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</si>
  <si>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</si>
  <si>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</si>
  <si>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</si>
  <si>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</si>
  <si>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</si>
  <si>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</si>
  <si>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</si>
  <si>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</si>
  <si>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</si>
  <si>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</si>
  <si>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</si>
  <si>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</si>
  <si>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</si>
  <si>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</si>
  <si>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</si>
  <si>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</si>
  <si>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</si>
  <si>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</si>
  <si>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</si>
  <si>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</si>
  <si>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</si>
  <si>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</si>
  <si>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</si>
  <si>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</si>
  <si>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</si>
  <si>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</si>
  <si>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</si>
  <si>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</si>
  <si>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</si>
  <si>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</si>
  <si>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</si>
  <si>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</si>
  <si>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</si>
  <si>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</si>
  <si>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</si>
  <si>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</si>
  <si>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</si>
  <si>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</si>
  <si>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</si>
  <si>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</si>
  <si>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</si>
  <si>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</si>
  <si>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</si>
  <si>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</si>
  <si>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</si>
  <si>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</si>
  <si>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</si>
  <si>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</si>
  <si>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</si>
  <si>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</si>
  <si>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</si>
  <si>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</si>
  <si>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</si>
  <si>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</si>
  <si>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</si>
  <si>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</si>
  <si>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</si>
  <si>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</si>
  <si>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</si>
  <si>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</si>
  <si>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</si>
  <si>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</si>
  <si>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</si>
  <si>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</si>
  <si>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</si>
  <si>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</si>
  <si>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</si>
  <si>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</si>
  <si>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</si>
  <si>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</si>
  <si>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</si>
  <si>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</si>
  <si>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</si>
  <si>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</si>
  <si>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</si>
  <si>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</si>
  <si>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</si>
  <si>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</si>
  <si>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</si>
  <si>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</si>
  <si>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</si>
  <si>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</si>
  <si>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</si>
  <si>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</si>
  <si>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</si>
  <si>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</si>
  <si>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</si>
  <si>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</si>
  <si>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</si>
  <si>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</si>
  <si>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</si>
  <si>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</si>
  <si>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</si>
  <si>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</si>
  <si>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</si>
  <si>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</si>
  <si>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</si>
  <si>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</si>
  <si>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</si>
  <si>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</si>
  <si>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</si>
  <si>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</si>
  <si>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</si>
  <si>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</si>
  <si>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</si>
  <si>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</si>
  <si>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</si>
  <si>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</si>
  <si>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</si>
  <si>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</si>
  <si>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</si>
  <si>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</si>
  <si>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</si>
  <si>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</si>
  <si>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</si>
  <si>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</si>
  <si>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</si>
  <si>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</si>
  <si>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</si>
  <si>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</si>
  <si>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</si>
  <si>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</si>
  <si>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</si>
  <si>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</si>
  <si>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</si>
  <si>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</si>
  <si>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</si>
  <si>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</si>
  <si>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</si>
  <si>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</si>
  <si>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</si>
  <si>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</si>
  <si>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</si>
  <si>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</si>
  <si>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</si>
  <si>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</si>
  <si>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</si>
  <si>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</si>
  <si>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</si>
  <si>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</si>
  <si>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</si>
  <si>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</si>
  <si>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</si>
  <si>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</si>
  <si>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</si>
  <si>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</si>
  <si>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</si>
  <si>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</si>
  <si>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</si>
  <si>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</si>
  <si>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</si>
  <si>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</si>
  <si>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</si>
  <si>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</si>
  <si>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</si>
  <si>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</si>
  <si>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</si>
  <si>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</si>
  <si>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</si>
  <si>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</si>
  <si>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</si>
  <si>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</si>
  <si>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</si>
  <si>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</si>
  <si>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</si>
  <si>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</si>
  <si>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</si>
  <si>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</si>
  <si>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</si>
  <si>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</si>
  <si>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</si>
  <si>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</si>
  <si>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</si>
  <si>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</si>
  <si>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</si>
  <si>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</si>
  <si>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</si>
  <si>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</si>
  <si>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</si>
  <si>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</si>
  <si>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</si>
  <si>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</si>
  <si>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</si>
  <si>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</si>
  <si>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</si>
  <si>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</si>
  <si>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</si>
  <si>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</si>
  <si>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</si>
  <si>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</si>
  <si>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</si>
  <si>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</si>
  <si>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</si>
  <si>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</si>
  <si>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</si>
  <si>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</si>
  <si>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</si>
  <si>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</si>
  <si>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</si>
  <si>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</si>
  <si>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</si>
  <si>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</si>
  <si>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</si>
  <si>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</si>
  <si>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</si>
  <si>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</si>
  <si>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</si>
  <si>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</si>
  <si>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</si>
  <si>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</si>
  <si>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</si>
  <si>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</si>
  <si>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</si>
  <si>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</si>
  <si>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</si>
  <si>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</si>
  <si>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</si>
  <si>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</si>
  <si>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</si>
  <si>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</si>
  <si>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</si>
  <si>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</si>
  <si>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</si>
  <si>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</si>
  <si>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</si>
  <si>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</si>
  <si>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</si>
  <si>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</si>
  <si>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</si>
  <si>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</si>
  <si>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</si>
  <si>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</si>
  <si>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</si>
  <si>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</si>
  <si>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</si>
  <si>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</si>
  <si>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</si>
  <si>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</si>
  <si>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</si>
  <si>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</si>
  <si>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</si>
  <si>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</si>
  <si>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</si>
  <si>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</si>
  <si>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</si>
  <si>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</si>
  <si>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</si>
  <si>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</si>
  <si>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</si>
  <si>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</si>
  <si>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</si>
  <si>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</si>
  <si>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</si>
  <si>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</si>
  <si>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</si>
  <si>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</si>
  <si>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阳光上东-安徒生花园底商</t>
    <phoneticPr fontId="3" type="noConversion"/>
  </si>
  <si>
    <t>.</t>
    <phoneticPr fontId="8" type="noConversion"/>
  </si>
  <si>
    <t>商业2-60</t>
  </si>
  <si>
    <t>商业2-60</t>
    <phoneticPr fontId="7" type="noConversion"/>
  </si>
  <si>
    <t>2-60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</si>
</sst>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估价对象为北京市房地产，为所有。根据《国有土地使用证》[]，估价对象（分摊）出让国有建设用地使用权面积为0平方米，建筑面积为84.9平方米。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估价对象为北京市房地产,属开发建设的，该项目尚在开发建设中。根据《国有土地使用证》[]，估价对象（分摊）出让国有建设用地使用权面积为0平方米，规划建筑面积为84.9平方米。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311</v>
      </c>
    </row>
    <row r="21" spans="1:2">
      <c r="A21" s="1118" t="s">
        <v>537</v>
      </c>
      <c r="B21" s="1119">
        <f ca="1">'预评函-2'!D7</f>
        <v>36603</v>
      </c>
    </row>
    <row r="22" spans="1:2">
      <c r="A22" s="1118" t="s">
        <v>538</v>
      </c>
      <c r="B22" s="1119" t="str">
        <f ca="1">'预评函-2'!D6</f>
        <v>叁佰壹拾壹万元整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311</v>
      </c>
    </row>
    <row r="31" spans="1:2">
      <c r="A31" s="1118" t="s">
        <v>576</v>
      </c>
      <c r="B31" s="1119">
        <f ca="1">'预评函-2'!D15</f>
        <v>36603</v>
      </c>
    </row>
    <row r="32" spans="1:2">
      <c r="A32" s="1118" t="s">
        <v>543</v>
      </c>
      <c r="B32" s="1119" t="str">
        <f ca="1">'预评函-2'!D14</f>
        <v>叁佰壹拾壹万元整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84.9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261</v>
      </c>
    </row>
    <row r="48" spans="1:2">
      <c r="A48" s="1118" t="s">
        <v>549</v>
      </c>
      <c r="B48" s="1119">
        <f ca="1">'预评函-3'!E4</f>
        <v>30710</v>
      </c>
    </row>
    <row r="49" spans="1:2">
      <c r="A49" s="1118" t="s">
        <v>550</v>
      </c>
      <c r="B49" s="1119" t="str">
        <f ca="1">'预评函-3'!D5</f>
        <v>贰佰陆拾壹万元整</v>
      </c>
    </row>
    <row r="50" spans="1:2">
      <c r="A50" s="1118" t="s">
        <v>574</v>
      </c>
      <c r="B50" s="1119" t="str">
        <f>'预评函-3'!F2</f>
        <v>在建建筑物价值</v>
      </c>
    </row>
    <row r="51" spans="1:2">
      <c r="A51" s="1118" t="s">
        <v>551</v>
      </c>
      <c r="B51" s="1119">
        <f ca="1">'预评函-3'!F4</f>
        <v>50</v>
      </c>
    </row>
    <row r="52" spans="1:2">
      <c r="A52" s="1118" t="s">
        <v>552</v>
      </c>
      <c r="B52" s="1119">
        <f ca="1">'预评函-3'!G4</f>
        <v>5893</v>
      </c>
    </row>
    <row r="53" spans="1:2">
      <c r="A53" s="1118" t="s">
        <v>580</v>
      </c>
      <c r="B53" s="1119" t="str">
        <f ca="1">'预评函-3'!F5</f>
        <v>伍拾万元整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B4:S18"/>
  <sheetViews>
    <sheetView zoomScale="70" zoomScaleNormal="70" workbookViewId="0">
      <selection activeCell="A4" sqref="A4"/>
    </sheetView>
  </sheetViews>
  <sheetFormatPr defaultColWidth="9"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2:8">
      <c r="B4" s="3162">
        <v>36604</v>
      </c>
      <c r="C4" s="3162" t="s">
        <v>3407</v>
      </c>
      <c r="D4" s="3162" t="s">
        <v>3408</v>
      </c>
      <c r="E4" s="3162">
        <v>110.83</v>
      </c>
    </row>
    <row r="5" spans="2:8">
      <c r="C5" s="3162" t="s">
        <v>3409</v>
      </c>
      <c r="D5" s="3162" t="s">
        <v>3410</v>
      </c>
      <c r="E5" s="3162">
        <v>84.97</v>
      </c>
    </row>
    <row r="6" spans="2:8">
      <c r="C6" s="3162" t="s">
        <v>3411</v>
      </c>
      <c r="D6" s="3162" t="s">
        <v>3412</v>
      </c>
      <c r="E6" s="3162">
        <v>84.97</v>
      </c>
    </row>
    <row r="7" spans="2:8">
      <c r="C7" s="3162" t="s">
        <v>3413</v>
      </c>
      <c r="D7" s="3162" t="s">
        <v>3414</v>
      </c>
      <c r="E7" s="3162">
        <v>84.9</v>
      </c>
    </row>
    <row r="8" spans="2:8">
      <c r="C8" s="3162" t="s">
        <v>3415</v>
      </c>
      <c r="D8" s="3162" t="s">
        <v>3416</v>
      </c>
      <c r="E8" s="3162">
        <v>71.92</v>
      </c>
    </row>
    <row r="9" spans="2:8">
      <c r="E9" s="3162">
        <f>SUM(E4:E8)</f>
        <v>437.59</v>
      </c>
      <c r="G9" s="3162">
        <f ca="1">结果表!G20</f>
        <v>36603</v>
      </c>
      <c r="H9" s="3162">
        <f ca="1">E9*G9</f>
        <v>16017106.77</v>
      </c>
    </row>
    <row r="18" spans="19:19">
      <c r="S18" s="3162" t="s">
        <v>3479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29"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0"/>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2"/>
      <c r="L16" s="1669"/>
      <c r="M16" s="1669"/>
      <c r="N16" s="2244"/>
      <c r="O16" s="1669"/>
      <c r="P16" s="2244"/>
      <c r="Q16" s="2244"/>
      <c r="R16" s="2244"/>
    </row>
    <row r="17" spans="1:28">
      <c r="A17" s="305" t="s">
        <v>2194</v>
      </c>
      <c r="B17" s="294" t="s">
        <v>2195</v>
      </c>
      <c r="C17" s="8">
        <f>'数据-汇总表'!E3</f>
        <v>84.9</v>
      </c>
      <c r="D17" s="1255" t="s">
        <v>2196</v>
      </c>
      <c r="E17" s="3242" t="s">
        <v>2197</v>
      </c>
      <c r="F17" s="3243"/>
      <c r="G17" s="3243"/>
      <c r="H17" s="3243"/>
      <c r="I17" s="3244"/>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5" t="s">
        <v>2201</v>
      </c>
      <c r="F18" s="3246"/>
      <c r="G18" s="3246"/>
      <c r="H18" s="3246"/>
      <c r="I18" s="3247"/>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2" t="s">
        <v>2205</v>
      </c>
      <c r="C20" s="3233"/>
      <c r="D20" s="3234" t="s">
        <v>2206</v>
      </c>
      <c r="E20" s="3235"/>
      <c r="F20" s="2429" t="s">
        <v>1055</v>
      </c>
      <c r="G20" s="2441"/>
      <c r="H20" s="2441"/>
      <c r="I20" s="2441"/>
      <c r="J20" s="2244"/>
      <c r="K20" s="323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0"/>
      <c r="B30" s="294" t="s">
        <v>2217</v>
      </c>
      <c r="C30" s="3251"/>
      <c r="D30" s="3252"/>
      <c r="E30" s="2441"/>
      <c r="F30" s="2441"/>
      <c r="G30" s="2441"/>
      <c r="H30" s="2441"/>
      <c r="I30" s="2441"/>
      <c r="J30" s="2244"/>
      <c r="K30" s="2401"/>
      <c r="L30" s="2398"/>
      <c r="M30" s="2398"/>
      <c r="N30" s="2244"/>
      <c r="O30" s="1669"/>
      <c r="P30" s="2244"/>
      <c r="Q30" s="2244"/>
      <c r="R30" s="2244"/>
      <c r="S30" s="2244"/>
      <c r="T30" s="2244"/>
      <c r="U30" s="2244"/>
      <c r="V30" s="2244"/>
    </row>
    <row r="31" spans="1:28">
      <c r="A31" s="325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4"/>
      <c r="V34" s="2244"/>
    </row>
    <row r="35" spans="1:30">
      <c r="A35" s="2235"/>
      <c r="B35" s="3248" t="s">
        <v>2228</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84.9</v>
      </c>
      <c r="BA5" s="15">
        <f t="shared" si="1"/>
        <v>84.9</v>
      </c>
      <c r="BB5" s="15">
        <f t="shared" si="1"/>
        <v>84.9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3462</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3461</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84.9</v>
      </c>
      <c r="BA16" s="13">
        <f>SUM(BB16:BK16)</f>
        <v>84.9</v>
      </c>
      <c r="BB16" s="13">
        <f>IF($D16="是",I16-J16,0)</f>
        <v>84.9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4" t="s">
        <v>1130</v>
      </c>
      <c r="B2" s="3264"/>
      <c r="C2" s="3264"/>
      <c r="D2" s="747" t="s">
        <v>1106</v>
      </c>
      <c r="E2" s="1522" t="s">
        <v>1107</v>
      </c>
      <c r="F2" s="2438"/>
      <c r="G2" s="2431"/>
      <c r="H2" s="2432"/>
      <c r="I2" s="2145" t="s">
        <v>1131</v>
      </c>
      <c r="J2" s="2438"/>
      <c r="K2" s="2438"/>
      <c r="L2" s="2438"/>
      <c r="M2" s="2438"/>
      <c r="N2" s="2439"/>
      <c r="O2" s="2438"/>
      <c r="P2" s="2438"/>
    </row>
    <row r="3" spans="1:16" ht="15.75" thickBot="1">
      <c r="A3" s="3265" t="s">
        <v>1104</v>
      </c>
      <c r="B3" s="3265"/>
      <c r="C3" s="3265"/>
      <c r="D3" s="41">
        <f>'数据-基础表'!AY6</f>
        <v>0</v>
      </c>
      <c r="E3" s="41">
        <f>'数据-基础表'!AZ5</f>
        <v>84.9</v>
      </c>
      <c r="F3" s="2438"/>
      <c r="G3" s="42"/>
      <c r="H3" s="43" t="s">
        <v>1105</v>
      </c>
      <c r="I3" s="801" t="e">
        <f>ROUND('数据-基础表'!B3/'数据-基础表'!A3,2)</f>
        <v>#DIV/0!</v>
      </c>
      <c r="J3" s="2438"/>
      <c r="K3" s="2438"/>
      <c r="L3" s="2438"/>
      <c r="M3" s="2438"/>
      <c r="N3" s="2439"/>
      <c r="O3" s="2438"/>
      <c r="P3" s="2438"/>
    </row>
    <row r="4" spans="1:16" ht="15">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84.9</v>
      </c>
      <c r="F6" s="2438"/>
      <c r="G6" s="1528" t="s">
        <v>1111</v>
      </c>
      <c r="H6" s="45" t="s">
        <v>1112</v>
      </c>
      <c r="I6" s="2434" t="e">
        <f>ROUND(F31/D31,2)</f>
        <v>#DIV/0!</v>
      </c>
      <c r="J6" s="2438"/>
      <c r="K6" s="2438"/>
      <c r="L6" s="2438"/>
      <c r="M6" s="2438"/>
      <c r="N6" s="2438"/>
      <c r="O6" s="2438"/>
      <c r="P6" s="2438"/>
    </row>
    <row r="7" spans="1:16" ht="15.75" thickBot="1">
      <c r="A7" s="3261"/>
      <c r="B7" s="3262"/>
      <c r="C7" s="3263"/>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84.9</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84.9</v>
      </c>
      <c r="F16" s="2438"/>
      <c r="G16" s="2438"/>
      <c r="H16" s="1530" t="s">
        <v>1134</v>
      </c>
      <c r="I16" s="1531"/>
      <c r="J16" s="1070"/>
      <c r="K16" s="3258" t="s">
        <v>1134</v>
      </c>
      <c r="L16" s="3259"/>
      <c r="M16" s="3259"/>
      <c r="N16" s="3259"/>
      <c r="O16" s="3259"/>
      <c r="P16" s="3260"/>
    </row>
    <row r="17" spans="1:19" ht="15">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3491</v>
      </c>
      <c r="D19" s="43">
        <f>ROUND($D$3*E19/$E$3,2)</f>
        <v>0</v>
      </c>
      <c r="E19" s="51">
        <f t="shared" ref="E19:E26" si="1">SUM(F19:G19)</f>
        <v>84.9</v>
      </c>
      <c r="F19" s="2557">
        <f>'数据-基础表'!I16</f>
        <v>84.9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84.9</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84.9</v>
      </c>
      <c r="F27" s="1071">
        <f>IF(SUM(F19:F26)=E8,SUM(F19:F26),"地上面积有误")</f>
        <v>84.9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84.9</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84.9</v>
      </c>
      <c r="F31" s="643">
        <f>F27+F30</f>
        <v>84.9</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3463</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商业2-60</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84.9</v>
      </c>
      <c r="L6" s="3178">
        <v>4500</v>
      </c>
      <c r="M6" s="64">
        <f t="shared" ref="M6:M14" si="0">ROUND(K6*L6/10000,0)</f>
        <v>38</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3464</v>
      </c>
      <c r="AO6" s="50">
        <f ca="1">SUMIF(INDIRECT("'"&amp;AN6&amp;"'"&amp;"!A:A"),"总价",INDIRECT("'"&amp;AN6&amp;"'"&amp;"!B:B"))</f>
        <v>251.14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84.9</v>
      </c>
      <c r="L16" s="87">
        <f>ROUND(M16*10000/SUM(K6:K14),0)</f>
        <v>4476</v>
      </c>
      <c r="M16" s="87">
        <f>SUM(M6:M14)</f>
        <v>38</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3476</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3477</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3478</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1.698</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A15" sqref="A15"/>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84.9</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310.7595</v>
      </c>
      <c r="C5" s="2299">
        <f ca="1">IF(B5=D14,结果表!H102,ROUND(B5*10000/$B$1,0))</f>
        <v>36603</v>
      </c>
      <c r="D5" s="2299" t="e">
        <f ca="1">ROUND(B5*10000/$B$2,0)</f>
        <v>#DIV/0!</v>
      </c>
      <c r="E5" s="2461"/>
      <c r="F5" s="2461"/>
      <c r="G5" s="2461"/>
      <c r="H5" s="2461"/>
      <c r="I5" s="2461"/>
      <c r="J5" s="2461"/>
      <c r="K5" s="2461"/>
    </row>
    <row r="6" spans="1:11" ht="16.5">
      <c r="A6" s="2299" t="s">
        <v>655</v>
      </c>
      <c r="B6" s="2299">
        <f ca="1">SUM(G14:G23)</f>
        <v>310.7595</v>
      </c>
      <c r="C6" s="2299">
        <f ca="1">IF(B6=G14,结果表!H108,ROUND(B6*10000/$B$1,0))</f>
        <v>36603</v>
      </c>
      <c r="D6" s="2299" t="e">
        <f ca="1">ROUND(B6*10000/$B$2,0)</f>
        <v>#DIV/0!</v>
      </c>
      <c r="E6" s="2461"/>
      <c r="F6" s="2461"/>
      <c r="G6" s="2461"/>
      <c r="H6" s="2461"/>
      <c r="I6" s="2461"/>
      <c r="J6" s="2461"/>
      <c r="K6" s="2461"/>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3492</v>
      </c>
      <c r="B14" s="2305">
        <f>'数据-汇总表'!E3</f>
        <v>84.9</v>
      </c>
      <c r="C14" s="2305"/>
      <c r="D14" s="2305">
        <f ca="1">结果表!I19/10000</f>
        <v>310.7595</v>
      </c>
      <c r="E14" s="2305">
        <f ca="1">ROUND(D14*10000/B14,0)</f>
        <v>36603</v>
      </c>
      <c r="F14" s="2305" t="e">
        <f ca="1">ROUND(D14*10000/C14,0)</f>
        <v>#DIV/0!</v>
      </c>
      <c r="G14" s="2305">
        <f ca="1">D14</f>
        <v>310.7595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19" sqref="I1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39" t="str">
        <f>项目基本情况!S2</f>
        <v>北京市房地产</v>
      </c>
      <c r="B2" s="3340"/>
      <c r="C2" s="3340"/>
      <c r="D2" s="3340"/>
      <c r="E2" s="3340"/>
      <c r="F2" s="3340"/>
      <c r="G2" s="3340"/>
      <c r="H2" s="3340"/>
      <c r="I2" s="3341"/>
    </row>
    <row r="3" spans="1:12" ht="12.75">
      <c r="A3" s="3343" t="s">
        <v>1263</v>
      </c>
      <c r="B3" s="3344"/>
      <c r="C3" s="3344"/>
      <c r="D3" s="3344"/>
      <c r="E3" s="3344"/>
      <c r="F3" s="3344"/>
      <c r="G3" s="3344"/>
      <c r="H3" s="3344"/>
      <c r="I3" s="3344"/>
    </row>
    <row r="4" spans="1:12" ht="14.25">
      <c r="A4" s="1623" t="s">
        <v>1264</v>
      </c>
      <c r="B4" s="1624" t="s">
        <v>1265</v>
      </c>
      <c r="C4" s="1625" t="s">
        <v>3475</v>
      </c>
      <c r="D4" s="1625" t="s">
        <v>3464</v>
      </c>
      <c r="E4" s="3348" t="s">
        <v>1266</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1267</v>
      </c>
      <c r="B5" s="3342">
        <v>25</v>
      </c>
      <c r="C5" s="3345"/>
      <c r="D5" s="3333"/>
      <c r="E5" s="123" t="s">
        <v>1268</v>
      </c>
      <c r="F5" s="1626"/>
      <c r="G5" s="1626"/>
      <c r="H5" s="1626"/>
      <c r="I5" s="1280"/>
    </row>
    <row r="6" spans="1:12" ht="12.75">
      <c r="A6" s="3287"/>
      <c r="B6" s="3342"/>
      <c r="C6" s="3347"/>
      <c r="D6" s="3333"/>
      <c r="E6" s="123" t="s">
        <v>1269</v>
      </c>
      <c r="F6" s="1626"/>
      <c r="G6" s="1626"/>
      <c r="H6" s="1626"/>
      <c r="I6" s="1280"/>
    </row>
    <row r="7" spans="1:12" ht="12.75">
      <c r="A7" s="3287"/>
      <c r="B7" s="3342"/>
      <c r="C7" s="3346"/>
      <c r="D7" s="3333"/>
      <c r="E7" s="123" t="s">
        <v>1270</v>
      </c>
      <c r="F7" s="1626"/>
      <c r="G7" s="1626"/>
      <c r="H7" s="1626"/>
      <c r="I7" s="1280"/>
    </row>
    <row r="8" spans="1:12" ht="12.75">
      <c r="A8" s="3287" t="s">
        <v>1271</v>
      </c>
      <c r="B8" s="3342">
        <v>15</v>
      </c>
      <c r="C8" s="3345"/>
      <c r="D8" s="3333"/>
      <c r="E8" s="123" t="s">
        <v>1272</v>
      </c>
      <c r="F8" s="1626"/>
      <c r="G8" s="1626"/>
      <c r="H8" s="1626"/>
      <c r="I8" s="1280"/>
    </row>
    <row r="9" spans="1:12" ht="12.75">
      <c r="A9" s="3287"/>
      <c r="B9" s="3342"/>
      <c r="C9" s="3346"/>
      <c r="D9" s="3333"/>
      <c r="E9" s="123" t="s">
        <v>1273</v>
      </c>
      <c r="F9" s="1626"/>
      <c r="G9" s="1626"/>
      <c r="H9" s="1626"/>
      <c r="I9" s="1280"/>
    </row>
    <row r="10" spans="1:12" ht="12.75">
      <c r="A10" s="3287" t="s">
        <v>1274</v>
      </c>
      <c r="B10" s="3342">
        <v>15</v>
      </c>
      <c r="C10" s="3345"/>
      <c r="D10" s="3333"/>
      <c r="E10" s="123" t="s">
        <v>1275</v>
      </c>
      <c r="F10" s="1626"/>
      <c r="G10" s="1626"/>
      <c r="H10" s="1626"/>
      <c r="I10" s="1280"/>
      <c r="K10" s="683" t="s">
        <v>3489</v>
      </c>
    </row>
    <row r="11" spans="1:12" ht="12.75">
      <c r="A11" s="3287"/>
      <c r="B11" s="3342"/>
      <c r="C11" s="3346"/>
      <c r="D11" s="3333"/>
      <c r="E11" s="123" t="s">
        <v>1276</v>
      </c>
      <c r="F11" s="1626"/>
      <c r="G11" s="1626"/>
      <c r="H11" s="1626"/>
      <c r="I11" s="1280"/>
    </row>
    <row r="12" spans="1:12" ht="12.75">
      <c r="A12" s="3287" t="s">
        <v>1277</v>
      </c>
      <c r="B12" s="3342">
        <v>15</v>
      </c>
      <c r="C12" s="3345"/>
      <c r="D12" s="3333"/>
      <c r="E12" s="123" t="s">
        <v>1278</v>
      </c>
      <c r="F12" s="1626"/>
      <c r="G12" s="1626"/>
      <c r="H12" s="1626"/>
      <c r="I12" s="1280"/>
    </row>
    <row r="13" spans="1:12" ht="12.75">
      <c r="A13" s="3287"/>
      <c r="B13" s="3342"/>
      <c r="C13" s="3346"/>
      <c r="D13" s="3333"/>
      <c r="E13" s="123" t="s">
        <v>1279</v>
      </c>
      <c r="F13" s="1626"/>
      <c r="G13" s="1626"/>
      <c r="H13" s="1626"/>
      <c r="I13" s="1280"/>
    </row>
    <row r="14" spans="1:12" ht="12.75">
      <c r="A14" s="3287" t="s">
        <v>1280</v>
      </c>
      <c r="B14" s="3342">
        <v>30</v>
      </c>
      <c r="C14" s="3345">
        <v>6</v>
      </c>
      <c r="D14" s="3333">
        <v>4</v>
      </c>
      <c r="E14" s="123" t="s">
        <v>1281</v>
      </c>
      <c r="F14" s="1626"/>
      <c r="G14" s="1626"/>
      <c r="H14" s="1626"/>
      <c r="I14" s="1280"/>
    </row>
    <row r="15" spans="1:12" ht="12.75">
      <c r="A15" s="3287"/>
      <c r="B15" s="3342"/>
      <c r="C15" s="3347"/>
      <c r="D15" s="3333"/>
      <c r="E15" s="123" t="s">
        <v>1282</v>
      </c>
      <c r="F15" s="1626"/>
      <c r="G15" s="1626"/>
      <c r="H15" s="1626"/>
      <c r="I15" s="1280"/>
    </row>
    <row r="16" spans="1:12" ht="12.75">
      <c r="A16" s="3287"/>
      <c r="B16" s="3342"/>
      <c r="C16" s="3346"/>
      <c r="D16" s="3333"/>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364" t="s">
        <v>2130</v>
      </c>
      <c r="F18" s="3365"/>
      <c r="G18" s="3365"/>
      <c r="H18" s="3365"/>
      <c r="I18" s="3365"/>
      <c r="K18" s="294" t="s">
        <v>1288</v>
      </c>
      <c r="L18" s="294">
        <f>IF(C1="",'数据-汇总表'!E3,SUMIF(项目类型,C1,'数据-汇总表'!E17:E26)+SUMIF(项目类型,C1,'数据-汇总表'!I17:I26))</f>
        <v>84.9</v>
      </c>
      <c r="M18" s="294">
        <f>IF(C1="",'数据-汇总表'!E3,SUMIF(项目类型,C1,'数据-汇总表'!E17:E26))</f>
        <v>84.9</v>
      </c>
    </row>
    <row r="19" spans="1:36" ht="15">
      <c r="A19" s="1629" t="s">
        <v>1289</v>
      </c>
      <c r="B19" s="1630" t="s">
        <v>1290</v>
      </c>
      <c r="C19" s="126">
        <f ca="1">SUMIF(INDIRECT("'"&amp;C4&amp;"'"&amp;"!A:A"),结果表!B19,INDIRECT("'"&amp;C4&amp;"'"&amp;"!B:B"))</f>
        <v>350.50970000000001</v>
      </c>
      <c r="D19" s="127">
        <f ca="1">SUMIF(INDIRECT("'"&amp;D4&amp;"'"&amp;"!A:A"),结果表!B19,INDIRECT("'"&amp;D4&amp;"'"&amp;"!B:B"))</f>
        <v>251.14</v>
      </c>
      <c r="E19" s="1629" t="s">
        <v>1291</v>
      </c>
      <c r="F19" s="1630" t="s">
        <v>1290</v>
      </c>
      <c r="G19" s="128">
        <f ca="1">ROUND(C19*$C$18+D19*$D$18,0)</f>
        <v>311</v>
      </c>
      <c r="H19" s="1631" t="s">
        <v>1292</v>
      </c>
      <c r="I19" s="121">
        <f ca="1">ROUND(G20*'数据-汇总表'!E3,0)</f>
        <v>3107595</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41285</v>
      </c>
      <c r="D20" s="130">
        <f ca="1">SUMIF(INDIRECT("'"&amp;D4&amp;"'"&amp;"!A:A"),结果表!B20,INDIRECT("'"&amp;D4&amp;"'"&amp;"!B:B"))</f>
        <v>29581</v>
      </c>
      <c r="E20" s="1632"/>
      <c r="F20" s="43" t="s">
        <v>1294</v>
      </c>
      <c r="G20" s="131">
        <f ca="1">ROUND(C20*$C$18+D20*$D$18,0)</f>
        <v>36603</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0.39567452416978588</v>
      </c>
      <c r="E22" s="121"/>
      <c r="F22" s="121"/>
      <c r="G22" s="121"/>
      <c r="H22" s="121"/>
      <c r="I22" s="121"/>
    </row>
    <row r="23" spans="1:36" ht="13.5" thickBot="1">
      <c r="A23" s="645"/>
      <c r="B23" s="645"/>
      <c r="C23" s="645"/>
      <c r="D23" s="645"/>
      <c r="E23" s="121"/>
      <c r="F23" s="121"/>
      <c r="G23" s="121"/>
      <c r="H23" s="121"/>
      <c r="I23" s="121"/>
    </row>
    <row r="24" spans="1:36" ht="14.25">
      <c r="A24" s="3357" t="s">
        <v>1298</v>
      </c>
      <c r="B24" s="1630" t="s">
        <v>1290</v>
      </c>
      <c r="C24" s="128">
        <f>IF(B30=0,0,D30)</f>
        <v>0</v>
      </c>
      <c r="D24" s="1636"/>
      <c r="E24" s="121"/>
      <c r="F24" s="121"/>
      <c r="G24" s="121"/>
      <c r="H24" s="121"/>
      <c r="I24" s="121"/>
    </row>
    <row r="25" spans="1:36" ht="14.25">
      <c r="A25" s="335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36603</v>
      </c>
      <c r="D32" s="1640" t="s">
        <v>3486</v>
      </c>
      <c r="E32" s="121"/>
      <c r="F32" s="121"/>
      <c r="G32" s="121"/>
      <c r="H32" s="121"/>
      <c r="I32" s="121"/>
    </row>
    <row r="33" spans="1:15" ht="15">
      <c r="A33" s="739" t="s">
        <v>1305</v>
      </c>
      <c r="B33" s="123"/>
      <c r="C33" s="1641" t="s">
        <v>3487</v>
      </c>
      <c r="D33" s="1642" t="s">
        <v>3464</v>
      </c>
      <c r="E33" s="1643" t="s">
        <v>1306</v>
      </c>
      <c r="F33" s="1644" t="str">
        <f>IF(D32="楼面单价","取值（单价）","取值（总价）")</f>
        <v>取值（单价）</v>
      </c>
      <c r="G33" s="121"/>
      <c r="H33" s="121"/>
      <c r="I33" s="121"/>
    </row>
    <row r="34" spans="1:15" ht="15">
      <c r="A34" s="1645"/>
      <c r="B34" s="1646" t="s">
        <v>1307</v>
      </c>
      <c r="C34" s="140">
        <f ca="1">IF(C33="自定义",F34,C32-C35)</f>
        <v>30710</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75" thickBot="1">
      <c r="A35" s="1648"/>
      <c r="B35" s="1649" t="s">
        <v>1309</v>
      </c>
      <c r="C35" s="1089">
        <f ca="1">IF(C33="自定义",F35,ROUND(C32*D35,0))</f>
        <v>5893</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75" thickBot="1">
      <c r="A36" s="3334" t="s">
        <v>1311</v>
      </c>
      <c r="B36" s="1651" t="s">
        <v>1312</v>
      </c>
      <c r="C36" s="137"/>
      <c r="D36" s="1652"/>
      <c r="E36" s="1566"/>
      <c r="F36" s="1653"/>
      <c r="G36" s="121"/>
      <c r="H36" s="121"/>
      <c r="I36" s="121"/>
    </row>
    <row r="37" spans="1:15" ht="15.75" thickBot="1">
      <c r="A37" s="3335"/>
      <c r="B37" s="1554" t="s">
        <v>1313</v>
      </c>
      <c r="C37" s="139"/>
      <c r="D37" s="1070"/>
      <c r="E37" s="1070"/>
      <c r="F37" s="1653"/>
      <c r="G37" s="121"/>
      <c r="H37" s="121"/>
      <c r="I37" s="121"/>
    </row>
    <row r="38" spans="1:15" ht="15.75" thickBot="1">
      <c r="A38" s="3336"/>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54" t="s">
        <v>1325</v>
      </c>
      <c r="B45" s="3355"/>
      <c r="C45" s="3356"/>
      <c r="D45" s="147">
        <f ca="1">ROUND(H101*F45,0)</f>
        <v>311</v>
      </c>
      <c r="E45" s="148" t="s">
        <v>1326</v>
      </c>
      <c r="F45" s="149">
        <v>1</v>
      </c>
      <c r="G45" s="150" t="s">
        <v>1327</v>
      </c>
      <c r="H45" s="121"/>
      <c r="I45" s="121"/>
      <c r="J45" s="3274" t="s">
        <v>1328</v>
      </c>
      <c r="K45" s="3274"/>
      <c r="L45" s="3274"/>
      <c r="M45" s="3274"/>
      <c r="N45" s="3274"/>
      <c r="O45" s="3274"/>
    </row>
    <row r="46" spans="1:15" ht="14.25" customHeight="1">
      <c r="A46" s="3351" t="s">
        <v>1329</v>
      </c>
      <c r="B46" s="3352"/>
      <c r="C46" s="3352"/>
      <c r="D46" s="3352"/>
      <c r="E46" s="3352"/>
      <c r="F46" s="3352"/>
      <c r="G46" s="3353"/>
      <c r="H46" s="1667"/>
      <c r="I46" s="151"/>
      <c r="J46" s="2309">
        <v>1</v>
      </c>
      <c r="K46" s="3275" t="s">
        <v>1330</v>
      </c>
      <c r="L46" s="3275"/>
      <c r="M46" s="3276"/>
      <c r="N46" s="3276"/>
      <c r="O46" s="3276"/>
    </row>
    <row r="47" spans="1:15" ht="12" customHeight="1">
      <c r="A47" s="152" t="s">
        <v>1331</v>
      </c>
      <c r="B47" s="153"/>
      <c r="C47" s="154"/>
      <c r="D47" s="1023" t="s">
        <v>1332</v>
      </c>
      <c r="E47" s="294" t="s">
        <v>1333</v>
      </c>
      <c r="F47" s="155" t="s">
        <v>1334</v>
      </c>
      <c r="G47" s="2332" t="s">
        <v>1335</v>
      </c>
      <c r="H47" s="2333"/>
      <c r="I47" s="151"/>
      <c r="J47" s="2309">
        <v>2</v>
      </c>
      <c r="K47" s="3275" t="s">
        <v>1336</v>
      </c>
      <c r="L47" s="3275"/>
      <c r="M47" s="3277">
        <f>'数据-取费表'!B2</f>
        <v>45793</v>
      </c>
      <c r="N47" s="3277"/>
      <c r="O47" s="3277"/>
    </row>
    <row r="48" spans="1:15" ht="25.5">
      <c r="A48" s="3337" t="s">
        <v>1337</v>
      </c>
      <c r="B48" s="3338"/>
      <c r="C48" s="333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75" t="s">
        <v>1339</v>
      </c>
      <c r="L48" s="3275"/>
      <c r="M48" s="3278">
        <f ca="1">H101</f>
        <v>311</v>
      </c>
      <c r="N48" s="3278"/>
      <c r="O48" s="3278"/>
    </row>
    <row r="49" spans="1:35" ht="25.5" customHeight="1">
      <c r="A49" s="2151" t="s">
        <v>1340</v>
      </c>
      <c r="B49" s="3323" t="s">
        <v>1341</v>
      </c>
      <c r="C49" s="3323"/>
      <c r="D49" s="1477">
        <v>0</v>
      </c>
      <c r="E49" s="316" t="s">
        <v>1342</v>
      </c>
      <c r="F49" s="2232" t="s">
        <v>28</v>
      </c>
      <c r="G49" s="3306"/>
      <c r="H49" s="2133" t="s">
        <v>2133</v>
      </c>
      <c r="I49" s="2134"/>
      <c r="J49" s="2309">
        <v>4</v>
      </c>
      <c r="K49" s="3275" t="str">
        <f>IF(项目基本情况!E8="房地产抵押价值","房地产抵押价值","抵押担保权已注销时的房地产抵押价值")</f>
        <v>房地产抵押价值</v>
      </c>
      <c r="L49" s="3275"/>
      <c r="M49" s="3278">
        <f ca="1">IF(项目基本情况!E8="房地产抵押价值",H107,H109)</f>
        <v>311</v>
      </c>
      <c r="N49" s="3278"/>
      <c r="O49" s="3278"/>
    </row>
    <row r="50" spans="1:35" ht="25.5" customHeight="1">
      <c r="A50" s="2337"/>
      <c r="B50" s="3323" t="s">
        <v>1343</v>
      </c>
      <c r="C50" s="3323"/>
      <c r="D50" s="2188"/>
      <c r="E50" s="323"/>
      <c r="F50" s="2232"/>
      <c r="G50" s="3307"/>
      <c r="H50" s="2135" t="s">
        <v>2134</v>
      </c>
      <c r="I50" s="2134"/>
      <c r="J50" s="3274" t="s">
        <v>1344</v>
      </c>
      <c r="K50" s="3274"/>
      <c r="L50" s="3274"/>
      <c r="M50" s="3274"/>
      <c r="N50" s="3274"/>
      <c r="O50" s="3274"/>
    </row>
    <row r="51" spans="1:35" ht="20.45" customHeight="1">
      <c r="A51" s="2338"/>
      <c r="B51" s="3323" t="s">
        <v>1345</v>
      </c>
      <c r="C51" s="3323"/>
      <c r="D51" s="1023"/>
      <c r="E51" s="319"/>
      <c r="F51" s="2232"/>
      <c r="G51" s="3308"/>
      <c r="H51" s="2135" t="s">
        <v>2135</v>
      </c>
      <c r="I51" s="2134"/>
      <c r="J51" s="2310" t="s">
        <v>1346</v>
      </c>
      <c r="K51" s="3275" t="s">
        <v>1347</v>
      </c>
      <c r="L51" s="3275"/>
      <c r="M51" s="2310" t="s">
        <v>1348</v>
      </c>
      <c r="N51" s="2310" t="s">
        <v>1349</v>
      </c>
      <c r="O51" s="2310" t="s">
        <v>1350</v>
      </c>
    </row>
    <row r="52" spans="1:35" ht="24" customHeight="1">
      <c r="A52" s="2152" t="s">
        <v>1351</v>
      </c>
      <c r="B52" s="3323" t="s">
        <v>1352</v>
      </c>
      <c r="C52" s="3323"/>
      <c r="D52" s="1023">
        <f ca="1">ROUND(D45*'数据-取费表'!B41/(1+'数据-取费表'!C42),0)</f>
        <v>17</v>
      </c>
      <c r="E52" s="1255" t="s">
        <v>1353</v>
      </c>
      <c r="F52" s="2339">
        <f>'数据-取费表'!B41</f>
        <v>5.6000000000000001E-2</v>
      </c>
      <c r="G52" s="2340"/>
      <c r="H52" s="2330"/>
      <c r="I52" s="1668"/>
      <c r="J52" s="2309">
        <v>1</v>
      </c>
      <c r="K52" s="3300" t="s">
        <v>1354</v>
      </c>
      <c r="L52" s="3300"/>
      <c r="M52" s="2311" t="b">
        <f>D48</f>
        <v>0</v>
      </c>
      <c r="N52" s="2309" t="str">
        <f>E48</f>
        <v>销售额×税（费）率</v>
      </c>
      <c r="O52" s="2312">
        <f>F48</f>
        <v>5.6000000000000001E-2</v>
      </c>
    </row>
    <row r="53" spans="1:35" ht="12" customHeight="1">
      <c r="A53" s="2152" t="s">
        <v>1355</v>
      </c>
      <c r="B53" s="3324" t="s">
        <v>2286</v>
      </c>
      <c r="C53" s="3325"/>
      <c r="D53" s="1023">
        <f ca="1">ROUND(D45*'数据-取费表'!B41/(1+'数据-取费表'!C42),0)</f>
        <v>17</v>
      </c>
      <c r="E53" s="1255" t="s">
        <v>1353</v>
      </c>
      <c r="F53" s="2339">
        <f>'数据-取费表'!B41</f>
        <v>5.6000000000000001E-2</v>
      </c>
      <c r="G53" s="2340"/>
      <c r="H53" s="2330"/>
      <c r="I53" s="1668"/>
      <c r="J53" s="2309">
        <v>2</v>
      </c>
      <c r="K53" s="3300" t="s">
        <v>1356</v>
      </c>
      <c r="L53" s="3300"/>
      <c r="M53" s="2311">
        <f t="shared" ref="M53:O54" ca="1" si="0">D55</f>
        <v>0</v>
      </c>
      <c r="N53" s="2309" t="str">
        <f t="shared" si="0"/>
        <v>销售额×税（费）率</v>
      </c>
      <c r="O53" s="2312" t="str">
        <f t="shared" si="0"/>
        <v>免征</v>
      </c>
    </row>
    <row r="54" spans="1:35" ht="12" customHeight="1">
      <c r="A54" s="2152" t="s">
        <v>1357</v>
      </c>
      <c r="B54" s="3324" t="s">
        <v>2287</v>
      </c>
      <c r="C54" s="3325"/>
      <c r="D54" s="1023">
        <f ca="1">C68</f>
        <v>17</v>
      </c>
      <c r="E54" s="319" t="s">
        <v>1358</v>
      </c>
      <c r="F54" s="2339">
        <f>'数据-取费表'!B41</f>
        <v>5.6000000000000001E-2</v>
      </c>
      <c r="G54" s="2340"/>
      <c r="H54" s="2341"/>
      <c r="I54" s="1668"/>
      <c r="J54" s="2309">
        <v>3</v>
      </c>
      <c r="K54" s="3300" t="s">
        <v>1359</v>
      </c>
      <c r="L54" s="3300"/>
      <c r="M54" s="2311">
        <f t="shared" ca="1" si="0"/>
        <v>176</v>
      </c>
      <c r="N54" s="2309" t="str">
        <f t="shared" si="0"/>
        <v>增值额×税（费）率</v>
      </c>
      <c r="O54" s="2313" t="str">
        <f t="shared" si="0"/>
        <v>免征</v>
      </c>
    </row>
    <row r="55" spans="1:35" ht="24" customHeight="1">
      <c r="A55" s="3360" t="s">
        <v>1360</v>
      </c>
      <c r="B55" s="3338"/>
      <c r="C55" s="3338"/>
      <c r="D55" s="12">
        <f ca="1">IF(H55="个人住宅",0,ROUND(D45*I55,0))</f>
        <v>0</v>
      </c>
      <c r="E55" s="1255" t="s">
        <v>1361</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3</v>
      </c>
      <c r="N55" s="1882" t="str">
        <f>E59</f>
        <v>差额计税</v>
      </c>
      <c r="O55" s="2315">
        <f>F59</f>
        <v>0.01</v>
      </c>
    </row>
    <row r="56" spans="1:35" ht="24.75">
      <c r="A56" s="3360" t="s">
        <v>1362</v>
      </c>
      <c r="B56" s="3338"/>
      <c r="C56" s="3338"/>
      <c r="D56" s="12">
        <f ca="1">IF(H56="个人住宅",D57,D58)</f>
        <v>176</v>
      </c>
      <c r="E56" s="1255" t="s">
        <v>1363</v>
      </c>
      <c r="F56" s="2339" t="str">
        <f>IF(H56="正常",F58,"免征")</f>
        <v>免征</v>
      </c>
      <c r="G56" s="2342" t="s">
        <v>1364</v>
      </c>
      <c r="H56" s="2343"/>
      <c r="I56" s="1669"/>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2.75">
      <c r="A57" s="2152" t="s">
        <v>1340</v>
      </c>
      <c r="B57" s="3324" t="s">
        <v>1365</v>
      </c>
      <c r="C57" s="3325"/>
      <c r="D57" s="1477">
        <v>0</v>
      </c>
      <c r="E57" s="316" t="s">
        <v>1342</v>
      </c>
      <c r="F57" s="294"/>
      <c r="G57" s="2340"/>
      <c r="H57" s="2344"/>
      <c r="I57" s="1669"/>
      <c r="J57" s="3300">
        <f>IF(AND(J55="",J56=""),4,IF(项目基本情况!K6="上海银行",结果表!J56+1,结果表!J55+1))</f>
        <v>5</v>
      </c>
      <c r="K57" s="3300" t="s">
        <v>1366</v>
      </c>
      <c r="L57" s="2316" t="s">
        <v>1367</v>
      </c>
      <c r="M57" s="2317"/>
      <c r="N57" s="2318">
        <f ca="1">SUMIF(M52:M56,"&lt;9e307")</f>
        <v>179</v>
      </c>
      <c r="O57" s="2319"/>
      <c r="P57" s="2464">
        <f ca="1">N57/M49</f>
        <v>0.57556270096463025</v>
      </c>
    </row>
    <row r="58" spans="1:35" ht="24.75">
      <c r="A58" s="2152" t="s">
        <v>1351</v>
      </c>
      <c r="B58" s="3324" t="s">
        <v>1368</v>
      </c>
      <c r="C58" s="3323"/>
      <c r="D58" s="12">
        <f ca="1">IF(H58="转让取得",C81,C97)</f>
        <v>176</v>
      </c>
      <c r="E58" s="1255" t="s">
        <v>1363</v>
      </c>
      <c r="F58" s="294" t="s">
        <v>28</v>
      </c>
      <c r="G58" s="2340"/>
      <c r="H58" s="2343"/>
      <c r="I58" s="1669"/>
      <c r="J58" s="3300"/>
      <c r="K58" s="3300"/>
      <c r="L58" s="2316" t="s">
        <v>1369</v>
      </c>
      <c r="M58" s="2320"/>
      <c r="N58" s="2321" t="str">
        <f ca="1">NUMBERSTRING(INT(N57*10000),2)&amp;"元整"</f>
        <v>壹佰柒拾玖万元整</v>
      </c>
      <c r="O58" s="2322"/>
    </row>
    <row r="59" spans="1:35" ht="24.75" thickBot="1">
      <c r="A59" s="3304" t="s">
        <v>1370</v>
      </c>
      <c r="B59" s="3305"/>
      <c r="C59" s="3305"/>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02">
        <f>J57+1</f>
        <v>6</v>
      </c>
      <c r="K59" s="3300" t="s">
        <v>1371</v>
      </c>
      <c r="L59" s="2309" t="s">
        <v>1367</v>
      </c>
      <c r="M59" s="2323"/>
      <c r="N59" s="2324">
        <f ca="1">M49-N57</f>
        <v>132</v>
      </c>
      <c r="O59" s="2325"/>
    </row>
    <row r="60" spans="1:35" ht="12" customHeight="1">
      <c r="A60" s="1670"/>
      <c r="B60" s="645"/>
      <c r="C60" s="645"/>
      <c r="D60" s="645"/>
      <c r="E60" s="1465"/>
      <c r="F60" s="1669"/>
      <c r="G60" s="1669"/>
      <c r="H60" s="151"/>
      <c r="I60" s="121"/>
      <c r="J60" s="3303"/>
      <c r="K60" s="3300"/>
      <c r="L60" s="2316" t="s">
        <v>1369</v>
      </c>
      <c r="M60" s="2320"/>
      <c r="N60" s="2321" t="str">
        <f ca="1">NUMBERSTRING(INT(N59*10000),2)&amp;"元整"</f>
        <v>壹佰叁拾贰万元整</v>
      </c>
      <c r="O60" s="2322"/>
    </row>
    <row r="61" spans="1:35" ht="13.5" thickBot="1">
      <c r="A61" s="3359" t="s">
        <v>1372</v>
      </c>
      <c r="B61" s="3359"/>
      <c r="C61" s="3359"/>
      <c r="D61" s="3359"/>
      <c r="E61" s="3359"/>
      <c r="F61" s="1669"/>
      <c r="G61" s="1669"/>
      <c r="H61" s="151"/>
      <c r="I61" s="121"/>
      <c r="J61" s="2309">
        <f>J59+1</f>
        <v>7</v>
      </c>
      <c r="K61" s="3300" t="s">
        <v>1373</v>
      </c>
      <c r="L61" s="3300"/>
      <c r="M61" s="2326"/>
      <c r="N61" s="2327">
        <f ca="1">ROUND(N59*10000/'数据-汇总表'!E3,0)</f>
        <v>15548</v>
      </c>
      <c r="O61" s="2328"/>
    </row>
    <row r="62" spans="1:35" ht="12.75">
      <c r="A62" s="3319" t="s">
        <v>1374</v>
      </c>
      <c r="B62" s="3320"/>
      <c r="C62" s="1864"/>
      <c r="D62" s="1864" t="s">
        <v>1375</v>
      </c>
      <c r="E62" s="158" t="s">
        <v>1376</v>
      </c>
      <c r="F62" s="1669"/>
      <c r="G62" s="1669"/>
      <c r="H62" s="151"/>
      <c r="I62" s="121"/>
    </row>
    <row r="63" spans="1:35" ht="12.75">
      <c r="A63" s="165" t="s">
        <v>330</v>
      </c>
      <c r="B63" s="159" t="s">
        <v>1377</v>
      </c>
      <c r="C63" s="2349">
        <f ca="1">ROUND((C64+C65)/(1+'数据-取费表'!C42),0)</f>
        <v>296</v>
      </c>
      <c r="D63" s="159"/>
      <c r="E63" s="160"/>
      <c r="F63" s="1669"/>
      <c r="G63" s="1669"/>
      <c r="H63" s="151"/>
      <c r="I63" s="121"/>
      <c r="J63" s="3283" t="s">
        <v>1378</v>
      </c>
      <c r="K63" s="1244" t="s">
        <v>1379</v>
      </c>
      <c r="L63" s="1244">
        <f ca="1">IF(M49&gt;10000,M49*0.5%,IF(AND(M49&gt;1000,M49&lt;=10000),M49*1%,IF(AND(M49&gt;100,M49&lt;=1000),M49*3%,IF(AND(M49&gt;10,M49&lt;=100),M49*5%,M49*8%))))</f>
        <v>9.33</v>
      </c>
      <c r="M63" s="294">
        <f ca="1">ROUND(L63,1)</f>
        <v>9.3000000000000007</v>
      </c>
      <c r="N63" s="2329"/>
      <c r="Z63" s="1622"/>
      <c r="AI63" s="1560"/>
    </row>
    <row r="64" spans="1:35" ht="14.25" customHeight="1">
      <c r="A64" s="161" t="s">
        <v>325</v>
      </c>
      <c r="B64" s="162" t="s">
        <v>1380</v>
      </c>
      <c r="C64" s="2350">
        <f ca="1">D45</f>
        <v>311</v>
      </c>
      <c r="D64" s="162" t="s">
        <v>26</v>
      </c>
      <c r="E64" s="164"/>
      <c r="F64" s="1669"/>
      <c r="G64" s="1669"/>
      <c r="H64" s="151"/>
      <c r="I64" s="121"/>
      <c r="J64" s="3283"/>
      <c r="K64" s="1244" t="s">
        <v>1381</v>
      </c>
      <c r="L64" s="1244">
        <f ca="1">IF(M49&gt;2000,M49*0.5%,IF(AND(M49&gt;1000,M49&lt;=2000),M49*0.6%,IF(AND(M49&gt;500,M49&lt;=1000),M49*0.7%,IF(AND(M49&gt;200,M49&lt;=500),M49*0.8%,IF(AND(M49&gt;100,M49&lt;=200),M49*0.9%,IF(AND(M49&gt;50,M49&lt;=100),M49*1%,IF(AND(M49&gt;20,M49&lt;=50),M49*1.5%,IF(AND(M49&gt;10,M49&lt;=20),M49*2%,IF(AND(M49&gt;1,M49&lt;=10),M49*2.5%)))))))))</f>
        <v>2.488</v>
      </c>
      <c r="M64" s="294">
        <f t="shared" ref="M64:M65" ca="1" si="1">ROUND(L64,1)</f>
        <v>2.5</v>
      </c>
      <c r="N64" s="2330" t="s">
        <v>1382</v>
      </c>
      <c r="Z64" s="1622"/>
      <c r="AI64" s="1560"/>
    </row>
    <row r="65" spans="1:35" ht="14.25" customHeight="1">
      <c r="A65" s="161" t="s">
        <v>326</v>
      </c>
      <c r="B65" s="162" t="s">
        <v>1383</v>
      </c>
      <c r="C65" s="2351"/>
      <c r="D65" s="162"/>
      <c r="E65" s="164"/>
      <c r="F65" s="1669"/>
      <c r="G65" s="1669"/>
      <c r="H65" s="151"/>
      <c r="I65" s="121"/>
      <c r="J65" s="3283"/>
      <c r="K65" s="1244" t="s">
        <v>1384</v>
      </c>
      <c r="L65" s="1244">
        <f ca="1">IF(M49&gt;1000,M49*0.1%,IF(AND(M49&gt;500,M49&lt;=1000),M49*0.5%,IF(AND(M49&gt;50,M49&lt;=500),M49*1%,IF(AND(M49&gt;1,M49&lt;=50),M49*1.5%))))</f>
        <v>3.11</v>
      </c>
      <c r="M65" s="294">
        <f t="shared" ca="1" si="1"/>
        <v>3.1</v>
      </c>
      <c r="N65" s="2330" t="s">
        <v>1382</v>
      </c>
      <c r="Z65" s="1622"/>
      <c r="AI65" s="1560"/>
    </row>
    <row r="66" spans="1:35" ht="14.25" customHeight="1">
      <c r="A66" s="165" t="s">
        <v>327</v>
      </c>
      <c r="B66" s="166" t="s">
        <v>1385</v>
      </c>
      <c r="C66" s="2352"/>
      <c r="D66" s="166" t="s">
        <v>26</v>
      </c>
      <c r="E66" s="1250" t="s">
        <v>670</v>
      </c>
      <c r="F66" s="1669"/>
      <c r="G66" s="1669"/>
      <c r="H66" s="151"/>
      <c r="I66" s="121"/>
      <c r="J66" s="3283"/>
      <c r="K66" s="1244" t="s">
        <v>1386</v>
      </c>
      <c r="L66" s="1244">
        <f ca="1">M49*0.5%</f>
        <v>1.5549999999999999</v>
      </c>
      <c r="M66" s="294">
        <f ca="1">IF(L66&gt;0.5,0.5,ROUND(L66,0))</f>
        <v>0.5</v>
      </c>
      <c r="N66" s="2330" t="s">
        <v>1387</v>
      </c>
      <c r="Z66" s="1622"/>
      <c r="AI66" s="1560"/>
    </row>
    <row r="67" spans="1:35" ht="14.25" customHeight="1">
      <c r="A67" s="165" t="s">
        <v>328</v>
      </c>
      <c r="B67" s="166" t="s">
        <v>1388</v>
      </c>
      <c r="C67" s="2353">
        <f ca="1">C63-C66</f>
        <v>296</v>
      </c>
      <c r="D67" s="162" t="s">
        <v>26</v>
      </c>
      <c r="E67" s="164"/>
      <c r="F67" s="1669"/>
      <c r="G67" s="1669"/>
      <c r="H67" s="151"/>
      <c r="I67" s="121"/>
      <c r="J67" s="3283"/>
      <c r="K67" s="1244" t="s">
        <v>1389</v>
      </c>
      <c r="L67" s="1244">
        <f ca="1">IF(M49&gt;=10000,(8.25+(M49-10000)*0.01%),IF(AND(M49&gt;=8000,M49&lt;10000),(7.85+(M49-8000)*0.02%),IF(AND(M49&gt;=5000,M49&lt;8000),(6.65+(M49-5000)*0.04%),IF(AND(M49&gt;=2000,M49&lt;5000),(4.25+(PM49-2000)*0.08%),IF(AND(M49&gt;=1000,M49&lt;2000),(2.75+(M49-1000)*0.15%),IF(AND(M49&gt;=100,M49&lt;1000),(0.5+(M49-100)*0.25%),IF(AND(M49&gt;0,M49&lt;100),M49*0.5%)))))))</f>
        <v>1.0274999999999999</v>
      </c>
      <c r="M67" s="294">
        <f ca="1">ROUND(L67*0.9,1)</f>
        <v>0.9</v>
      </c>
      <c r="N67" s="2329"/>
      <c r="Z67" s="1622"/>
      <c r="AI67" s="1560"/>
    </row>
    <row r="68" spans="1:35" ht="14.25" customHeight="1" thickBot="1">
      <c r="A68" s="168" t="s">
        <v>329</v>
      </c>
      <c r="B68" s="169" t="s">
        <v>1390</v>
      </c>
      <c r="C68" s="2354">
        <f ca="1">IF(C67&lt;=0,0,ROUND(C67*D68,0))</f>
        <v>17</v>
      </c>
      <c r="D68" s="2355">
        <f>'数据-取费表'!B41</f>
        <v>5.6000000000000001E-2</v>
      </c>
      <c r="E68" s="170"/>
      <c r="F68" s="1669"/>
      <c r="G68" s="1669"/>
      <c r="H68" s="151"/>
      <c r="I68" s="121"/>
      <c r="J68" s="3283"/>
      <c r="K68" s="1244" t="s">
        <v>1391</v>
      </c>
      <c r="L68" s="1244">
        <f ca="1">IF(M49&gt;10000,M49*0.5%,IF(AND(M49&gt;5000,M49&lt;=10000),M49*1%,IF(AND(M49&gt;1000,M49&lt;=5000),M49*2%,IF(AND(M49&gt;200,M49&lt;=1000),M49*3%,M49*5%))))</f>
        <v>9.33</v>
      </c>
      <c r="M68" s="294">
        <f ca="1">ROUND(L68,1)</f>
        <v>9.3000000000000007</v>
      </c>
      <c r="N68" s="2329"/>
      <c r="Z68" s="1622"/>
      <c r="AI68" s="1560"/>
    </row>
    <row r="69" spans="1:35" ht="16.5" customHeight="1">
      <c r="A69" s="1671"/>
      <c r="B69" s="1672"/>
      <c r="C69" s="1673"/>
      <c r="D69" s="1674"/>
      <c r="E69" s="1675"/>
      <c r="F69" s="1465"/>
      <c r="G69" s="1465"/>
      <c r="H69" s="1466"/>
      <c r="I69" s="645"/>
      <c r="J69" s="3283"/>
      <c r="K69" s="1244" t="s">
        <v>1392</v>
      </c>
      <c r="L69" s="1244"/>
      <c r="M69" s="294">
        <f ca="1">ROUND(SUM(M63:M68),0)</f>
        <v>26</v>
      </c>
      <c r="N69" s="2331">
        <f ca="1">M69/M49</f>
        <v>8.3601286173633438E-2</v>
      </c>
      <c r="Z69" s="1622"/>
      <c r="AI69" s="1560"/>
    </row>
    <row r="70" spans="1:35" s="641" customFormat="1" ht="15" thickBot="1">
      <c r="A70" s="3327" t="s">
        <v>1393</v>
      </c>
      <c r="B70" s="3328"/>
      <c r="C70" s="3328"/>
      <c r="D70" s="3328"/>
      <c r="E70" s="3328"/>
      <c r="F70" s="3328"/>
      <c r="G70" s="3328"/>
      <c r="H70" s="332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9" t="s">
        <v>1374</v>
      </c>
      <c r="B71" s="332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296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24" t="s">
        <v>1401</v>
      </c>
      <c r="F76" s="3323"/>
      <c r="G76" s="3323"/>
      <c r="H76" s="332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316" t="s">
        <v>1405</v>
      </c>
      <c r="F78" s="3317"/>
      <c r="G78" s="3317"/>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294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176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7" t="s">
        <v>1409</v>
      </c>
      <c r="B83" s="3328"/>
      <c r="C83" s="3328"/>
      <c r="D83" s="3328"/>
      <c r="E83" s="3328"/>
      <c r="F83" s="3328"/>
      <c r="G83" s="3328"/>
      <c r="H83" s="332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9" t="s">
        <v>1374</v>
      </c>
      <c r="B84" s="332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296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285" t="s">
        <v>2128</v>
      </c>
      <c r="H90" s="3286"/>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316" t="s">
        <v>1418</v>
      </c>
      <c r="F91" s="3317"/>
      <c r="G91" s="331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316" t="s">
        <v>1421</v>
      </c>
      <c r="F92" s="3317"/>
      <c r="G92" s="3317"/>
      <c r="H92" s="3318"/>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316" t="s">
        <v>1405</v>
      </c>
      <c r="F93" s="3317"/>
      <c r="G93" s="3317"/>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61" t="s">
        <v>1425</v>
      </c>
      <c r="F94" s="3362"/>
      <c r="G94" s="3362"/>
      <c r="H94" s="336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294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176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301"/>
      <c r="E100" s="3267" t="s">
        <v>1428</v>
      </c>
      <c r="F100" s="3267"/>
      <c r="G100" s="3267"/>
      <c r="H100" s="3301"/>
      <c r="I100" s="121"/>
    </row>
    <row r="101" spans="1:35" ht="18.75" customHeight="1">
      <c r="A101" s="3309" t="s">
        <v>1429</v>
      </c>
      <c r="B101" s="3310"/>
      <c r="C101" s="2370" t="str">
        <f>C4</f>
        <v>比较法-商业</v>
      </c>
      <c r="D101" s="2371" t="str">
        <f>D4</f>
        <v>收益法 (元)</v>
      </c>
      <c r="E101" s="3279" t="s">
        <v>1430</v>
      </c>
      <c r="F101" s="3280"/>
      <c r="G101" s="1686" t="s">
        <v>1431</v>
      </c>
      <c r="H101" s="2380">
        <f ca="1">H118</f>
        <v>311</v>
      </c>
      <c r="I101" s="121"/>
    </row>
    <row r="102" spans="1:35" ht="18.75" customHeight="1">
      <c r="A102" s="3311" t="s">
        <v>1432</v>
      </c>
      <c r="B102" s="2369" t="s">
        <v>1431</v>
      </c>
      <c r="C102" s="2370">
        <f ca="1">IF(D32="楼面单价",ROUND(C19,0),C19)</f>
        <v>351</v>
      </c>
      <c r="D102" s="2371">
        <f ca="1">IF(D32="楼面单价",ROUND(D19,0),D19)</f>
        <v>251</v>
      </c>
      <c r="E102" s="3279"/>
      <c r="F102" s="3280"/>
      <c r="G102" s="1686" t="s">
        <v>1433</v>
      </c>
      <c r="H102" s="2340">
        <f ca="1">I118</f>
        <v>36603</v>
      </c>
      <c r="I102" s="121"/>
    </row>
    <row r="103" spans="1:35" ht="42.75" customHeight="1">
      <c r="A103" s="3311"/>
      <c r="B103" s="2369" t="s">
        <v>1433</v>
      </c>
      <c r="C103" s="2372">
        <f ca="1">C20</f>
        <v>41285</v>
      </c>
      <c r="D103" s="2373">
        <f ca="1">D20</f>
        <v>29581</v>
      </c>
      <c r="E103" s="3272" t="s">
        <v>1434</v>
      </c>
      <c r="F103" s="3273"/>
      <c r="G103" s="1687" t="s">
        <v>1435</v>
      </c>
      <c r="H103" s="2380">
        <f>IF(D36="正常操作",H104+H105+H106,H105+H106)</f>
        <v>0</v>
      </c>
      <c r="I103" s="121"/>
    </row>
    <row r="104" spans="1:35" ht="18.75" customHeight="1">
      <c r="A104" s="3311" t="s">
        <v>1436</v>
      </c>
      <c r="B104" s="2374" t="s">
        <v>1431</v>
      </c>
      <c r="C104" s="2375">
        <f ca="1">H118</f>
        <v>311</v>
      </c>
      <c r="D104" s="2376"/>
      <c r="E104" s="1554" t="s">
        <v>1437</v>
      </c>
      <c r="F104" s="1547"/>
      <c r="G104" s="1687" t="s">
        <v>1435</v>
      </c>
      <c r="H104" s="2381">
        <f>IF(D36="同一抵押权人同一抵押物续贷",C36&amp;"（续贷，未扣减，详见特别提示）",C36)</f>
        <v>0</v>
      </c>
      <c r="I104" s="121"/>
    </row>
    <row r="105" spans="1:35" ht="18.75" customHeight="1" thickBot="1">
      <c r="A105" s="3321"/>
      <c r="B105" s="2377" t="s">
        <v>1433</v>
      </c>
      <c r="C105" s="2378">
        <f ca="1">I118</f>
        <v>36603</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2" t="str">
        <f>IF(项目基本情况!E8="已注销","——","3.房地产抵押价值")</f>
        <v>3.房地产抵押价值</v>
      </c>
      <c r="F107" s="3280"/>
      <c r="G107" s="1686" t="s">
        <v>1431</v>
      </c>
      <c r="H107" s="2380">
        <f ca="1">IF(E107="——","——",H101-H103)</f>
        <v>311</v>
      </c>
      <c r="I107" s="121"/>
    </row>
    <row r="108" spans="1:35" ht="18.75" customHeight="1">
      <c r="A108" s="121"/>
      <c r="B108" s="121"/>
      <c r="C108" s="121"/>
      <c r="D108" s="121"/>
      <c r="E108" s="3312"/>
      <c r="F108" s="3280"/>
      <c r="G108" s="1686" t="s">
        <v>1433</v>
      </c>
      <c r="H108" s="2340">
        <f ca="1">IF(H107=H101,H102,ROUND(H107*10000/'数据-汇总表'!E3,0))</f>
        <v>36603</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6" t="s">
        <v>1431</v>
      </c>
      <c r="H109" s="2383" t="str">
        <f>IF(E109="——","——",H101-H105-H106)</f>
        <v>——</v>
      </c>
      <c r="I109" s="121"/>
    </row>
    <row r="110" spans="1:35" ht="18.75" customHeight="1">
      <c r="A110" s="121"/>
      <c r="B110" s="121"/>
      <c r="C110" s="121"/>
      <c r="D110" s="121"/>
      <c r="E110" s="3312"/>
      <c r="F110" s="3280"/>
      <c r="G110" s="1686" t="s">
        <v>1433</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6" t="s">
        <v>1431</v>
      </c>
      <c r="H111" s="2380" t="str">
        <f>IF(E111="——","——",N59)</f>
        <v>——</v>
      </c>
      <c r="I111" s="121"/>
    </row>
    <row r="112" spans="1:35" ht="18.75" customHeight="1" thickBot="1">
      <c r="A112" s="121"/>
      <c r="B112" s="121"/>
      <c r="C112" s="121"/>
      <c r="D112" s="121"/>
      <c r="E112" s="3314"/>
      <c r="F112" s="3315"/>
      <c r="G112" s="1689" t="s">
        <v>1433</v>
      </c>
      <c r="H112" s="2384" t="str">
        <f>IF(E111="——","——",N61)</f>
        <v>——</v>
      </c>
      <c r="I112" s="121"/>
    </row>
    <row r="113" spans="1:27" ht="18.75" customHeight="1">
      <c r="A113" s="121"/>
      <c r="B113" s="121"/>
      <c r="C113" s="121"/>
      <c r="D113" s="121"/>
      <c r="E113" s="3322" t="s">
        <v>1439</v>
      </c>
      <c r="F113" s="3322"/>
      <c r="G113" s="3322"/>
      <c r="H113" s="3322"/>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7" t="s">
        <v>1442</v>
      </c>
      <c r="B116" s="3291" t="s">
        <v>1443</v>
      </c>
      <c r="C116" s="3291" t="s">
        <v>1444</v>
      </c>
      <c r="D116" s="3297" t="s">
        <v>1445</v>
      </c>
      <c r="E116" s="3298"/>
      <c r="F116" s="3329" t="s">
        <v>1446</v>
      </c>
      <c r="G116" s="3329"/>
      <c r="H116" s="3287" t="s">
        <v>1447</v>
      </c>
      <c r="I116" s="3287"/>
    </row>
    <row r="117" spans="1:27" ht="18.75" customHeight="1">
      <c r="A117" s="3287"/>
      <c r="B117" s="3292"/>
      <c r="C117" s="329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84.9</v>
      </c>
      <c r="C118" s="2149">
        <f>M19</f>
        <v>0</v>
      </c>
      <c r="D118" s="2149">
        <f ca="1">ROUND(IF(D32="总价",C34,E118*B118/10000),0)</f>
        <v>261</v>
      </c>
      <c r="E118" s="2149">
        <f ca="1">ROUND(IF(C33="自定义",IF(D32="楼面单价",C34,D118*10000/B118),I118-G118),0)</f>
        <v>30710</v>
      </c>
      <c r="F118" s="2149">
        <f ca="1">ROUND(IF(D32="总价",C35,G118*B118/10000),0)</f>
        <v>50</v>
      </c>
      <c r="G118" s="2149">
        <f ca="1">ROUND(IF(D32="楼面单价",C35,F118*10000/B118),0)</f>
        <v>5893</v>
      </c>
      <c r="H118" s="2149">
        <f ca="1">ROUND(IF(D32="总价",C32,I118*B118/10000),0)</f>
        <v>311</v>
      </c>
      <c r="I118" s="2149">
        <f ca="1">ROUND(IF(D32="楼面单价",C32,H118*10000/B118),0)</f>
        <v>36603</v>
      </c>
    </row>
    <row r="119" spans="1:27" ht="18.75" customHeight="1">
      <c r="A119" s="3287" t="s">
        <v>1451</v>
      </c>
      <c r="B119" s="3287"/>
      <c r="C119" s="3287"/>
      <c r="D119" s="3293" t="str">
        <f ca="1">NUMBERSTRING(INT(D118*10000),2)&amp;"元整"</f>
        <v>贰佰陆拾壹万元整</v>
      </c>
      <c r="E119" s="3294"/>
      <c r="F119" s="3293" t="str">
        <f ca="1">NUMBERSTRING(INT(F118*10000),2)&amp;"元整"</f>
        <v>伍拾万元整</v>
      </c>
      <c r="G119" s="3294"/>
      <c r="H119" s="3293" t="str">
        <f ca="1">NUMBERSTRING(INT(H118*10000),2)&amp;"元整"</f>
        <v>叁佰壹拾壹万元整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1451</v>
      </c>
      <c r="B121" s="3295"/>
      <c r="C121" s="3294"/>
      <c r="D121" s="3293" t="str">
        <f>IF(D120=0,"零元整",NUMBERSTRING(INT(D120*10000),2)&amp;"元整")</f>
        <v>零元整</v>
      </c>
      <c r="E121" s="3295"/>
      <c r="F121" s="3295"/>
      <c r="G121" s="3295"/>
      <c r="H121" s="3295"/>
      <c r="I121" s="3294"/>
      <c r="AA121" s="683"/>
    </row>
    <row r="122" spans="1:27" ht="18.75" customHeight="1">
      <c r="A122" s="3299" t="str">
        <f>IF(项目基本情况!B9="房地产市场价值","",MID(E107,3,LEN(E107)-2))</f>
        <v>房地产抵押价值</v>
      </c>
      <c r="B122" s="3299"/>
      <c r="C122" s="3299"/>
      <c r="D122" s="3288">
        <f ca="1">H107</f>
        <v>311</v>
      </c>
      <c r="E122" s="3289"/>
      <c r="F122" s="3289"/>
      <c r="G122" s="3289"/>
      <c r="H122" s="3289"/>
      <c r="I122" s="3290"/>
      <c r="AA122" s="683"/>
    </row>
    <row r="123" spans="1:27" ht="18.75" customHeight="1">
      <c r="A123" s="3287" t="s">
        <v>1451</v>
      </c>
      <c r="B123" s="3287"/>
      <c r="C123" s="3287"/>
      <c r="D123" s="3293" t="str">
        <f ca="1">NUMBERSTRING(INT(D122*10000),2)&amp;"元整"</f>
        <v>叁佰壹拾壹万元整</v>
      </c>
      <c r="E123" s="3295"/>
      <c r="F123" s="3295"/>
      <c r="G123" s="3295"/>
      <c r="H123" s="3295"/>
      <c r="I123" s="3294"/>
      <c r="AA123" s="683"/>
    </row>
    <row r="124" spans="1:27" ht="18.75" customHeight="1">
      <c r="A124" s="3299" t="str">
        <f>IF(项目基本情况!B9="房地产市场价值","",MID(E109,3,LEN(E109)-2))</f>
        <v/>
      </c>
      <c r="B124" s="3299"/>
      <c r="C124" s="3299"/>
      <c r="D124" s="3288" t="str">
        <f>H109</f>
        <v>——</v>
      </c>
      <c r="E124" s="3289"/>
      <c r="F124" s="3289"/>
      <c r="G124" s="3289"/>
      <c r="H124" s="3289"/>
      <c r="I124" s="3290"/>
      <c r="AA124" s="683"/>
    </row>
    <row r="125" spans="1:27" ht="18.75" customHeight="1">
      <c r="A125" s="3287" t="s">
        <v>1451</v>
      </c>
      <c r="B125" s="3287"/>
      <c r="C125" s="3287"/>
      <c r="D125" s="3293" t="e">
        <f>NUMBERSTRING(INT(D124*10000),2)&amp;"元整"</f>
        <v>#VALUE!</v>
      </c>
      <c r="E125" s="3295"/>
      <c r="F125" s="3295"/>
      <c r="G125" s="3295"/>
      <c r="H125" s="3295"/>
      <c r="I125" s="3294"/>
      <c r="AA125" s="683"/>
    </row>
    <row r="126" spans="1:27" ht="18.75" customHeight="1">
      <c r="A126" s="3299" t="str">
        <f>IF(项目基本情况!B9="房地产市场价值","",MID(E111,3,LEN(E111)-2))</f>
        <v/>
      </c>
      <c r="B126" s="3299"/>
      <c r="C126" s="3299"/>
      <c r="D126" s="3288" t="str">
        <f>H111</f>
        <v>——</v>
      </c>
      <c r="E126" s="3289"/>
      <c r="F126" s="3289"/>
      <c r="G126" s="3289"/>
      <c r="H126" s="3289"/>
      <c r="I126" s="3290"/>
      <c r="AA126" s="683"/>
    </row>
    <row r="127" spans="1:27" ht="18.75" customHeight="1">
      <c r="A127" s="3287" t="s">
        <v>1451</v>
      </c>
      <c r="B127" s="3287"/>
      <c r="C127" s="3287"/>
      <c r="D127" s="3293" t="e">
        <f>NUMBERSTRING(INT(D126*10000),2)&amp;"元整"</f>
        <v>#VALUE!</v>
      </c>
      <c r="E127" s="3295"/>
      <c r="F127" s="3295"/>
      <c r="G127" s="3295"/>
      <c r="H127" s="3295"/>
      <c r="I127" s="3294"/>
      <c r="AA127" s="683"/>
    </row>
    <row r="128" spans="1:27" ht="21.75" customHeight="1">
      <c r="A128" s="3296" t="s">
        <v>1452</v>
      </c>
      <c r="B128" s="3296"/>
      <c r="C128" s="3296"/>
      <c r="D128" s="3296"/>
      <c r="E128" s="3296"/>
      <c r="F128" s="3296"/>
      <c r="G128" s="3296"/>
      <c r="H128" s="3296"/>
      <c r="I128" s="3296"/>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52</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6125</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1.698</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1.698</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84.9</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84.9</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43</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1525</v>
      </c>
    </row>
    <row r="35" spans="1:7" ht="13.5" customHeight="1">
      <c r="A35" s="733" t="s">
        <v>351</v>
      </c>
      <c r="B35" s="207" t="s">
        <v>1526</v>
      </c>
      <c r="C35" s="212">
        <f ca="1">ROUND(C34*F35,0)</f>
        <v>2</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84.9</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9</v>
      </c>
      <c r="D45" s="227">
        <f ca="1">C47</f>
        <v>4.0000000000000001E-3</v>
      </c>
      <c r="E45" s="228" t="s">
        <v>1538</v>
      </c>
      <c r="F45" s="238">
        <f ca="1">F27</f>
        <v>0.2</v>
      </c>
      <c r="G45" s="239" t="s">
        <v>1547</v>
      </c>
    </row>
    <row r="46" spans="1:7" s="206" customFormat="1" ht="13.5" customHeight="1">
      <c r="A46" s="733" t="s">
        <v>346</v>
      </c>
      <c r="B46" s="240" t="s">
        <v>1548</v>
      </c>
      <c r="C46" s="241">
        <f ca="1">ROUND((C33+C39)*F27,0)</f>
        <v>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59</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47</v>
      </c>
      <c r="D51" s="224"/>
      <c r="E51" s="224"/>
      <c r="F51" s="256"/>
      <c r="G51" s="226" t="s">
        <v>1559</v>
      </c>
    </row>
    <row r="52" spans="1:7" s="200" customFormat="1" ht="16.5" thickBot="1">
      <c r="A52" s="257" t="s">
        <v>1560</v>
      </c>
      <c r="B52" s="258"/>
      <c r="C52" s="259">
        <f ca="1">C31+C51</f>
        <v>52</v>
      </c>
      <c r="D52" s="258"/>
      <c r="E52" s="258"/>
      <c r="F52" s="258"/>
      <c r="G52" s="260"/>
    </row>
    <row r="55" spans="1:7" ht="15">
      <c r="B55" s="262" t="s">
        <v>1561</v>
      </c>
      <c r="C55" s="263"/>
    </row>
    <row r="56" spans="1:7">
      <c r="B56" s="265" t="s">
        <v>801</v>
      </c>
      <c r="C56" s="267">
        <f ca="1">1-C57</f>
        <v>9.5999999999999974E-2</v>
      </c>
    </row>
    <row r="57" spans="1:7">
      <c r="B57" s="265" t="s">
        <v>802</v>
      </c>
      <c r="C57" s="266">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50.5441</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16980</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16980</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16980</v>
      </c>
      <c r="D10" s="794">
        <f ca="1">IF(B1="",'数据-汇总表'!E6,IF(INDIRECT("'数据-取费表'!c"&amp;$G$1)="住宅",INDIRECT("'数据-取费表'!s"&amp;$G$1),INDIRECT("'数据-取费表'!k"&amp;$G$1)+INDIRECT("'数据-取费表'!s"&amp;$G$1)))</f>
        <v>84.9</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16980</v>
      </c>
      <c r="D19" s="204">
        <f ca="1">D9+D10</f>
        <v>84.9</v>
      </c>
      <c r="E19" s="203">
        <f>'数据-取费表'!B31</f>
        <v>200</v>
      </c>
      <c r="F19" s="223"/>
      <c r="G19" s="1713"/>
    </row>
    <row r="20" spans="1:7" s="206" customFormat="1" ht="13.5" customHeight="1">
      <c r="A20" s="247" t="s">
        <v>1573</v>
      </c>
      <c r="B20" s="202" t="s">
        <v>1574</v>
      </c>
      <c r="C20" s="224">
        <f ca="1">ROUND((C5+C19)*F20,0)</f>
        <v>679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2159</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1069</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1069</v>
      </c>
      <c r="D24" s="230"/>
      <c r="E24" s="230"/>
      <c r="F24" s="231"/>
      <c r="G24" s="232" t="s">
        <v>1585</v>
      </c>
    </row>
    <row r="25" spans="1:7" s="206" customFormat="1" ht="24">
      <c r="A25" s="733" t="s">
        <v>1475</v>
      </c>
      <c r="B25" s="207" t="s">
        <v>1586</v>
      </c>
      <c r="C25" s="230">
        <f ca="1">ROUND(IF('数据-取费表'!B22&lt;=1,C20*F22*'数据-取费表'!B22/2,C20*(POWER((1+F22),'数据-取费表'!B22/2)-1)),0)</f>
        <v>21</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6928</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6928</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47420</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425774</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382050</v>
      </c>
      <c r="D34" s="209"/>
      <c r="E34" s="212"/>
      <c r="F34" s="249"/>
      <c r="G34" s="211"/>
    </row>
    <row r="35" spans="1:7" ht="13.5" customHeight="1">
      <c r="A35" s="733" t="s">
        <v>351</v>
      </c>
      <c r="B35" s="207" t="s">
        <v>1526</v>
      </c>
      <c r="C35" s="212">
        <f ca="1">ROUND(C34*F35,0)</f>
        <v>19103</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16980</v>
      </c>
      <c r="D37" s="209">
        <f ca="1">D19</f>
        <v>84.9</v>
      </c>
      <c r="E37" s="241">
        <f>'数据-取费表'!B35</f>
        <v>200</v>
      </c>
      <c r="F37" s="251"/>
      <c r="G37" s="253"/>
    </row>
    <row r="38" spans="1:7" ht="13.5" customHeight="1">
      <c r="A38" s="733" t="s">
        <v>354</v>
      </c>
      <c r="B38" s="207" t="s">
        <v>1532</v>
      </c>
      <c r="C38" s="212">
        <f ca="1">ROUND(C34*F38,0)</f>
        <v>7641</v>
      </c>
      <c r="D38" s="212"/>
      <c r="E38" s="212"/>
      <c r="F38" s="251">
        <f>'数据-取费表'!B36</f>
        <v>0.02</v>
      </c>
      <c r="G38" s="211" t="s">
        <v>1527</v>
      </c>
    </row>
    <row r="39" spans="1:7" s="206" customFormat="1" ht="13.5" customHeight="1">
      <c r="A39" s="247" t="s">
        <v>1533</v>
      </c>
      <c r="B39" s="202" t="s">
        <v>1534</v>
      </c>
      <c r="C39" s="224">
        <f ca="1">ROUND(C33*F20,0)</f>
        <v>8515</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13463</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13199</v>
      </c>
      <c r="D42" s="230"/>
      <c r="E42" s="230"/>
      <c r="F42" s="231"/>
      <c r="G42" s="3366" t="s">
        <v>1590</v>
      </c>
    </row>
    <row r="43" spans="1:7" ht="13.5" customHeight="1">
      <c r="A43" s="733" t="s">
        <v>347</v>
      </c>
      <c r="B43" s="207" t="s">
        <v>1544</v>
      </c>
      <c r="C43" s="230">
        <f ca="1">ROUND(IF('数据-取费表'!B22&lt;=1,C39*F22*'数据-取费表'!B20/2,C39*(POWER((1+F22),'数据-取费表'!B20/2)-1)),0)</f>
        <v>264</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86858</v>
      </c>
      <c r="D45" s="227">
        <f ca="1">C47</f>
        <v>4.0000000000000001E-3</v>
      </c>
      <c r="E45" s="228" t="s">
        <v>1538</v>
      </c>
      <c r="F45" s="238">
        <f ca="1">F27</f>
        <v>0.2</v>
      </c>
      <c r="G45" s="239" t="s">
        <v>1547</v>
      </c>
    </row>
    <row r="46" spans="1:7" s="206" customFormat="1" ht="13.5" customHeight="1">
      <c r="A46" s="733" t="s">
        <v>346</v>
      </c>
      <c r="B46" s="240" t="s">
        <v>1548</v>
      </c>
      <c r="C46" s="241">
        <f ca="1">ROUND((C33+C39)*F27,0)</f>
        <v>86858</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579774</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458021</v>
      </c>
      <c r="D51" s="224"/>
      <c r="E51" s="224"/>
      <c r="F51" s="256"/>
      <c r="G51" s="226" t="s">
        <v>1559</v>
      </c>
    </row>
    <row r="52" spans="1:7" s="200" customFormat="1" ht="16.5" thickBot="1">
      <c r="A52" s="257" t="s">
        <v>1560</v>
      </c>
      <c r="B52" s="258"/>
      <c r="C52" s="259">
        <f ca="1">C31+C51</f>
        <v>505441</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84.9</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84.9</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0.30200000000000005</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84.9</v>
      </c>
      <c r="E20" s="21">
        <f>'数据-取费表'!B28</f>
        <v>200</v>
      </c>
      <c r="F20" s="755"/>
      <c r="G20" s="12"/>
      <c r="H20" s="760"/>
      <c r="I20" s="760"/>
      <c r="J20" s="760"/>
      <c r="K20" s="761"/>
    </row>
    <row r="21" spans="1:33" s="754" customFormat="1" ht="13.5" customHeight="1">
      <c r="A21" s="743" t="s">
        <v>357</v>
      </c>
      <c r="B21" s="764" t="s">
        <v>1627</v>
      </c>
      <c r="C21" s="765">
        <f ca="1">C16+C17+C18</f>
        <v>0.30200000000000005</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83" zoomScale="85" zoomScaleNormal="70" zoomScaleSheetLayoutView="85" workbookViewId="0">
      <selection activeCell="F103" sqref="F103"/>
    </sheetView>
  </sheetViews>
  <sheetFormatPr defaultColWidth="9" defaultRowHeight="14.25"/>
  <cols>
    <col min="1" max="1" width="10.5" style="347" customWidth="1"/>
    <col min="2" max="2" width="15.75" style="347" customWidth="1"/>
    <col min="3" max="3" width="16.875" style="347" customWidth="1"/>
    <col min="4" max="4" width="12.25" style="347" customWidth="1"/>
    <col min="5" max="5" width="16.5" style="347" customWidth="1"/>
    <col min="6" max="6" width="12.25" style="347" customWidth="1"/>
    <col min="7" max="7" width="17.25" style="347" customWidth="1"/>
    <col min="8" max="8" width="12.25" style="347" customWidth="1"/>
    <col min="9" max="9" width="16.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3490</v>
      </c>
      <c r="E1" s="3124" t="s">
        <v>3465</v>
      </c>
      <c r="F1" s="1734" t="s">
        <v>3466</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350.50970000000001</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41285</v>
      </c>
      <c r="C3" s="344" t="s">
        <v>1767</v>
      </c>
      <c r="D3" s="343">
        <f>IF(D1="",'数据-汇总表'!E3,SUMIF('数据-汇总表'!$C19:$C33,D1,'数据-汇总表'!$E19:$E33))</f>
        <v>84.9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7" t="s">
        <v>1771</v>
      </c>
      <c r="AC4" s="3374" t="s">
        <v>1772</v>
      </c>
    </row>
    <row r="5" spans="1:29" ht="15">
      <c r="A5" s="348"/>
      <c r="B5" s="349"/>
      <c r="C5" s="3386" t="s">
        <v>1672</v>
      </c>
      <c r="D5" s="3387"/>
      <c r="E5" s="3384" t="s">
        <v>3467</v>
      </c>
      <c r="F5" s="3385"/>
      <c r="G5" s="3390" t="s">
        <v>3467</v>
      </c>
      <c r="H5" s="3387"/>
      <c r="I5" s="3390" t="s">
        <v>3467</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5</v>
      </c>
      <c r="L25" s="2492"/>
      <c r="M25" s="2487"/>
      <c r="N25" s="2487"/>
      <c r="O25" s="2487"/>
      <c r="P25" s="3408"/>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7"/>
      <c r="B26" s="1065" t="s">
        <v>1780</v>
      </c>
      <c r="C26" s="3174" t="s">
        <v>3484</v>
      </c>
      <c r="D26" s="374">
        <v>100</v>
      </c>
      <c r="E26" s="3174" t="s">
        <v>3484</v>
      </c>
      <c r="F26" s="400">
        <f>SUMIF(88:88,E26,89:89)-SUMIF(88:88,C26,89:89)+100</f>
        <v>100</v>
      </c>
      <c r="G26" s="3174" t="s">
        <v>3484</v>
      </c>
      <c r="H26" s="374">
        <f>SUMIF(88:88,G26,89:89)-SUMIF(88:88,C26,89:89)+100</f>
        <v>100</v>
      </c>
      <c r="I26" s="3174" t="s">
        <v>3484</v>
      </c>
      <c r="J26" s="374">
        <f>SUMIF(88:88,I26,89:89)-SUMIF(88:88,C26,89:89)+100</f>
        <v>100</v>
      </c>
      <c r="K26" s="539"/>
      <c r="L26" s="2492"/>
      <c r="M26" s="2487"/>
      <c r="N26" s="2487"/>
      <c r="O26" s="2487"/>
      <c r="P26" s="3408"/>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5</v>
      </c>
      <c r="L27" s="2488"/>
      <c r="M27" s="2439"/>
      <c r="N27" s="2439"/>
      <c r="O27" s="2439"/>
      <c r="P27" s="3408"/>
      <c r="Q27" s="530" t="str">
        <f t="shared" si="11"/>
        <v>人流量</v>
      </c>
      <c r="R27" s="663" t="s">
        <v>14</v>
      </c>
      <c r="S27" s="664">
        <f>F27</f>
        <v>100</v>
      </c>
      <c r="T27" s="663" t="s">
        <v>14</v>
      </c>
      <c r="U27" s="664">
        <f>H27</f>
        <v>100</v>
      </c>
      <c r="V27" s="663" t="s">
        <v>14</v>
      </c>
      <c r="W27" s="664">
        <f>J27</f>
        <v>100</v>
      </c>
      <c r="X27" s="665"/>
      <c r="Y27" s="3410"/>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4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84.9</v>
      </c>
      <c r="D33" s="119">
        <v>100</v>
      </c>
      <c r="E33" s="407">
        <v>87.71</v>
      </c>
      <c r="F33" s="364">
        <f>LOOKUP(E33,103:103,104:104)-LOOKUP(C33,103:103,104:104)+100</f>
        <v>100</v>
      </c>
      <c r="G33" s="407">
        <v>387.94</v>
      </c>
      <c r="H33" s="119">
        <f>LOOKUP(G33,103:103,104:104)-LOOKUP(C33,103:103,104:104)+100</f>
        <v>96</v>
      </c>
      <c r="I33" s="407">
        <v>87.78</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96</v>
      </c>
      <c r="V33" s="668" t="s">
        <v>14</v>
      </c>
      <c r="W33" s="669">
        <f t="shared" si="14"/>
        <v>100</v>
      </c>
      <c r="X33" s="670"/>
      <c r="Y33" s="3414"/>
      <c r="Z33" s="671" t="str">
        <f t="shared" si="15"/>
        <v>项目建筑规模</v>
      </c>
      <c r="AA33" s="1263">
        <f t="shared" si="3"/>
        <v>1</v>
      </c>
      <c r="AB33" s="1263">
        <f t="shared" si="4"/>
        <v>1.0416666666666667</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110</v>
      </c>
      <c r="I44" s="3175" t="s">
        <v>3454</v>
      </c>
      <c r="J44" s="119">
        <f>SUMIF(126:126,I44,127:127)-SUMIF(126:126,C44,127:127)+100</f>
        <v>110</v>
      </c>
      <c r="K44" s="539"/>
      <c r="L44" s="2488"/>
      <c r="M44" s="2439"/>
      <c r="N44" s="2439"/>
      <c r="O44" s="2439"/>
      <c r="P44" s="3412"/>
      <c r="Q44" s="530" t="str">
        <f t="shared" si="11"/>
        <v>露台</v>
      </c>
      <c r="R44" s="663" t="s">
        <v>14</v>
      </c>
      <c r="S44" s="664">
        <f t="shared" si="12"/>
        <v>100</v>
      </c>
      <c r="T44" s="663" t="s">
        <v>14</v>
      </c>
      <c r="U44" s="664">
        <f t="shared" si="13"/>
        <v>110</v>
      </c>
      <c r="V44" s="663" t="s">
        <v>14</v>
      </c>
      <c r="W44" s="664">
        <f t="shared" si="14"/>
        <v>110</v>
      </c>
      <c r="X44" s="665"/>
      <c r="Y44" s="3414"/>
      <c r="Z44" s="50" t="str">
        <f t="shared" si="15"/>
        <v>露台</v>
      </c>
      <c r="AA44" s="50">
        <f t="shared" si="3"/>
        <v>1</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416" t="str">
        <f>A47</f>
        <v>成交单价（元/平方米）</v>
      </c>
      <c r="Q47" s="3416"/>
      <c r="R47" s="3377">
        <f>E47</f>
        <v>39449</v>
      </c>
      <c r="S47" s="3377"/>
      <c r="T47" s="3377">
        <f>G47</f>
        <v>42533</v>
      </c>
      <c r="U47" s="3377"/>
      <c r="V47" s="3377">
        <f>I47</f>
        <v>51265</v>
      </c>
      <c r="W47" s="3377"/>
      <c r="X47" s="385"/>
      <c r="Y47" s="672"/>
      <c r="Z47" s="385"/>
      <c r="AA47" s="385"/>
      <c r="AB47" s="385"/>
      <c r="AC47" s="385"/>
    </row>
    <row r="48" spans="1:29" ht="15.75" thickBot="1">
      <c r="A48" s="423" t="s">
        <v>1792</v>
      </c>
      <c r="B48" s="424"/>
      <c r="C48" s="1081">
        <f>R49</f>
        <v>41285</v>
      </c>
      <c r="D48" s="2140" t="s">
        <v>2137</v>
      </c>
      <c r="E48" s="1082">
        <f>R48</f>
        <v>38675</v>
      </c>
      <c r="F48" s="2141"/>
      <c r="G48" s="1081">
        <f>T48</f>
        <v>39488</v>
      </c>
      <c r="H48" s="2141"/>
      <c r="I48" s="1082">
        <f>V48</f>
        <v>45691</v>
      </c>
      <c r="J48" s="2141"/>
      <c r="K48" s="2143">
        <f>F48+H48+J48</f>
        <v>0</v>
      </c>
      <c r="L48" s="2494"/>
      <c r="M48" s="2487"/>
      <c r="N48" s="2487"/>
      <c r="O48" s="2487"/>
      <c r="P48" s="3416" t="str">
        <f>A48</f>
        <v>比较价值（元/平方米）</v>
      </c>
      <c r="Q48" s="3416"/>
      <c r="R48" s="3377">
        <f>IF(F1="售价",ROUND(PRODUCT(R47,AA7:AA46),0),ROUND(PRODUCT(R47,AA7:AA46),1))</f>
        <v>38675</v>
      </c>
      <c r="S48" s="3377"/>
      <c r="T48" s="3377">
        <f>IF(F1="售价",ROUND(PRODUCT(T47,AB7:AB46),0),ROUND(PRODUCT(T47,AB7:AB46),1))</f>
        <v>39488</v>
      </c>
      <c r="U48" s="3377"/>
      <c r="V48" s="3377">
        <f>IF(F1="售价",ROUND(PRODUCT(V47,AC7:AC46),0),ROUND(PRODUCT(V47,AC7:AC46),1))</f>
        <v>45691</v>
      </c>
      <c r="W48" s="3377"/>
      <c r="X48" s="385"/>
      <c r="Y48" s="385"/>
      <c r="Z48" s="385"/>
      <c r="AA48" s="385"/>
      <c r="AB48" s="385"/>
      <c r="AC48" s="385"/>
    </row>
    <row r="49" spans="1:29" ht="15.75" thickBot="1">
      <c r="A49" s="427" t="s">
        <v>1793</v>
      </c>
      <c r="B49" s="428"/>
      <c r="C49" s="351">
        <f>R49</f>
        <v>41285</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41285</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2.0012928248222428E-2</v>
      </c>
      <c r="F52" s="435" t="str">
        <f>IF(OR(E52&gt;=0.3,E52&lt;=-0.3),"超过30%","")</f>
        <v/>
      </c>
      <c r="G52" s="434">
        <f>IF(G47&lt;G48,G48/G47-1,G47/G48-1)</f>
        <v>7.7112034035656363E-2</v>
      </c>
      <c r="H52" s="435" t="str">
        <f>IF(OR(G52&gt;=0.3,G52&lt;=-0.3),"超过30%","")</f>
        <v/>
      </c>
      <c r="I52" s="434">
        <f>IF(I47&lt;I48,I48/I47-1,I47/I48-1)</f>
        <v>0.12199339038322643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2.1021331609566873E-2</v>
      </c>
      <c r="F53" s="435" t="str">
        <f>IF(OR(E53&gt;=0.2,E53&lt;=-0.2),"超过20%","")</f>
        <v/>
      </c>
      <c r="G53" s="434">
        <f>IF(G48&lt;I48,I48/G48-1,G48/I48-1)</f>
        <v>0.15708569692058338</v>
      </c>
      <c r="H53" s="435" t="str">
        <f>IF(OR(G53&gt;=0.2,G53&lt;=-0.2),"超过20%","")</f>
        <v/>
      </c>
      <c r="I53" s="434">
        <f>IF(I48&lt;E48,E48/I48-1,I48/E48-1)</f>
        <v>0.18140917905623799</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0(含)-40</v>
      </c>
      <c r="D102" s="509" t="str">
        <f t="shared" ref="D102:L102" si="23">D103&amp;"(含)"&amp;"-"&amp;E103</f>
        <v>40(含)-70</v>
      </c>
      <c r="E102" s="509" t="str">
        <f t="shared" si="23"/>
        <v>70(含)-150</v>
      </c>
      <c r="F102" s="509" t="str">
        <f t="shared" si="23"/>
        <v>150(含)-300</v>
      </c>
      <c r="G102" s="509" t="str">
        <f t="shared" si="23"/>
        <v>300(含)-500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40</v>
      </c>
      <c r="E103" s="3170">
        <v>70</v>
      </c>
      <c r="F103" s="3170">
        <v>150</v>
      </c>
      <c r="G103" s="3170">
        <v>300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90</v>
      </c>
      <c r="E104" s="3167">
        <v>88</v>
      </c>
      <c r="F104" s="3168">
        <v>86</v>
      </c>
      <c r="G104" s="3167">
        <v>84</v>
      </c>
      <c r="H104" s="3168">
        <v>82</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110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3490</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251.14</v>
      </c>
      <c r="C2" s="1288" t="s">
        <v>878</v>
      </c>
      <c r="D2" s="1374">
        <f ca="1">C40+J29+L46</f>
        <v>2511400</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217811</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217539</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84.9</v>
      </c>
      <c r="G7" s="1291"/>
      <c r="H7" s="296"/>
      <c r="I7" s="3372"/>
      <c r="J7" s="298"/>
      <c r="K7" s="299"/>
      <c r="L7" s="294" t="s">
        <v>696</v>
      </c>
      <c r="M7" s="295">
        <f ca="1">F7</f>
        <v>84.9</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272</v>
      </c>
      <c r="D10" s="150" t="s">
        <v>2115</v>
      </c>
      <c r="E10" s="305" t="s">
        <v>700</v>
      </c>
      <c r="F10" s="1052" t="s">
        <v>3473</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458021</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382050</v>
      </c>
      <c r="D14" s="1256" t="s">
        <v>707</v>
      </c>
      <c r="E14" s="1254"/>
      <c r="F14" s="311"/>
      <c r="G14" s="1291"/>
      <c r="H14" s="927" t="s">
        <v>398</v>
      </c>
      <c r="I14" s="294" t="s">
        <v>708</v>
      </c>
      <c r="J14" s="21">
        <f ca="1">C29</f>
        <v>579774</v>
      </c>
      <c r="K14" s="12"/>
      <c r="L14" s="758"/>
      <c r="M14" s="759"/>
    </row>
    <row r="15" spans="1:37" s="1303" customFormat="1" ht="18" customHeight="1" thickBot="1">
      <c r="A15" s="927" t="s">
        <v>399</v>
      </c>
      <c r="B15" s="294" t="s">
        <v>709</v>
      </c>
      <c r="C15" s="21">
        <f ca="1">ROUND(C14*F15,0)</f>
        <v>19103</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2899</v>
      </c>
      <c r="K16" s="1023" t="s">
        <v>714</v>
      </c>
      <c r="L16" s="1024"/>
      <c r="M16" s="1008"/>
    </row>
    <row r="17" spans="1:37" s="1303" customFormat="1" ht="18" customHeight="1">
      <c r="A17" s="927" t="s">
        <v>680</v>
      </c>
      <c r="B17" s="294" t="s">
        <v>715</v>
      </c>
      <c r="C17" s="21">
        <f ca="1">ROUND(F17*(F43+INDIRECT("'数据-取费表'!S"&amp;$G$1)),0)</f>
        <v>16980</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7641</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425774</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8515</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2899</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13463</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-2899</v>
      </c>
      <c r="K25" s="1031" t="s">
        <v>752</v>
      </c>
      <c r="L25" s="1032"/>
      <c r="M25" s="1033"/>
    </row>
    <row r="26" spans="1:37" ht="18" customHeight="1">
      <c r="A26" s="927" t="s">
        <v>397</v>
      </c>
      <c r="B26" s="294" t="s">
        <v>753</v>
      </c>
      <c r="C26" s="21">
        <f ca="1">ROUND((C19+C20)*F26,0)</f>
        <v>86858</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579774</v>
      </c>
      <c r="D29" s="1028"/>
      <c r="E29" s="1026"/>
      <c r="F29" s="1029"/>
      <c r="G29" s="1302"/>
      <c r="H29" s="325" t="s">
        <v>396</v>
      </c>
      <c r="I29" s="326" t="s">
        <v>767</v>
      </c>
      <c r="J29" s="327">
        <f ca="1">ROUND(J26/(1+F40)^F41,0)</f>
        <v>0</v>
      </c>
      <c r="K29" s="328" t="s">
        <v>768</v>
      </c>
      <c r="L29" s="329"/>
      <c r="M29" s="330">
        <f ca="1">INDIRECT("'数据-取费表'!k"&amp;$G$1)</f>
        <v>84.9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18949</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14503</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2899</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458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1089</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198862</v>
      </c>
      <c r="D39" s="1031" t="s">
        <v>772</v>
      </c>
      <c r="E39" s="1032"/>
      <c r="F39" s="1033"/>
      <c r="G39" s="1291"/>
      <c r="H39" s="2473"/>
      <c r="I39" s="1304"/>
      <c r="J39" s="1305"/>
      <c r="K39" s="2471"/>
      <c r="L39" s="2473"/>
      <c r="M39" s="2473"/>
    </row>
    <row r="40" spans="1:18" ht="18" customHeight="1">
      <c r="A40" s="291" t="s">
        <v>395</v>
      </c>
      <c r="B40" s="292" t="s">
        <v>773</v>
      </c>
      <c r="C40" s="293">
        <f ca="1">ROUND(C39*(1-((1+F42)/(1+F40))^F41)/(F40-F42),0)</f>
        <v>2439490</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84.9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-247.53059999999999</v>
      </c>
      <c r="D45" s="3130" t="s">
        <v>3348</v>
      </c>
      <c r="E45" s="1306"/>
      <c r="F45" s="1306"/>
      <c r="O45" s="1309" t="s">
        <v>807</v>
      </c>
      <c r="P45" s="1365"/>
      <c r="Q45" s="1365"/>
      <c r="R45" s="1365"/>
    </row>
    <row r="46" spans="1:18" s="1291" customFormat="1" ht="13.5" thickBot="1">
      <c r="A46" s="1310" t="s">
        <v>808</v>
      </c>
      <c r="C46" s="1311">
        <f ca="1">ROUND(C45,0)</f>
        <v>-248</v>
      </c>
      <c r="D46" s="1312" t="str">
        <f>C2</f>
        <v>万元</v>
      </c>
      <c r="I46" s="1313" t="s">
        <v>809</v>
      </c>
      <c r="J46" s="1314"/>
      <c r="K46" s="1315"/>
      <c r="L46" s="1316">
        <f ca="1">IF(M47="住宅",0,IF(L48&gt;J51,L60,J60))</f>
        <v>71910</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2439490</v>
      </c>
      <c r="R47" s="1326" t="s">
        <v>817</v>
      </c>
    </row>
    <row r="48" spans="1:18" s="1291" customFormat="1" ht="28.5" thickBot="1">
      <c r="A48" s="1046" t="s">
        <v>438</v>
      </c>
      <c r="B48" s="292" t="s">
        <v>691</v>
      </c>
      <c r="C48" s="1267">
        <f ca="1">C49+C53+C55</f>
        <v>0</v>
      </c>
      <c r="D48" s="1048"/>
      <c r="E48" s="1049"/>
      <c r="F48" s="907"/>
      <c r="G48" s="680"/>
      <c r="H48" s="681"/>
      <c r="I48" s="1327" t="s">
        <v>818</v>
      </c>
      <c r="J48" s="1328" t="s">
        <v>3474</v>
      </c>
      <c r="K48" s="1329" t="s">
        <v>819</v>
      </c>
      <c r="L48" s="1330">
        <f ca="1">INDIRECT("'数据-取费表'!f"&amp;$G$1)</f>
        <v>17.54</v>
      </c>
      <c r="O48" s="1324" t="s">
        <v>404</v>
      </c>
      <c r="P48" s="1325" t="s">
        <v>820</v>
      </c>
      <c r="Q48" s="1326">
        <f ca="1">J60</f>
        <v>71910</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579774</v>
      </c>
      <c r="R49" s="1326" t="s">
        <v>817</v>
      </c>
    </row>
    <row r="50" spans="1:18" s="1291" customFormat="1" ht="13.5" thickBot="1">
      <c r="A50" s="921"/>
      <c r="B50" s="924"/>
      <c r="C50" s="925"/>
      <c r="D50" s="898"/>
      <c r="E50" s="992" t="s">
        <v>696</v>
      </c>
      <c r="F50" s="993">
        <f ca="1">F7</f>
        <v>84.9</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2946160</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2511400</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458021</v>
      </c>
      <c r="D56" s="1351"/>
      <c r="E56" s="1352"/>
      <c r="F56" s="1344"/>
      <c r="I56" s="1353" t="s">
        <v>841</v>
      </c>
      <c r="J56" s="1354" t="s">
        <v>3462</v>
      </c>
      <c r="K56" s="1327" t="s">
        <v>842</v>
      </c>
      <c r="L56" s="1330" t="str">
        <f ca="1">IF(L48&lt;J51,"——",L48-J51)</f>
        <v>——</v>
      </c>
      <c r="O56" s="1324" t="s">
        <v>403</v>
      </c>
      <c r="P56" s="1325" t="s">
        <v>816</v>
      </c>
      <c r="Q56" s="1326">
        <f ca="1">C40+J29</f>
        <v>2439490</v>
      </c>
      <c r="R56" s="1326" t="s">
        <v>817</v>
      </c>
    </row>
    <row r="57" spans="1:18" s="1291" customFormat="1" ht="24.75" thickBot="1">
      <c r="A57" s="1355"/>
      <c r="B57" s="895" t="s">
        <v>766</v>
      </c>
      <c r="C57" s="230">
        <f ca="1">C29</f>
        <v>579774</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3357</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255680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71910</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2439490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2899</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458</v>
      </c>
      <c r="D65" s="909" t="s">
        <v>742</v>
      </c>
      <c r="E65" s="895" t="s">
        <v>743</v>
      </c>
      <c r="F65" s="321">
        <f t="shared" ca="1" si="0"/>
        <v>1E-3</v>
      </c>
      <c r="I65" s="1366" t="s">
        <v>866</v>
      </c>
      <c r="J65" s="609">
        <v>40</v>
      </c>
      <c r="K65" s="609">
        <v>30</v>
      </c>
      <c r="L65" s="609">
        <v>50</v>
      </c>
      <c r="M65" s="1368">
        <v>0.02</v>
      </c>
      <c r="O65" s="1324" t="s">
        <v>403</v>
      </c>
      <c r="P65" s="1325" t="s">
        <v>867</v>
      </c>
      <c r="Q65" s="1326">
        <f ca="1">C40+J29</f>
        <v>2439490</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-3357</v>
      </c>
      <c r="D67" s="908" t="s">
        <v>752</v>
      </c>
      <c r="E67" s="913"/>
      <c r="F67" s="914"/>
      <c r="O67" s="1333" t="s">
        <v>405</v>
      </c>
      <c r="P67" s="1325" t="s">
        <v>849</v>
      </c>
      <c r="Q67" s="1369">
        <f ca="1">L51</f>
        <v>2946160</v>
      </c>
      <c r="R67" s="1326" t="s">
        <v>869</v>
      </c>
    </row>
    <row r="68" spans="1:18" s="1291" customFormat="1" ht="16.5" thickBot="1">
      <c r="A68" s="892" t="s">
        <v>395</v>
      </c>
      <c r="B68" s="893" t="s">
        <v>773</v>
      </c>
      <c r="C68" s="293">
        <f ca="1">ROUND(C67*(1-((1+F70)/(1+F68))^F69)/(F68-F70),0)</f>
        <v>-35816</v>
      </c>
      <c r="D68" s="910" t="s">
        <v>757</v>
      </c>
      <c r="E68" s="895" t="s">
        <v>758</v>
      </c>
      <c r="F68" s="304">
        <f ca="1">F40</f>
        <v>0.06</v>
      </c>
      <c r="O68" s="1333" t="s">
        <v>406</v>
      </c>
      <c r="P68" s="1370" t="s">
        <v>870</v>
      </c>
      <c r="Q68" s="1326">
        <f ca="1">ROUND(Q69-Q70*Q71,0)</f>
        <v>166801</v>
      </c>
      <c r="R68" s="1326" t="s">
        <v>414</v>
      </c>
    </row>
    <row r="69" spans="1:18" s="1291" customFormat="1" ht="13.5" thickBot="1">
      <c r="A69" s="896"/>
      <c r="B69" s="897"/>
      <c r="C69" s="298"/>
      <c r="D69" s="915" t="s">
        <v>761</v>
      </c>
      <c r="E69" s="895" t="s">
        <v>762</v>
      </c>
      <c r="F69" s="324">
        <f ca="1">F41</f>
        <v>17.54</v>
      </c>
      <c r="O69" s="1333" t="s">
        <v>411</v>
      </c>
      <c r="P69" s="1370" t="s">
        <v>871</v>
      </c>
      <c r="Q69" s="1326">
        <f ca="1">C39</f>
        <v>198862</v>
      </c>
      <c r="R69" s="1326" t="s">
        <v>817</v>
      </c>
    </row>
    <row r="70" spans="1:18" s="1291" customFormat="1" ht="13.5" thickBot="1">
      <c r="A70" s="899"/>
      <c r="B70" s="900"/>
      <c r="C70" s="302"/>
      <c r="D70" s="911"/>
      <c r="E70" s="895" t="s">
        <v>765</v>
      </c>
      <c r="F70" s="990"/>
      <c r="O70" s="1333" t="s">
        <v>412</v>
      </c>
      <c r="P70" s="1370" t="s">
        <v>872</v>
      </c>
      <c r="Q70" s="1326">
        <f ca="1">C13</f>
        <v>458021</v>
      </c>
      <c r="R70" s="1326" t="s">
        <v>817</v>
      </c>
    </row>
    <row r="71" spans="1:18" s="1291" customFormat="1" ht="13.5" thickBot="1">
      <c r="A71" s="916" t="s">
        <v>396</v>
      </c>
      <c r="B71" s="917" t="s">
        <v>775</v>
      </c>
      <c r="C71" s="327">
        <f ca="1">ROUND(C68/F71,0)</f>
        <v>-422</v>
      </c>
      <c r="D71" s="918" t="s">
        <v>776</v>
      </c>
      <c r="E71" s="919" t="s">
        <v>777</v>
      </c>
      <c r="F71" s="330">
        <f ca="1">F43</f>
        <v>84.9</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32061</v>
      </c>
      <c r="D75" s="1291"/>
      <c r="E75" s="1291"/>
      <c r="F75" s="1291"/>
      <c r="K75" s="1308"/>
      <c r="L75" s="1291"/>
      <c r="O75" s="1324" t="s">
        <v>409</v>
      </c>
      <c r="P75" s="1325" t="s">
        <v>837</v>
      </c>
      <c r="Q75" s="1326">
        <f ca="1">Q65+Q66</f>
        <v>2439490</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zoomScale="70" zoomScaleNormal="70" zoomScaleSheetLayoutView="70" workbookViewId="0">
      <selection activeCell="L26" sqref="L26"/>
    </sheetView>
  </sheetViews>
  <sheetFormatPr defaultColWidth="9" defaultRowHeight="14.25"/>
  <cols>
    <col min="1" max="1" width="10.5" style="347" customWidth="1"/>
    <col min="2" max="2" width="15.75" style="347" customWidth="1"/>
    <col min="3" max="3" width="17.25" style="347" customWidth="1"/>
    <col min="4" max="4" width="12.25" style="347" customWidth="1"/>
    <col min="5" max="5" width="16.5" style="347" customWidth="1"/>
    <col min="6" max="6" width="12.25" style="347" customWidth="1"/>
    <col min="7" max="7" width="17.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3490</v>
      </c>
      <c r="E1" s="3124" t="s">
        <v>3465</v>
      </c>
      <c r="F1" s="1734" t="s">
        <v>3480</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6.6199999999999995E-2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84.9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94" t="s">
        <v>1666</v>
      </c>
      <c r="D4" s="3395"/>
      <c r="E4" s="3396" t="s">
        <v>1667</v>
      </c>
      <c r="F4" s="3397"/>
      <c r="G4" s="3394" t="s">
        <v>1668</v>
      </c>
      <c r="H4" s="3395"/>
      <c r="I4" s="3394" t="s">
        <v>1669</v>
      </c>
      <c r="J4" s="3395"/>
      <c r="K4" s="537"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7" t="s">
        <v>1668</v>
      </c>
      <c r="AC4" s="3374" t="s">
        <v>1669</v>
      </c>
    </row>
    <row r="5" spans="1:29" ht="15">
      <c r="A5" s="348"/>
      <c r="B5" s="349"/>
      <c r="C5" s="3386" t="s">
        <v>1672</v>
      </c>
      <c r="D5" s="3387"/>
      <c r="E5" s="3384" t="s">
        <v>3488</v>
      </c>
      <c r="F5" s="3385"/>
      <c r="G5" s="3390" t="s">
        <v>3488</v>
      </c>
      <c r="H5" s="3387"/>
      <c r="I5" s="3390" t="s">
        <v>3488</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408"/>
      <c r="Q25" s="1262" t="str">
        <f t="shared" ref="Q25:Q46" si="11">B25</f>
        <v>临街状况</v>
      </c>
      <c r="R25" s="666" t="s">
        <v>14</v>
      </c>
      <c r="S25" s="667">
        <f>F25</f>
        <v>95</v>
      </c>
      <c r="T25" s="666" t="s">
        <v>14</v>
      </c>
      <c r="U25" s="667">
        <f>H25</f>
        <v>95</v>
      </c>
      <c r="V25" s="666" t="s">
        <v>14</v>
      </c>
      <c r="W25" s="667">
        <f>J25</f>
        <v>95</v>
      </c>
      <c r="X25" s="1264"/>
      <c r="Y25" s="3410"/>
      <c r="Z25" s="1263" t="str">
        <f>Q25</f>
        <v>临街状况</v>
      </c>
      <c r="AA25" s="1263">
        <f t="shared" si="3"/>
        <v>1.0526315789473684</v>
      </c>
      <c r="AB25" s="1263">
        <f t="shared" si="4"/>
        <v>1.0526315789473684</v>
      </c>
      <c r="AC25" s="1263">
        <f t="shared" si="5"/>
        <v>1.0526315789473684</v>
      </c>
    </row>
    <row r="26" spans="1:29" ht="15">
      <c r="A26" s="367"/>
      <c r="B26" s="1065" t="s">
        <v>1780</v>
      </c>
      <c r="C26" s="3174" t="s">
        <v>3484</v>
      </c>
      <c r="D26" s="374">
        <v>100</v>
      </c>
      <c r="E26" s="3174" t="s">
        <v>3485</v>
      </c>
      <c r="F26" s="400">
        <f>SUMIF(88:88,E26,89:89)-SUMIF(88:88,C26,89:89)+100</f>
        <v>90</v>
      </c>
      <c r="G26" s="3174" t="s">
        <v>3485</v>
      </c>
      <c r="H26" s="374">
        <f>SUMIF(88:88,G26,89:89)-SUMIF(88:88,C26,89:89)+100</f>
        <v>90</v>
      </c>
      <c r="I26" s="3174" t="s">
        <v>3485</v>
      </c>
      <c r="J26" s="374">
        <f>SUMIF(88:88,I26,89:89)-SUMIF(88:88,C26,89:89)+100</f>
        <v>90</v>
      </c>
      <c r="K26" s="539"/>
      <c r="L26" s="2492"/>
      <c r="M26" s="2487"/>
      <c r="N26" s="2487"/>
      <c r="O26" s="2487"/>
      <c r="P26" s="3408"/>
      <c r="Q26" s="1262" t="str">
        <f t="shared" si="11"/>
        <v>平面位置/可视性</v>
      </c>
      <c r="R26" s="666" t="s">
        <v>14</v>
      </c>
      <c r="S26" s="667">
        <f>F26</f>
        <v>90</v>
      </c>
      <c r="T26" s="666" t="s">
        <v>14</v>
      </c>
      <c r="U26" s="667">
        <f>H26</f>
        <v>90</v>
      </c>
      <c r="V26" s="666" t="s">
        <v>14</v>
      </c>
      <c r="W26" s="667">
        <f>J26</f>
        <v>90</v>
      </c>
      <c r="X26" s="1264"/>
      <c r="Y26" s="3410"/>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408"/>
      <c r="Q27" s="530" t="str">
        <f t="shared" si="11"/>
        <v>人流量</v>
      </c>
      <c r="R27" s="663" t="s">
        <v>14</v>
      </c>
      <c r="S27" s="664">
        <f>F27</f>
        <v>95</v>
      </c>
      <c r="T27" s="663" t="s">
        <v>14</v>
      </c>
      <c r="U27" s="664">
        <f>H27</f>
        <v>95</v>
      </c>
      <c r="V27" s="663" t="s">
        <v>14</v>
      </c>
      <c r="W27" s="664">
        <f>J27</f>
        <v>95</v>
      </c>
      <c r="X27" s="665"/>
      <c r="Y27" s="3410"/>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408"/>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410"/>
      <c r="Z28" s="1263" t="str">
        <f t="shared" ref="Z28:Z46" si="15">Q28</f>
        <v>楼层</v>
      </c>
      <c r="AA28" s="1263">
        <f t="shared" si="3"/>
        <v>0.8</v>
      </c>
      <c r="AB28" s="1263">
        <f t="shared" si="4"/>
        <v>0.8</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84.9</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100</v>
      </c>
      <c r="V33" s="668" t="s">
        <v>14</v>
      </c>
      <c r="W33" s="669">
        <f t="shared" si="14"/>
        <v>100</v>
      </c>
      <c r="X33" s="670"/>
      <c r="Y33" s="3414"/>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3481</v>
      </c>
      <c r="D44" s="119">
        <v>100</v>
      </c>
      <c r="E44" s="3175" t="s">
        <v>3481</v>
      </c>
      <c r="F44" s="364">
        <f>SUMIF(126:126,E44,127:127)-SUMIF(126:126,C44,127:127)+100</f>
        <v>100</v>
      </c>
      <c r="G44" s="3175" t="s">
        <v>3481</v>
      </c>
      <c r="H44" s="119">
        <f>SUMIF(126:126,G44,127:127)-SUMIF(126:126,C44,127:127)+100</f>
        <v>100</v>
      </c>
      <c r="I44" s="3175" t="s">
        <v>3482</v>
      </c>
      <c r="J44" s="119">
        <f>SUMIF(126:126,I44,127:127)-SUMIF(126:126,C44,127:127)+100</f>
        <v>102</v>
      </c>
      <c r="K44" s="539"/>
      <c r="L44" s="2488"/>
      <c r="M44" s="2439"/>
      <c r="N44" s="2439"/>
      <c r="O44" s="2439"/>
      <c r="P44" s="3412"/>
      <c r="Q44" s="530" t="str">
        <f t="shared" si="11"/>
        <v>露台</v>
      </c>
      <c r="R44" s="663" t="s">
        <v>14</v>
      </c>
      <c r="S44" s="664">
        <f t="shared" si="12"/>
        <v>100</v>
      </c>
      <c r="T44" s="663" t="s">
        <v>14</v>
      </c>
      <c r="U44" s="664">
        <f t="shared" si="13"/>
        <v>100</v>
      </c>
      <c r="V44" s="663" t="s">
        <v>14</v>
      </c>
      <c r="W44" s="664">
        <f t="shared" si="14"/>
        <v>102</v>
      </c>
      <c r="X44" s="665"/>
      <c r="Y44" s="3414"/>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416" t="str">
        <f>A47</f>
        <v>成交单价（元/平方米）</v>
      </c>
      <c r="Q47" s="3416"/>
      <c r="R47" s="3377">
        <f>E47</f>
        <v>8.0399999999999991</v>
      </c>
      <c r="S47" s="3377"/>
      <c r="T47" s="3377">
        <f>G47</f>
        <v>7.35</v>
      </c>
      <c r="U47" s="3377"/>
      <c r="V47" s="3377">
        <f>I47</f>
        <v>7.18</v>
      </c>
      <c r="W47" s="3377"/>
      <c r="X47" s="385"/>
      <c r="Y47" s="672"/>
      <c r="Z47" s="385"/>
      <c r="AA47" s="385"/>
      <c r="AB47" s="385"/>
      <c r="AC47" s="385"/>
    </row>
    <row r="48" spans="1:29" ht="15.7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416" t="str">
        <f>A48</f>
        <v>比较价值（元/平方米）</v>
      </c>
      <c r="Q48" s="3416"/>
      <c r="R48" s="3377">
        <f>IF(F1="售价",ROUND(PRODUCT(R47,AA7:AA46),0),ROUND(PRODUCT(R47,AA7:AA46),1))</f>
        <v>7.8</v>
      </c>
      <c r="S48" s="3377"/>
      <c r="T48" s="3377">
        <f>IF(F1="售价",ROUND(PRODUCT(T47,AB7:AB46),0),ROUND(PRODUCT(T47,AB7:AB46),1))</f>
        <v>7.1</v>
      </c>
      <c r="U48" s="3377"/>
      <c r="V48" s="3377">
        <f>IF(F1="售价",ROUND(PRODUCT(V47,AC7:AC46),0),ROUND(PRODUCT(V47,AC7:AC46),1))</f>
        <v>8.5</v>
      </c>
      <c r="W48" s="3377"/>
      <c r="X48" s="385"/>
      <c r="Y48" s="385"/>
      <c r="Z48" s="385"/>
      <c r="AA48" s="385"/>
      <c r="AB48" s="385"/>
      <c r="AC48" s="385"/>
    </row>
    <row r="49" spans="1:29" ht="15.75" thickBot="1">
      <c r="A49" s="427" t="s">
        <v>1709</v>
      </c>
      <c r="B49" s="428"/>
      <c r="C49" s="351">
        <f>R49</f>
        <v>7.8</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7.8</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3483</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5.75"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0" t="s">
        <v>2312</v>
      </c>
      <c r="K2" s="3421"/>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2" t="s">
        <v>2322</v>
      </c>
      <c r="K3" s="3423"/>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2" t="s">
        <v>2324</v>
      </c>
      <c r="K4" s="3423"/>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24" t="s">
        <v>2328</v>
      </c>
      <c r="B6" s="3425"/>
      <c r="C6" s="3426"/>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1" t="s">
        <v>2342</v>
      </c>
      <c r="C8" s="3432"/>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1" t="s">
        <v>2348</v>
      </c>
      <c r="C9" s="3432"/>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31" t="s">
        <v>2351</v>
      </c>
      <c r="C10" s="3432"/>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31" t="s">
        <v>2354</v>
      </c>
      <c r="C11" s="3432"/>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3" t="s">
        <v>2357</v>
      </c>
      <c r="C12" s="3434"/>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3" t="s">
        <v>2363</v>
      </c>
      <c r="C14" s="3434"/>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3" t="s">
        <v>2367</v>
      </c>
      <c r="C15" s="3434"/>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3" t="s">
        <v>2376</v>
      </c>
      <c r="C16" s="3434"/>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5" t="s">
        <v>2379</v>
      </c>
      <c r="C17" s="3436"/>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7">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0" t="s">
        <v>2312</v>
      </c>
      <c r="K32" s="3421"/>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2" t="s">
        <v>2322</v>
      </c>
      <c r="K33" s="3423"/>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2" t="s">
        <v>2324</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7">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251.14</v>
      </c>
      <c r="C2" s="1728" t="s">
        <v>1650</v>
      </c>
      <c r="D2" s="1729" t="s">
        <v>1651</v>
      </c>
      <c r="E2" s="2392">
        <f>SUM(E6:E13)</f>
        <v>84.9</v>
      </c>
      <c r="F2" s="2479"/>
      <c r="G2" s="459"/>
      <c r="H2" s="459"/>
      <c r="I2" s="459"/>
      <c r="J2" s="459"/>
      <c r="K2" s="459"/>
      <c r="L2" s="459"/>
      <c r="M2" s="459"/>
      <c r="N2" s="459"/>
      <c r="O2" s="459"/>
      <c r="P2" s="459"/>
      <c r="Q2" s="459"/>
      <c r="R2" s="459"/>
      <c r="S2" s="459"/>
    </row>
    <row r="3" spans="1:22" ht="15.75">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251.14</v>
      </c>
      <c r="C6" s="1728" t="s">
        <v>1650</v>
      </c>
      <c r="D6" s="2479"/>
      <c r="E6" s="2391">
        <f>IF(OR(A6=0,F6="否"),0,'数据-取费表'!K6+'数据-取费表'!S6)</f>
        <v>84.9</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84.9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94" t="s">
        <v>1666</v>
      </c>
      <c r="D4" s="3395"/>
      <c r="E4" s="3396" t="s">
        <v>1667</v>
      </c>
      <c r="F4" s="3397"/>
      <c r="G4" s="3394" t="s">
        <v>1668</v>
      </c>
      <c r="H4" s="3395"/>
      <c r="I4" s="3394" t="s">
        <v>1669</v>
      </c>
      <c r="J4" s="3395"/>
      <c r="K4" s="1743"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4" t="s">
        <v>1668</v>
      </c>
      <c r="AC4" s="3374" t="s">
        <v>1669</v>
      </c>
    </row>
    <row r="5" spans="1:29" ht="15">
      <c r="A5" s="348"/>
      <c r="B5" s="349"/>
      <c r="C5" s="3386" t="s">
        <v>1672</v>
      </c>
      <c r="D5" s="3387"/>
      <c r="E5" s="3441" t="s">
        <v>1673</v>
      </c>
      <c r="F5" s="3385"/>
      <c r="G5" s="3386" t="s">
        <v>1674</v>
      </c>
      <c r="H5" s="3387"/>
      <c r="I5" s="3386" t="s">
        <v>1675</v>
      </c>
      <c r="J5" s="3387"/>
      <c r="K5" s="1744"/>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1744"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8" t="s">
        <v>1679</v>
      </c>
      <c r="Q7" s="3406"/>
      <c r="R7" s="663" t="s">
        <v>20</v>
      </c>
      <c r="S7" s="664">
        <f t="shared" ref="S7:S15" si="0">F7</f>
        <v>0</v>
      </c>
      <c r="T7" s="663" t="s">
        <v>20</v>
      </c>
      <c r="U7" s="664">
        <f t="shared" ref="U7:U15" si="1">H7</f>
        <v>0</v>
      </c>
      <c r="V7" s="663" t="s">
        <v>20</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8" t="s">
        <v>1682</v>
      </c>
      <c r="Q8" s="3379"/>
      <c r="R8" s="663" t="s">
        <v>20</v>
      </c>
      <c r="S8" s="664">
        <f t="shared" si="0"/>
        <v>100</v>
      </c>
      <c r="T8" s="663" t="s">
        <v>20</v>
      </c>
      <c r="U8" s="664">
        <f t="shared" si="1"/>
        <v>100</v>
      </c>
      <c r="V8" s="663" t="s">
        <v>20</v>
      </c>
      <c r="W8" s="664">
        <f t="shared" si="2"/>
        <v>100</v>
      </c>
      <c r="X8" s="665"/>
      <c r="Y8" s="3378" t="s">
        <v>1682</v>
      </c>
      <c r="Z8" s="3379"/>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3" t="s">
        <v>18</v>
      </c>
      <c r="S11" s="664" t="e">
        <f t="shared" si="0"/>
        <v>#N/A</v>
      </c>
      <c r="T11" s="663" t="s">
        <v>18</v>
      </c>
      <c r="U11" s="664" t="e">
        <f t="shared" si="1"/>
        <v>#N/A</v>
      </c>
      <c r="V11" s="663" t="s">
        <v>18</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3" t="s">
        <v>18</v>
      </c>
      <c r="S12" s="664">
        <f t="shared" si="0"/>
        <v>100</v>
      </c>
      <c r="T12" s="663" t="s">
        <v>18</v>
      </c>
      <c r="U12" s="664">
        <f t="shared" si="1"/>
        <v>100</v>
      </c>
      <c r="V12" s="663" t="s">
        <v>18</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3" t="s">
        <v>18</v>
      </c>
      <c r="S13" s="664">
        <f t="shared" si="0"/>
        <v>100</v>
      </c>
      <c r="T13" s="663" t="s">
        <v>18</v>
      </c>
      <c r="U13" s="664">
        <f t="shared" si="1"/>
        <v>100</v>
      </c>
      <c r="V13" s="663" t="s">
        <v>18</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3" t="s">
        <v>18</v>
      </c>
      <c r="S14" s="664">
        <f t="shared" si="0"/>
        <v>100</v>
      </c>
      <c r="T14" s="663" t="s">
        <v>18</v>
      </c>
      <c r="U14" s="664">
        <f t="shared" si="1"/>
        <v>100</v>
      </c>
      <c r="V14" s="663" t="s">
        <v>18</v>
      </c>
      <c r="W14" s="664">
        <f t="shared" si="2"/>
        <v>100</v>
      </c>
      <c r="X14" s="665"/>
      <c r="Y14" s="3342"/>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7" t="s">
        <v>1690</v>
      </c>
      <c r="Q15" s="1262" t="str">
        <f t="shared" si="6"/>
        <v>居住社区成熟度</v>
      </c>
      <c r="R15" s="666" t="s">
        <v>18</v>
      </c>
      <c r="S15" s="667">
        <f t="shared" si="0"/>
        <v>100</v>
      </c>
      <c r="T15" s="666" t="s">
        <v>18</v>
      </c>
      <c r="U15" s="667">
        <f t="shared" si="1"/>
        <v>100</v>
      </c>
      <c r="V15" s="666" t="s">
        <v>18</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8"/>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8"/>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8"/>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8"/>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8"/>
      <c r="Q27" s="530">
        <f t="shared" si="11"/>
        <v>111</v>
      </c>
      <c r="R27" s="663" t="s">
        <v>18</v>
      </c>
      <c r="S27" s="664">
        <f t="shared" si="12"/>
        <v>100</v>
      </c>
      <c r="T27" s="663" t="s">
        <v>18</v>
      </c>
      <c r="U27" s="664">
        <f t="shared" si="13"/>
        <v>100</v>
      </c>
      <c r="V27" s="663" t="s">
        <v>18</v>
      </c>
      <c r="W27" s="664">
        <f t="shared" si="14"/>
        <v>100</v>
      </c>
      <c r="X27" s="665"/>
      <c r="Y27" s="341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8"/>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8"/>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8"/>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8"/>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1" t="s">
        <v>1695</v>
      </c>
      <c r="Q32" s="1262" t="str">
        <f t="shared" si="11"/>
        <v>建筑类型</v>
      </c>
      <c r="R32" s="666" t="s">
        <v>18</v>
      </c>
      <c r="S32" s="667">
        <f t="shared" si="12"/>
        <v>100</v>
      </c>
      <c r="T32" s="666" t="s">
        <v>18</v>
      </c>
      <c r="U32" s="667">
        <f t="shared" si="13"/>
        <v>100</v>
      </c>
      <c r="V32" s="666" t="s">
        <v>18</v>
      </c>
      <c r="W32" s="667">
        <f t="shared" si="14"/>
        <v>100</v>
      </c>
      <c r="X32" s="1264"/>
      <c r="Y32" s="3414"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2"/>
      <c r="Q33" s="531"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2"/>
      <c r="Q37" s="530" t="str">
        <f t="shared" si="11"/>
        <v>成新度</v>
      </c>
      <c r="R37" s="663" t="s">
        <v>18</v>
      </c>
      <c r="S37" s="664" t="e">
        <f t="shared" si="12"/>
        <v>#N/A</v>
      </c>
      <c r="T37" s="663" t="s">
        <v>18</v>
      </c>
      <c r="U37" s="664" t="e">
        <f t="shared" si="13"/>
        <v>#N/A</v>
      </c>
      <c r="V37" s="663" t="s">
        <v>18</v>
      </c>
      <c r="W37" s="664" t="e">
        <f t="shared" si="14"/>
        <v>#N/A</v>
      </c>
      <c r="X37" s="665"/>
      <c r="Y37" s="3414"/>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2" t="s">
        <v>1695</v>
      </c>
      <c r="Q38" s="1262" t="str">
        <f t="shared" si="11"/>
        <v>物业管理</v>
      </c>
      <c r="R38" s="666" t="s">
        <v>18</v>
      </c>
      <c r="S38" s="667">
        <f t="shared" si="12"/>
        <v>100</v>
      </c>
      <c r="T38" s="666" t="s">
        <v>18</v>
      </c>
      <c r="U38" s="667">
        <f t="shared" si="13"/>
        <v>100</v>
      </c>
      <c r="V38" s="666" t="s">
        <v>18</v>
      </c>
      <c r="W38" s="667">
        <f t="shared" si="14"/>
        <v>100</v>
      </c>
      <c r="X38" s="1264"/>
      <c r="Y38" s="3414"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2"/>
      <c r="Q41" s="531"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2"/>
      <c r="Q44" s="530">
        <f t="shared" si="11"/>
        <v>111</v>
      </c>
      <c r="R44" s="663" t="s">
        <v>18</v>
      </c>
      <c r="S44" s="664">
        <f t="shared" si="12"/>
        <v>100</v>
      </c>
      <c r="T44" s="663" t="s">
        <v>18</v>
      </c>
      <c r="U44" s="664">
        <f t="shared" si="13"/>
        <v>100</v>
      </c>
      <c r="V44" s="663" t="s">
        <v>18</v>
      </c>
      <c r="W44" s="664">
        <f t="shared" si="14"/>
        <v>100</v>
      </c>
      <c r="X44" s="665"/>
      <c r="Y44" s="341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416" t="str">
        <f>A47</f>
        <v>成交单价（元/平方米）</v>
      </c>
      <c r="Q47" s="3416"/>
      <c r="R47" s="3377">
        <f>E47</f>
        <v>0</v>
      </c>
      <c r="S47" s="3377"/>
      <c r="T47" s="3377">
        <f>G47</f>
        <v>0</v>
      </c>
      <c r="U47" s="3377"/>
      <c r="V47" s="3377">
        <f>I47</f>
        <v>0</v>
      </c>
      <c r="W47" s="3377"/>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6" t="str">
        <f>A48</f>
        <v>比较价值（元/平方米）</v>
      </c>
      <c r="Q48" s="341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估价对象为北京市房地产，为所有。根据《国有土地使用证》[]，估价对象（分摊）出让国有建设用地使用权面积为0平方米，建筑面积为84.9平方米。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估价对象为北京市房地产,属开发建设的，该项目尚在开发建设中。根据《国有土地使用证》[]，估价对象（分摊）出让国有建设用地使用权面积为0平方米，规划建筑面积为84.9平方米。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84.9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448" t="s">
        <v>1774</v>
      </c>
      <c r="Q4" s="3449"/>
      <c r="R4" s="3443" t="s">
        <v>1770</v>
      </c>
      <c r="S4" s="3444"/>
      <c r="T4" s="3443" t="s">
        <v>1771</v>
      </c>
      <c r="U4" s="3444"/>
      <c r="V4" s="3452" t="s">
        <v>1772</v>
      </c>
      <c r="W4" s="3452"/>
      <c r="X4" s="1808"/>
      <c r="Y4" s="3443" t="s">
        <v>1774</v>
      </c>
      <c r="Z4" s="3444"/>
      <c r="AA4" s="3442" t="s">
        <v>1770</v>
      </c>
      <c r="AB4" s="3442" t="s">
        <v>1771</v>
      </c>
      <c r="AC4" s="3445" t="s">
        <v>1772</v>
      </c>
    </row>
    <row r="5" spans="1:29" ht="15">
      <c r="A5" s="348"/>
      <c r="B5" s="349"/>
      <c r="C5" s="3386" t="s">
        <v>1672</v>
      </c>
      <c r="D5" s="3387"/>
      <c r="E5" s="3441" t="s">
        <v>1673</v>
      </c>
      <c r="F5" s="3385"/>
      <c r="G5" s="3386" t="s">
        <v>1674</v>
      </c>
      <c r="H5" s="3387"/>
      <c r="I5" s="3386" t="s">
        <v>1675</v>
      </c>
      <c r="J5" s="3387"/>
      <c r="K5" s="537"/>
      <c r="L5" s="2486"/>
      <c r="M5" s="2487"/>
      <c r="N5" s="2487"/>
      <c r="O5" s="2487"/>
      <c r="P5" s="3450"/>
      <c r="Q5" s="3401"/>
      <c r="R5" s="3382"/>
      <c r="S5" s="3383"/>
      <c r="T5" s="3382"/>
      <c r="U5" s="3383"/>
      <c r="V5" s="3377"/>
      <c r="W5" s="3377"/>
      <c r="X5" s="1264"/>
      <c r="Y5" s="3382"/>
      <c r="Z5" s="3383"/>
      <c r="AA5" s="3375"/>
      <c r="AB5" s="3375"/>
      <c r="AC5" s="3446"/>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51"/>
      <c r="Q6" s="3403"/>
      <c r="R6" s="3382"/>
      <c r="S6" s="3383"/>
      <c r="T6" s="3404"/>
      <c r="U6" s="3405"/>
      <c r="V6" s="3377"/>
      <c r="W6" s="3377"/>
      <c r="X6" s="1264"/>
      <c r="Y6" s="3404"/>
      <c r="Z6" s="3405"/>
      <c r="AA6" s="3376"/>
      <c r="AB6" s="3376"/>
      <c r="AC6" s="3447"/>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3"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3" t="s">
        <v>1682</v>
      </c>
      <c r="Q8" s="3379"/>
      <c r="R8" s="663" t="s">
        <v>14</v>
      </c>
      <c r="S8" s="664">
        <f t="shared" si="0"/>
        <v>100</v>
      </c>
      <c r="T8" s="663" t="s">
        <v>14</v>
      </c>
      <c r="U8" s="664">
        <f t="shared" si="1"/>
        <v>100</v>
      </c>
      <c r="V8" s="663" t="s">
        <v>14</v>
      </c>
      <c r="W8" s="664">
        <f t="shared" si="2"/>
        <v>100</v>
      </c>
      <c r="X8" s="665"/>
      <c r="Y8" s="3378" t="s">
        <v>1682</v>
      </c>
      <c r="Z8" s="3379"/>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7" t="s">
        <v>1690</v>
      </c>
      <c r="Q15" s="1262" t="str">
        <f t="shared" si="6"/>
        <v>办公集聚程度</v>
      </c>
      <c r="R15" s="666" t="s">
        <v>14</v>
      </c>
      <c r="S15" s="667">
        <f t="shared" si="0"/>
        <v>100</v>
      </c>
      <c r="T15" s="666" t="s">
        <v>14</v>
      </c>
      <c r="U15" s="667">
        <f t="shared" si="1"/>
        <v>100</v>
      </c>
      <c r="V15" s="666" t="s">
        <v>14</v>
      </c>
      <c r="W15" s="667">
        <f t="shared" si="2"/>
        <v>100</v>
      </c>
      <c r="X15" s="1264"/>
      <c r="Y15" s="3409"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8"/>
      <c r="Q16" s="1262"/>
      <c r="R16" s="666"/>
      <c r="S16" s="667"/>
      <c r="T16" s="666"/>
      <c r="U16" s="667"/>
      <c r="V16" s="666"/>
      <c r="W16" s="667"/>
      <c r="X16" s="1264"/>
      <c r="Y16" s="3410"/>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8"/>
      <c r="Q18" s="1262"/>
      <c r="R18" s="666"/>
      <c r="S18" s="667"/>
      <c r="T18" s="666"/>
      <c r="U18" s="667"/>
      <c r="V18" s="666"/>
      <c r="W18" s="667"/>
      <c r="X18" s="1264"/>
      <c r="Y18" s="3410"/>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8"/>
      <c r="Q20" s="1262"/>
      <c r="R20" s="666"/>
      <c r="S20" s="667"/>
      <c r="T20" s="666"/>
      <c r="U20" s="667"/>
      <c r="V20" s="666"/>
      <c r="W20" s="667"/>
      <c r="X20" s="1264"/>
      <c r="Y20" s="3410"/>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8"/>
      <c r="Q22" s="1262"/>
      <c r="R22" s="666"/>
      <c r="S22" s="667"/>
      <c r="T22" s="666"/>
      <c r="U22" s="667"/>
      <c r="V22" s="666"/>
      <c r="W22" s="667"/>
      <c r="X22" s="1264"/>
      <c r="Y22" s="3410"/>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8"/>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8"/>
      <c r="Q24" s="1262"/>
      <c r="R24" s="666"/>
      <c r="S24" s="667"/>
      <c r="T24" s="666"/>
      <c r="U24" s="667"/>
      <c r="V24" s="666"/>
      <c r="W24" s="667"/>
      <c r="X24" s="1264"/>
      <c r="Y24" s="3410"/>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8"/>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8"/>
      <c r="Q26" s="1262"/>
      <c r="R26" s="666"/>
      <c r="S26" s="667"/>
      <c r="T26" s="666"/>
      <c r="U26" s="667"/>
      <c r="V26" s="666"/>
      <c r="W26" s="667"/>
      <c r="X26" s="1264"/>
      <c r="Y26" s="3410"/>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8"/>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8"/>
      <c r="Q28" s="530" t="str">
        <f t="shared" si="11"/>
        <v>朝向</v>
      </c>
      <c r="R28" s="663" t="s">
        <v>14</v>
      </c>
      <c r="S28" s="664">
        <f>F28</f>
        <v>100</v>
      </c>
      <c r="T28" s="663" t="s">
        <v>14</v>
      </c>
      <c r="U28" s="664">
        <f>H28</f>
        <v>100</v>
      </c>
      <c r="V28" s="663" t="s">
        <v>14</v>
      </c>
      <c r="W28" s="664">
        <f>J28</f>
        <v>100</v>
      </c>
      <c r="X28" s="665"/>
      <c r="Y28" s="341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8"/>
      <c r="Q29" s="1262">
        <f t="shared" si="11"/>
        <v>111</v>
      </c>
      <c r="R29" s="666" t="s">
        <v>14</v>
      </c>
      <c r="S29" s="667">
        <f t="shared" ref="S29:S47" si="12">F29</f>
        <v>100</v>
      </c>
      <c r="T29" s="666" t="s">
        <v>14</v>
      </c>
      <c r="U29" s="667">
        <f t="shared" ref="U29:U47" si="13">H29</f>
        <v>100</v>
      </c>
      <c r="V29" s="666" t="s">
        <v>14</v>
      </c>
      <c r="W29" s="667">
        <f t="shared" ref="W29:W47" si="14">J29</f>
        <v>100</v>
      </c>
      <c r="X29" s="1264"/>
      <c r="Y29" s="341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8"/>
      <c r="Q32" s="1262">
        <f t="shared" si="11"/>
        <v>111</v>
      </c>
      <c r="R32" s="666" t="s">
        <v>14</v>
      </c>
      <c r="S32" s="667">
        <f t="shared" si="12"/>
        <v>100</v>
      </c>
      <c r="T32" s="666" t="s">
        <v>14</v>
      </c>
      <c r="U32" s="667">
        <f t="shared" si="13"/>
        <v>100</v>
      </c>
      <c r="V32" s="666" t="s">
        <v>14</v>
      </c>
      <c r="W32" s="667">
        <f t="shared" si="14"/>
        <v>100</v>
      </c>
      <c r="X32" s="1264"/>
      <c r="Y32" s="3410"/>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1" t="s">
        <v>1695</v>
      </c>
      <c r="Q33" s="1262" t="str">
        <f t="shared" si="11"/>
        <v>建筑类型</v>
      </c>
      <c r="R33" s="666" t="s">
        <v>14</v>
      </c>
      <c r="S33" s="667">
        <f t="shared" si="12"/>
        <v>100</v>
      </c>
      <c r="T33" s="666" t="s">
        <v>14</v>
      </c>
      <c r="U33" s="667">
        <f t="shared" si="13"/>
        <v>100</v>
      </c>
      <c r="V33" s="666" t="s">
        <v>14</v>
      </c>
      <c r="W33" s="667">
        <f t="shared" si="14"/>
        <v>100</v>
      </c>
      <c r="X33" s="1264"/>
      <c r="Y33" s="3414"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8" t="s">
        <v>14</v>
      </c>
      <c r="S34" s="669" t="e">
        <f t="shared" si="12"/>
        <v>#N/A</v>
      </c>
      <c r="T34" s="668" t="s">
        <v>14</v>
      </c>
      <c r="U34" s="669" t="e">
        <f t="shared" si="13"/>
        <v>#N/A</v>
      </c>
      <c r="V34" s="668" t="s">
        <v>14</v>
      </c>
      <c r="W34" s="669" t="e">
        <f t="shared" si="14"/>
        <v>#N/A</v>
      </c>
      <c r="X34" s="670"/>
      <c r="Y34" s="3414"/>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2" t="str">
        <f t="shared" si="11"/>
        <v>成新度</v>
      </c>
      <c r="R37" s="666" t="s">
        <v>14</v>
      </c>
      <c r="S37" s="667" t="e">
        <f t="shared" si="12"/>
        <v>#N/A</v>
      </c>
      <c r="T37" s="666" t="s">
        <v>14</v>
      </c>
      <c r="U37" s="667" t="e">
        <f t="shared" si="13"/>
        <v>#N/A</v>
      </c>
      <c r="V37" s="666" t="s">
        <v>14</v>
      </c>
      <c r="W37" s="667" t="e">
        <f t="shared" si="14"/>
        <v>#N/A</v>
      </c>
      <c r="X37" s="1264"/>
      <c r="Y37" s="3414"/>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3" t="s">
        <v>14</v>
      </c>
      <c r="S38" s="664">
        <f t="shared" si="12"/>
        <v>100</v>
      </c>
      <c r="T38" s="663" t="s">
        <v>14</v>
      </c>
      <c r="U38" s="664">
        <f t="shared" si="13"/>
        <v>100</v>
      </c>
      <c r="V38" s="663" t="s">
        <v>14</v>
      </c>
      <c r="W38" s="664">
        <f t="shared" si="14"/>
        <v>100</v>
      </c>
      <c r="X38" s="665"/>
      <c r="Y38" s="341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1695</v>
      </c>
      <c r="Q39" s="1262" t="str">
        <f t="shared" si="11"/>
        <v>物业管理</v>
      </c>
      <c r="R39" s="666" t="s">
        <v>14</v>
      </c>
      <c r="S39" s="667">
        <f t="shared" si="12"/>
        <v>100</v>
      </c>
      <c r="T39" s="666" t="s">
        <v>14</v>
      </c>
      <c r="U39" s="667">
        <f t="shared" si="13"/>
        <v>100</v>
      </c>
      <c r="V39" s="666" t="s">
        <v>14</v>
      </c>
      <c r="W39" s="667">
        <f t="shared" si="14"/>
        <v>100</v>
      </c>
      <c r="X39" s="1264"/>
      <c r="Y39" s="3414"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2" t="str">
        <f t="shared" si="11"/>
        <v>内部装修</v>
      </c>
      <c r="R43" s="666" t="s">
        <v>14</v>
      </c>
      <c r="S43" s="667">
        <f t="shared" si="12"/>
        <v>100</v>
      </c>
      <c r="T43" s="666" t="s">
        <v>14</v>
      </c>
      <c r="U43" s="667">
        <f t="shared" si="13"/>
        <v>100</v>
      </c>
      <c r="V43" s="666" t="s">
        <v>14</v>
      </c>
      <c r="W43" s="667">
        <f t="shared" si="14"/>
        <v>100</v>
      </c>
      <c r="X43" s="1264"/>
      <c r="Y43" s="3414"/>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3" t="s">
        <v>14</v>
      </c>
      <c r="S45" s="664">
        <f t="shared" si="12"/>
        <v>100</v>
      </c>
      <c r="T45" s="663" t="s">
        <v>14</v>
      </c>
      <c r="U45" s="664">
        <f t="shared" si="13"/>
        <v>100</v>
      </c>
      <c r="V45" s="663" t="s">
        <v>14</v>
      </c>
      <c r="W45" s="664">
        <f t="shared" si="14"/>
        <v>100</v>
      </c>
      <c r="X45" s="665"/>
      <c r="Y45" s="341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2">
        <f t="shared" si="11"/>
        <v>111</v>
      </c>
      <c r="R47" s="666" t="s">
        <v>14</v>
      </c>
      <c r="S47" s="667">
        <f t="shared" si="12"/>
        <v>100</v>
      </c>
      <c r="T47" s="666" t="s">
        <v>14</v>
      </c>
      <c r="U47" s="667">
        <f t="shared" si="13"/>
        <v>100</v>
      </c>
      <c r="V47" s="666" t="s">
        <v>14</v>
      </c>
      <c r="W47" s="667">
        <f t="shared" si="14"/>
        <v>100</v>
      </c>
      <c r="X47" s="1264"/>
      <c r="Y47" s="3415"/>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93" t="str">
        <f>A48</f>
        <v>成交单价（元/平方米）</v>
      </c>
      <c r="Q48" s="3416"/>
      <c r="R48" s="3377">
        <f>E48</f>
        <v>0</v>
      </c>
      <c r="S48" s="3377"/>
      <c r="T48" s="3377">
        <f>G48</f>
        <v>0</v>
      </c>
      <c r="U48" s="3377"/>
      <c r="V48" s="3377">
        <f>I48</f>
        <v>0</v>
      </c>
      <c r="W48" s="3377"/>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3" t="str">
        <f>A49</f>
        <v>比较价值（元/平方米）</v>
      </c>
      <c r="Q49" s="341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84.9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859"/>
      <c r="M4" s="860"/>
      <c r="N4" s="860"/>
      <c r="O4" s="860"/>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859"/>
      <c r="M5" s="860"/>
      <c r="N5" s="860"/>
      <c r="O5" s="860"/>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859"/>
      <c r="M6" s="860"/>
      <c r="N6" s="860"/>
      <c r="O6" s="860"/>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8" t="s">
        <v>1682</v>
      </c>
      <c r="Q8" s="3379"/>
      <c r="R8" s="663" t="s">
        <v>14</v>
      </c>
      <c r="S8" s="664">
        <f t="shared" si="0"/>
        <v>100</v>
      </c>
      <c r="T8" s="663" t="s">
        <v>14</v>
      </c>
      <c r="U8" s="664">
        <f t="shared" si="1"/>
        <v>100</v>
      </c>
      <c r="V8" s="663" t="s">
        <v>14</v>
      </c>
      <c r="W8" s="664">
        <f t="shared" si="2"/>
        <v>100</v>
      </c>
      <c r="X8" s="665"/>
      <c r="Y8" s="3378" t="s">
        <v>1682</v>
      </c>
      <c r="Z8" s="3379"/>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6"/>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0"/>
      <c r="Q16" s="1262"/>
      <c r="R16" s="666"/>
      <c r="S16" s="667"/>
      <c r="T16" s="666"/>
      <c r="U16" s="667"/>
      <c r="V16" s="666"/>
      <c r="W16" s="667"/>
      <c r="X16" s="1264"/>
      <c r="Y16" s="3410"/>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0"/>
      <c r="Q18" s="1262"/>
      <c r="R18" s="666"/>
      <c r="S18" s="667"/>
      <c r="T18" s="666"/>
      <c r="U18" s="667"/>
      <c r="V18" s="666"/>
      <c r="W18" s="667"/>
      <c r="X18" s="1264"/>
      <c r="Y18" s="3410"/>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0"/>
      <c r="Q20" s="1262"/>
      <c r="R20" s="666"/>
      <c r="S20" s="667"/>
      <c r="T20" s="666"/>
      <c r="U20" s="667"/>
      <c r="V20" s="666"/>
      <c r="W20" s="667"/>
      <c r="X20" s="1264"/>
      <c r="Y20" s="3410"/>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0"/>
      <c r="Q27" s="530">
        <f t="shared" si="11"/>
        <v>111</v>
      </c>
      <c r="R27" s="663" t="s">
        <v>14</v>
      </c>
      <c r="S27" s="664">
        <f>F27</f>
        <v>100</v>
      </c>
      <c r="T27" s="663" t="s">
        <v>14</v>
      </c>
      <c r="U27" s="664">
        <f>H27</f>
        <v>100</v>
      </c>
      <c r="V27" s="663" t="s">
        <v>14</v>
      </c>
      <c r="W27" s="664">
        <f>J27</f>
        <v>100</v>
      </c>
      <c r="X27" s="665"/>
      <c r="Y27" s="341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414"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4"/>
      <c r="Q30" s="531"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4"/>
      <c r="Q34" s="530" t="str">
        <f t="shared" si="11"/>
        <v>物业管理</v>
      </c>
      <c r="R34" s="663" t="s">
        <v>14</v>
      </c>
      <c r="S34" s="664">
        <f t="shared" si="12"/>
        <v>100</v>
      </c>
      <c r="T34" s="663" t="s">
        <v>14</v>
      </c>
      <c r="U34" s="664">
        <f t="shared" si="13"/>
        <v>100</v>
      </c>
      <c r="V34" s="663" t="s">
        <v>14</v>
      </c>
      <c r="W34" s="664">
        <f t="shared" si="14"/>
        <v>100</v>
      </c>
      <c r="X34" s="665"/>
      <c r="Y34" s="341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4" t="s">
        <v>1695</v>
      </c>
      <c r="Q35" s="1262" t="str">
        <f t="shared" si="11"/>
        <v>市政基础设施</v>
      </c>
      <c r="R35" s="666" t="s">
        <v>14</v>
      </c>
      <c r="S35" s="667">
        <f t="shared" si="12"/>
        <v>100</v>
      </c>
      <c r="T35" s="666" t="s">
        <v>14</v>
      </c>
      <c r="U35" s="667">
        <f t="shared" si="13"/>
        <v>100</v>
      </c>
      <c r="V35" s="666" t="s">
        <v>14</v>
      </c>
      <c r="W35" s="667">
        <f t="shared" si="14"/>
        <v>100</v>
      </c>
      <c r="X35" s="1264"/>
      <c r="Y35" s="3414"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4"/>
      <c r="Q38" s="531">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416" t="str">
        <f>A41</f>
        <v>成交单价（元/平方米）</v>
      </c>
      <c r="Q41" s="3416"/>
      <c r="R41" s="3377">
        <f>E41</f>
        <v>0</v>
      </c>
      <c r="S41" s="3377"/>
      <c r="T41" s="3377">
        <f>G41</f>
        <v>0</v>
      </c>
      <c r="U41" s="3377"/>
      <c r="V41" s="3377">
        <f>I41</f>
        <v>0</v>
      </c>
      <c r="W41" s="3377"/>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10"/>
      <c r="Q15" s="1262"/>
      <c r="R15" s="666"/>
      <c r="S15" s="667"/>
      <c r="T15" s="666"/>
      <c r="U15" s="667"/>
      <c r="V15" s="666"/>
      <c r="W15" s="667"/>
      <c r="X15" s="1264"/>
      <c r="Y15" s="3410"/>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0"/>
      <c r="Q17" s="1262"/>
      <c r="R17" s="666"/>
      <c r="S17" s="667"/>
      <c r="T17" s="666"/>
      <c r="U17" s="667"/>
      <c r="V17" s="666"/>
      <c r="W17" s="667"/>
      <c r="X17" s="1264"/>
      <c r="Y17" s="3410"/>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10"/>
      <c r="Q19" s="1262"/>
      <c r="R19" s="666"/>
      <c r="S19" s="667"/>
      <c r="T19" s="666"/>
      <c r="U19" s="667"/>
      <c r="V19" s="666"/>
      <c r="W19" s="667"/>
      <c r="X19" s="1264"/>
      <c r="Y19" s="3410"/>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0"/>
      <c r="Q21" s="1262"/>
      <c r="R21" s="666"/>
      <c r="S21" s="667"/>
      <c r="T21" s="666"/>
      <c r="U21" s="667"/>
      <c r="V21" s="666"/>
      <c r="W21" s="667"/>
      <c r="X21" s="1264"/>
      <c r="Y21" s="3410"/>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14"/>
      <c r="Q27" s="531"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3" t="s">
        <v>14</v>
      </c>
      <c r="S31" s="664" t="e">
        <f t="shared" si="12"/>
        <v>#N/A</v>
      </c>
      <c r="T31" s="663" t="s">
        <v>14</v>
      </c>
      <c r="U31" s="664" t="e">
        <f t="shared" si="13"/>
        <v>#N/A</v>
      </c>
      <c r="V31" s="663" t="s">
        <v>14</v>
      </c>
      <c r="W31" s="664" t="e">
        <f t="shared" si="14"/>
        <v>#N/A</v>
      </c>
      <c r="X31" s="665"/>
      <c r="Y31" s="3414"/>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1695</v>
      </c>
      <c r="Q32" s="1262" t="str">
        <f t="shared" si="11"/>
        <v>车位类型</v>
      </c>
      <c r="R32" s="666" t="s">
        <v>14</v>
      </c>
      <c r="S32" s="667">
        <f t="shared" si="12"/>
        <v>100</v>
      </c>
      <c r="T32" s="666" t="s">
        <v>14</v>
      </c>
      <c r="U32" s="667">
        <f t="shared" si="13"/>
        <v>100</v>
      </c>
      <c r="V32" s="666" t="s">
        <v>14</v>
      </c>
      <c r="W32" s="667">
        <f t="shared" si="14"/>
        <v>100</v>
      </c>
      <c r="X32" s="1264"/>
      <c r="Y32" s="3414"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416" t="str">
        <f>A37</f>
        <v>成交单价</v>
      </c>
      <c r="Q37" s="3416"/>
      <c r="R37" s="3377">
        <f>E37</f>
        <v>0</v>
      </c>
      <c r="S37" s="3377"/>
      <c r="T37" s="3377">
        <f>G37</f>
        <v>0</v>
      </c>
      <c r="U37" s="3377"/>
      <c r="V37" s="3377">
        <f>I37</f>
        <v>0</v>
      </c>
      <c r="W37" s="3377"/>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6" t="str">
        <f>A38</f>
        <v>比较价值（元/平方米）</v>
      </c>
      <c r="Q38" s="341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417" t="str">
        <f>A39</f>
        <v>估价对象XX用房的比较价值（楼面单价，元/平方米）</v>
      </c>
      <c r="Q39" s="341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0"/>
      <c r="Q15" s="1262"/>
      <c r="R15" s="666"/>
      <c r="S15" s="667"/>
      <c r="T15" s="666"/>
      <c r="U15" s="667"/>
      <c r="V15" s="666"/>
      <c r="W15" s="667"/>
      <c r="X15" s="1264"/>
      <c r="Y15" s="3410"/>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0"/>
      <c r="Q17" s="1262"/>
      <c r="R17" s="666"/>
      <c r="S17" s="667"/>
      <c r="T17" s="666"/>
      <c r="U17" s="667"/>
      <c r="V17" s="666"/>
      <c r="W17" s="667"/>
      <c r="X17" s="1264"/>
      <c r="Y17" s="3410"/>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10"/>
      <c r="Q19" s="1262"/>
      <c r="R19" s="666"/>
      <c r="S19" s="667"/>
      <c r="T19" s="666"/>
      <c r="U19" s="667"/>
      <c r="V19" s="666"/>
      <c r="W19" s="667"/>
      <c r="X19" s="1264"/>
      <c r="Y19" s="3410"/>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0"/>
      <c r="Q21" s="1262"/>
      <c r="R21" s="666"/>
      <c r="S21" s="667"/>
      <c r="T21" s="666"/>
      <c r="U21" s="667"/>
      <c r="V21" s="666"/>
      <c r="W21" s="667"/>
      <c r="X21" s="1264"/>
      <c r="Y21" s="3410"/>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14"/>
      <c r="Q31" s="530" t="str">
        <f t="shared" si="11"/>
        <v>是否封闭</v>
      </c>
      <c r="R31" s="663" t="s">
        <v>14</v>
      </c>
      <c r="S31" s="664">
        <f t="shared" si="12"/>
        <v>100</v>
      </c>
      <c r="T31" s="663" t="s">
        <v>14</v>
      </c>
      <c r="U31" s="664">
        <f t="shared" si="13"/>
        <v>100</v>
      </c>
      <c r="V31" s="663" t="s">
        <v>14</v>
      </c>
      <c r="W31" s="664">
        <f t="shared" si="14"/>
        <v>100</v>
      </c>
      <c r="X31" s="665"/>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1695</v>
      </c>
      <c r="Q32" s="1262">
        <f t="shared" si="11"/>
        <v>111</v>
      </c>
      <c r="R32" s="666" t="s">
        <v>14</v>
      </c>
      <c r="S32" s="667">
        <f t="shared" si="12"/>
        <v>100</v>
      </c>
      <c r="T32" s="666" t="s">
        <v>14</v>
      </c>
      <c r="U32" s="667">
        <f t="shared" si="13"/>
        <v>100</v>
      </c>
      <c r="V32" s="666" t="s">
        <v>14</v>
      </c>
      <c r="W32" s="667">
        <f t="shared" si="14"/>
        <v>100</v>
      </c>
      <c r="X32" s="1264"/>
      <c r="Y32" s="3414"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416" t="str">
        <f>A35</f>
        <v>成交单价（元/平方米）</v>
      </c>
      <c r="Q35" s="3416"/>
      <c r="R35" s="3377">
        <f>E35</f>
        <v>0</v>
      </c>
      <c r="S35" s="3377"/>
      <c r="T35" s="3377">
        <f>G35</f>
        <v>0</v>
      </c>
      <c r="U35" s="3377"/>
      <c r="V35" s="3377">
        <f>I35</f>
        <v>0</v>
      </c>
      <c r="W35" s="3377"/>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6" t="str">
        <f>A36</f>
        <v>比较价值（元/平方米）</v>
      </c>
      <c r="Q36" s="341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417" t="str">
        <f>A37</f>
        <v>估价对象XX用房的比较价值（楼面单价，元/平方米）</v>
      </c>
      <c r="Q37" s="341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16"/>
      <c r="Q12" s="530" t="str">
        <f t="shared" si="6"/>
        <v>配建</v>
      </c>
      <c r="R12" s="663" t="s">
        <v>14</v>
      </c>
      <c r="S12" s="664">
        <f t="shared" si="0"/>
        <v>100</v>
      </c>
      <c r="T12" s="663" t="s">
        <v>14</v>
      </c>
      <c r="U12" s="664">
        <f t="shared" si="1"/>
        <v>100</v>
      </c>
      <c r="V12" s="663" t="s">
        <v>14</v>
      </c>
      <c r="W12" s="664">
        <f t="shared" si="2"/>
        <v>100</v>
      </c>
      <c r="X12" s="665"/>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09" t="s">
        <v>1690</v>
      </c>
      <c r="Q15" s="1262" t="str">
        <f t="shared" si="6"/>
        <v>居住社区成熟度</v>
      </c>
      <c r="R15" s="666" t="s">
        <v>14</v>
      </c>
      <c r="S15" s="667">
        <f t="shared" si="0"/>
        <v>100</v>
      </c>
      <c r="T15" s="666" t="s">
        <v>14</v>
      </c>
      <c r="U15" s="667">
        <f t="shared" si="1"/>
        <v>100</v>
      </c>
      <c r="V15" s="666" t="s">
        <v>14</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10"/>
      <c r="Q19" s="1262" t="str">
        <f>B19</f>
        <v>办公集聚程度</v>
      </c>
      <c r="R19" s="666" t="s">
        <v>14</v>
      </c>
      <c r="S19" s="667">
        <f>F19</f>
        <v>100</v>
      </c>
      <c r="T19" s="666" t="s">
        <v>14</v>
      </c>
      <c r="U19" s="667">
        <f>H19</f>
        <v>100</v>
      </c>
      <c r="V19" s="666" t="s">
        <v>14</v>
      </c>
      <c r="W19" s="667">
        <f>J19</f>
        <v>100</v>
      </c>
      <c r="X19" s="1264"/>
      <c r="Y19" s="341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10"/>
      <c r="Q20" s="1262"/>
      <c r="R20" s="666"/>
      <c r="S20" s="667"/>
      <c r="T20" s="666"/>
      <c r="U20" s="667"/>
      <c r="V20" s="666"/>
      <c r="W20" s="667"/>
      <c r="X20" s="1264"/>
      <c r="Y20" s="3410"/>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0"/>
      <c r="Q24" s="1262"/>
      <c r="R24" s="666"/>
      <c r="S24" s="667"/>
      <c r="T24" s="666"/>
      <c r="U24" s="667"/>
      <c r="V24" s="666"/>
      <c r="W24" s="667"/>
      <c r="X24" s="1264"/>
      <c r="Y24" s="3410"/>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10"/>
      <c r="Q25" s="1262" t="str">
        <f t="shared" si="8"/>
        <v>自然及人文环境状况</v>
      </c>
      <c r="R25" s="666" t="s">
        <v>14</v>
      </c>
      <c r="S25" s="667">
        <f>F25</f>
        <v>100</v>
      </c>
      <c r="T25" s="666" t="s">
        <v>14</v>
      </c>
      <c r="U25" s="667">
        <f>H25</f>
        <v>100</v>
      </c>
      <c r="V25" s="666" t="s">
        <v>14</v>
      </c>
      <c r="W25" s="667">
        <f>J25</f>
        <v>100</v>
      </c>
      <c r="X25" s="1264"/>
      <c r="Y25" s="341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10"/>
      <c r="Q26" s="1262"/>
      <c r="R26" s="666"/>
      <c r="S26" s="667"/>
      <c r="T26" s="666"/>
      <c r="U26" s="667"/>
      <c r="V26" s="666"/>
      <c r="W26" s="667"/>
      <c r="X26" s="1264"/>
      <c r="Y26" s="3410"/>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10"/>
      <c r="Q27" s="530" t="str">
        <f t="shared" si="8"/>
        <v>公共配套设施</v>
      </c>
      <c r="R27" s="663" t="s">
        <v>14</v>
      </c>
      <c r="S27" s="664">
        <f>F27</f>
        <v>100</v>
      </c>
      <c r="T27" s="663" t="s">
        <v>14</v>
      </c>
      <c r="U27" s="664">
        <f>H27</f>
        <v>100</v>
      </c>
      <c r="V27" s="663" t="s">
        <v>14</v>
      </c>
      <c r="W27" s="664">
        <f>J27</f>
        <v>100</v>
      </c>
      <c r="X27" s="665"/>
      <c r="Y27" s="341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10"/>
      <c r="Q28" s="530"/>
      <c r="R28" s="663"/>
      <c r="S28" s="664"/>
      <c r="T28" s="663"/>
      <c r="U28" s="664"/>
      <c r="V28" s="663"/>
      <c r="W28" s="664"/>
      <c r="X28" s="665"/>
      <c r="Y28" s="3410"/>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10"/>
      <c r="Q29" s="530"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10"/>
      <c r="Q30" s="530"/>
      <c r="R30" s="663"/>
      <c r="S30" s="664"/>
      <c r="T30" s="663"/>
      <c r="U30" s="664"/>
      <c r="V30" s="663"/>
      <c r="W30" s="664"/>
      <c r="X30" s="665"/>
      <c r="Y30" s="3410"/>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0"/>
      <c r="Q33" s="1262"/>
      <c r="R33" s="666"/>
      <c r="S33" s="667"/>
      <c r="T33" s="666"/>
      <c r="U33" s="667"/>
      <c r="V33" s="666"/>
      <c r="W33" s="667"/>
      <c r="X33" s="1264"/>
      <c r="Y33" s="3410"/>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10"/>
      <c r="Q35" s="1262">
        <f t="shared" si="8"/>
        <v>111</v>
      </c>
      <c r="R35" s="666" t="s">
        <v>14</v>
      </c>
      <c r="S35" s="667">
        <f t="shared" si="10"/>
        <v>100</v>
      </c>
      <c r="T35" s="666" t="s">
        <v>14</v>
      </c>
      <c r="U35" s="667">
        <f t="shared" si="11"/>
        <v>100</v>
      </c>
      <c r="V35" s="666" t="s">
        <v>14</v>
      </c>
      <c r="W35" s="667">
        <f t="shared" si="12"/>
        <v>100</v>
      </c>
      <c r="X35" s="1264"/>
      <c r="Y35" s="341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414"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14"/>
      <c r="Q37" s="1262">
        <f t="shared" si="8"/>
        <v>111</v>
      </c>
      <c r="R37" s="668" t="s">
        <v>14</v>
      </c>
      <c r="S37" s="669">
        <f t="shared" si="10"/>
        <v>100</v>
      </c>
      <c r="T37" s="668" t="s">
        <v>14</v>
      </c>
      <c r="U37" s="669">
        <f t="shared" si="11"/>
        <v>100</v>
      </c>
      <c r="V37" s="668" t="s">
        <v>14</v>
      </c>
      <c r="W37" s="669">
        <f t="shared" si="12"/>
        <v>100</v>
      </c>
      <c r="X37" s="670"/>
      <c r="Y37" s="3414"/>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14"/>
      <c r="Q38" s="1262" t="str">
        <f>B38</f>
        <v>宗地面积</v>
      </c>
      <c r="R38" s="666" t="s">
        <v>14</v>
      </c>
      <c r="S38" s="667" t="e">
        <f t="shared" si="10"/>
        <v>#N/A</v>
      </c>
      <c r="T38" s="666" t="s">
        <v>14</v>
      </c>
      <c r="U38" s="667" t="e">
        <f t="shared" si="11"/>
        <v>#N/A</v>
      </c>
      <c r="V38" s="666" t="s">
        <v>14</v>
      </c>
      <c r="W38" s="667" t="e">
        <f t="shared" si="12"/>
        <v>#N/A</v>
      </c>
      <c r="X38" s="1264"/>
      <c r="Y38" s="3414"/>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4"/>
      <c r="Q41" s="1262" t="str">
        <f t="shared" si="14"/>
        <v>宗地开发程度</v>
      </c>
      <c r="R41" s="663" t="s">
        <v>14</v>
      </c>
      <c r="S41" s="664">
        <f t="shared" si="10"/>
        <v>100</v>
      </c>
      <c r="T41" s="663" t="s">
        <v>14</v>
      </c>
      <c r="U41" s="664">
        <f t="shared" si="11"/>
        <v>100</v>
      </c>
      <c r="V41" s="663" t="s">
        <v>14</v>
      </c>
      <c r="W41" s="664">
        <f t="shared" si="12"/>
        <v>100</v>
      </c>
      <c r="X41" s="665"/>
      <c r="Y41" s="3414"/>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4" t="s">
        <v>1695</v>
      </c>
      <c r="Q42" s="1262" t="str">
        <f t="shared" si="14"/>
        <v>工程地质条件</v>
      </c>
      <c r="R42" s="666" t="s">
        <v>14</v>
      </c>
      <c r="S42" s="667">
        <f t="shared" si="10"/>
        <v>100</v>
      </c>
      <c r="T42" s="666" t="s">
        <v>14</v>
      </c>
      <c r="U42" s="667">
        <f t="shared" si="11"/>
        <v>100</v>
      </c>
      <c r="V42" s="666" t="s">
        <v>14</v>
      </c>
      <c r="W42" s="667">
        <f t="shared" si="12"/>
        <v>100</v>
      </c>
      <c r="X42" s="1264"/>
      <c r="Y42" s="3414"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14"/>
      <c r="Q43" s="1262">
        <f t="shared" si="14"/>
        <v>111</v>
      </c>
      <c r="R43" s="666" t="s">
        <v>14</v>
      </c>
      <c r="S43" s="667">
        <f t="shared" si="10"/>
        <v>100</v>
      </c>
      <c r="T43" s="666" t="s">
        <v>14</v>
      </c>
      <c r="U43" s="667">
        <f t="shared" si="11"/>
        <v>100</v>
      </c>
      <c r="V43" s="666" t="s">
        <v>14</v>
      </c>
      <c r="W43" s="667">
        <f t="shared" si="12"/>
        <v>100</v>
      </c>
      <c r="X43" s="1264"/>
      <c r="Y43" s="341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14"/>
      <c r="Q44" s="1262">
        <f t="shared" si="14"/>
        <v>111</v>
      </c>
      <c r="R44" s="666" t="s">
        <v>14</v>
      </c>
      <c r="S44" s="667">
        <f t="shared" si="10"/>
        <v>100</v>
      </c>
      <c r="T44" s="666" t="s">
        <v>14</v>
      </c>
      <c r="U44" s="667">
        <f t="shared" si="11"/>
        <v>100</v>
      </c>
      <c r="V44" s="666" t="s">
        <v>14</v>
      </c>
      <c r="W44" s="667">
        <f t="shared" si="12"/>
        <v>100</v>
      </c>
      <c r="X44" s="1264"/>
      <c r="Y44" s="3414"/>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14"/>
      <c r="Q45" s="1262">
        <f t="shared" si="14"/>
        <v>111</v>
      </c>
      <c r="R45" s="668" t="s">
        <v>14</v>
      </c>
      <c r="S45" s="669">
        <f t="shared" si="10"/>
        <v>100</v>
      </c>
      <c r="T45" s="668" t="s">
        <v>14</v>
      </c>
      <c r="U45" s="669">
        <f t="shared" si="11"/>
        <v>100</v>
      </c>
      <c r="V45" s="668" t="s">
        <v>14</v>
      </c>
      <c r="W45" s="669">
        <f t="shared" si="12"/>
        <v>100</v>
      </c>
      <c r="X45" s="670"/>
      <c r="Y45" s="3414"/>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416" t="str">
        <f>A46</f>
        <v>成交单价</v>
      </c>
      <c r="Q46" s="3416"/>
      <c r="R46" s="3377">
        <f>E46</f>
        <v>0</v>
      </c>
      <c r="S46" s="3377"/>
      <c r="T46" s="3377">
        <f>G46</f>
        <v>0</v>
      </c>
      <c r="U46" s="3377"/>
      <c r="V46" s="3377">
        <f>I46</f>
        <v>0</v>
      </c>
      <c r="W46" s="3377"/>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416" t="str">
        <f>A47</f>
        <v>比较价值（元/平方米）</v>
      </c>
      <c r="Q47" s="3416"/>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417" t="str">
        <f>A48</f>
        <v>估价对象XX用房的比较价值（楼面单价，元/平方米）</v>
      </c>
      <c r="Q48" s="3418"/>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4"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84.9</v>
      </c>
      <c r="F56" s="832" t="e">
        <f t="shared" ref="F56:F64" si="15">ROUND(B56*E56/10000,0)</f>
        <v>#DIV/0!</v>
      </c>
      <c r="G56" s="3393"/>
      <c r="H56" s="341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84.9</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462" t="s">
        <v>1918</v>
      </c>
      <c r="D6" s="3463"/>
      <c r="E6" s="3464" t="s">
        <v>1918</v>
      </c>
      <c r="F6" s="3465"/>
      <c r="G6" s="3462" t="s">
        <v>1918</v>
      </c>
      <c r="H6" s="3463"/>
      <c r="I6" s="3462" t="s">
        <v>1918</v>
      </c>
      <c r="J6" s="3463"/>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0"/>
      <c r="Q20" s="1262"/>
      <c r="R20" s="666"/>
      <c r="S20" s="667"/>
      <c r="T20" s="666"/>
      <c r="U20" s="667"/>
      <c r="V20" s="666"/>
      <c r="W20" s="667"/>
      <c r="X20" s="1264"/>
      <c r="Y20" s="3410"/>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10"/>
      <c r="Q23" s="530" t="str">
        <f t="shared" si="8"/>
        <v>公共配套设施</v>
      </c>
      <c r="R23" s="663" t="s">
        <v>14</v>
      </c>
      <c r="S23" s="664">
        <f>F23</f>
        <v>100</v>
      </c>
      <c r="T23" s="663" t="s">
        <v>14</v>
      </c>
      <c r="U23" s="664">
        <f>H23</f>
        <v>100</v>
      </c>
      <c r="V23" s="663" t="s">
        <v>14</v>
      </c>
      <c r="W23" s="664">
        <f>J23</f>
        <v>100</v>
      </c>
      <c r="X23" s="665"/>
      <c r="Y23" s="341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10"/>
      <c r="Q24" s="530"/>
      <c r="R24" s="663"/>
      <c r="S24" s="664"/>
      <c r="T24" s="663"/>
      <c r="U24" s="664"/>
      <c r="V24" s="663"/>
      <c r="W24" s="664"/>
      <c r="X24" s="665"/>
      <c r="Y24" s="3410"/>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10"/>
      <c r="Q25" s="530"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10"/>
      <c r="Q26" s="530"/>
      <c r="R26" s="663"/>
      <c r="S26" s="664"/>
      <c r="T26" s="663"/>
      <c r="U26" s="664"/>
      <c r="V26" s="663"/>
      <c r="W26" s="664"/>
      <c r="X26" s="665"/>
      <c r="Y26" s="3410"/>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0"/>
      <c r="Q29" s="1262"/>
      <c r="R29" s="666"/>
      <c r="S29" s="667"/>
      <c r="T29" s="666"/>
      <c r="U29" s="667"/>
      <c r="V29" s="666"/>
      <c r="W29" s="667"/>
      <c r="X29" s="1264"/>
      <c r="Y29" s="3410"/>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414"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4"/>
      <c r="Q36" s="1262" t="str">
        <f t="shared" si="14"/>
        <v>宗地开发程度</v>
      </c>
      <c r="R36" s="663" t="s">
        <v>14</v>
      </c>
      <c r="S36" s="664">
        <f t="shared" si="10"/>
        <v>100</v>
      </c>
      <c r="T36" s="663" t="s">
        <v>14</v>
      </c>
      <c r="U36" s="664">
        <f t="shared" si="11"/>
        <v>100</v>
      </c>
      <c r="V36" s="663" t="s">
        <v>14</v>
      </c>
      <c r="W36" s="664">
        <f t="shared" si="12"/>
        <v>100</v>
      </c>
      <c r="X36" s="665"/>
      <c r="Y36" s="3414"/>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4" t="s">
        <v>1695</v>
      </c>
      <c r="Q37" s="1262" t="str">
        <f t="shared" si="14"/>
        <v>工程地质条件</v>
      </c>
      <c r="R37" s="666" t="s">
        <v>14</v>
      </c>
      <c r="S37" s="667">
        <f t="shared" si="10"/>
        <v>100</v>
      </c>
      <c r="T37" s="666" t="s">
        <v>14</v>
      </c>
      <c r="U37" s="667">
        <f t="shared" si="11"/>
        <v>100</v>
      </c>
      <c r="V37" s="666" t="s">
        <v>14</v>
      </c>
      <c r="W37" s="667">
        <f t="shared" si="12"/>
        <v>100</v>
      </c>
      <c r="X37" s="1264"/>
      <c r="Y37" s="3414"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416" t="str">
        <f>A41</f>
        <v>成交单价</v>
      </c>
      <c r="Q41" s="3416"/>
      <c r="R41" s="3377">
        <f>E41</f>
        <v>0</v>
      </c>
      <c r="S41" s="3377"/>
      <c r="T41" s="3377">
        <f>G41</f>
        <v>0</v>
      </c>
      <c r="U41" s="3377"/>
      <c r="V41" s="3377">
        <f>I41</f>
        <v>0</v>
      </c>
      <c r="W41" s="3377"/>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416" t="str">
        <f>A42</f>
        <v>比较价值（元/平方米）</v>
      </c>
      <c r="Q42" s="3416"/>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417" t="str">
        <f>A43</f>
        <v>估价对象XX用房的比较价值（楼面单价，元/平方米）</v>
      </c>
      <c r="Q43" s="3418"/>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94"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84.9</v>
      </c>
      <c r="F51" s="610" t="e">
        <f t="shared" ref="F51:F60" si="15">ROUND(B51*E51/10000,0)</f>
        <v>#DIV/0!</v>
      </c>
      <c r="G51" s="3393"/>
      <c r="H51" s="341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8" t="s">
        <v>2602</v>
      </c>
      <c r="B20" s="3491" t="s">
        <v>2623</v>
      </c>
      <c r="C20" s="2842" t="s">
        <v>2434</v>
      </c>
      <c r="D20" s="2843"/>
      <c r="E20" s="2844">
        <v>1</v>
      </c>
      <c r="F20" s="2845" t="s">
        <v>2435</v>
      </c>
      <c r="G20" s="2845"/>
    </row>
    <row r="21" spans="1:13" ht="19.5" customHeight="1">
      <c r="A21" s="3499"/>
      <c r="B21" s="3492"/>
      <c r="C21" s="2846" t="s">
        <v>2436</v>
      </c>
      <c r="D21" s="2847"/>
      <c r="E21" s="2848">
        <v>1</v>
      </c>
      <c r="F21" s="2845" t="s">
        <v>2437</v>
      </c>
      <c r="G21" s="2845"/>
    </row>
    <row r="22" spans="1:13" ht="19.5" customHeight="1">
      <c r="A22" s="3499"/>
      <c r="B22" s="3492"/>
      <c r="C22" s="2846" t="s">
        <v>2438</v>
      </c>
      <c r="D22" s="2847"/>
      <c r="E22" s="2848">
        <v>0.9</v>
      </c>
      <c r="F22" s="2845" t="s">
        <v>2439</v>
      </c>
      <c r="G22" s="2845"/>
    </row>
    <row r="23" spans="1:13" ht="19.5" customHeight="1">
      <c r="A23" s="3499"/>
      <c r="B23" s="3492"/>
      <c r="C23" s="2846" t="s">
        <v>2440</v>
      </c>
      <c r="D23" s="2847"/>
      <c r="E23" s="2848">
        <v>0.9</v>
      </c>
      <c r="F23" s="2845" t="s">
        <v>2441</v>
      </c>
      <c r="G23" s="2845"/>
    </row>
    <row r="24" spans="1:13" ht="19.5" customHeight="1">
      <c r="A24" s="3499"/>
      <c r="B24" s="3492"/>
      <c r="C24" s="2846" t="s">
        <v>2442</v>
      </c>
      <c r="D24" s="2847"/>
      <c r="E24" s="2848">
        <v>0.8</v>
      </c>
      <c r="F24" s="2845" t="s">
        <v>2443</v>
      </c>
      <c r="G24" s="2845"/>
    </row>
    <row r="25" spans="1:13" ht="19.5" customHeight="1" thickBot="1">
      <c r="A25" s="3500"/>
      <c r="B25" s="3493"/>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4" t="s">
        <v>2626</v>
      </c>
      <c r="B27" s="3491" t="s">
        <v>2607</v>
      </c>
      <c r="C27" s="2842" t="s">
        <v>2447</v>
      </c>
      <c r="D27" s="2843"/>
      <c r="E27" s="2844">
        <v>1</v>
      </c>
      <c r="F27" s="2845" t="s">
        <v>2448</v>
      </c>
      <c r="G27" s="2845"/>
    </row>
    <row r="28" spans="1:13" ht="19.5" customHeight="1">
      <c r="A28" s="3495"/>
      <c r="B28" s="3492"/>
      <c r="C28" s="2846" t="s">
        <v>2449</v>
      </c>
      <c r="D28" s="2847"/>
      <c r="E28" s="2848">
        <v>1</v>
      </c>
      <c r="F28" s="2845" t="s">
        <v>2450</v>
      </c>
      <c r="G28" s="2845"/>
    </row>
    <row r="29" spans="1:13" ht="19.5" customHeight="1">
      <c r="A29" s="3495"/>
      <c r="B29" s="3492"/>
      <c r="C29" s="2846" t="s">
        <v>2451</v>
      </c>
      <c r="D29" s="2847"/>
      <c r="E29" s="2848">
        <v>0.8</v>
      </c>
      <c r="F29" s="2845" t="s">
        <v>2452</v>
      </c>
      <c r="G29" s="2845"/>
    </row>
    <row r="30" spans="1:13" ht="19.5" customHeight="1">
      <c r="A30" s="3495"/>
      <c r="B30" s="3492"/>
      <c r="C30" s="2846" t="s">
        <v>2453</v>
      </c>
      <c r="D30" s="2847"/>
      <c r="E30" s="2848">
        <v>0.8</v>
      </c>
      <c r="F30" s="2845" t="s">
        <v>2454</v>
      </c>
      <c r="G30" s="2845"/>
    </row>
    <row r="31" spans="1:13" ht="19.5" customHeight="1">
      <c r="A31" s="3495"/>
      <c r="B31" s="3492"/>
      <c r="C31" s="2846" t="s">
        <v>2455</v>
      </c>
      <c r="D31" s="2847"/>
      <c r="E31" s="2848">
        <v>0.8</v>
      </c>
      <c r="F31" s="2845" t="s">
        <v>2456</v>
      </c>
      <c r="G31" s="2845"/>
    </row>
    <row r="32" spans="1:13" ht="19.5" customHeight="1">
      <c r="A32" s="3495"/>
      <c r="B32" s="3492"/>
      <c r="C32" s="2846" t="s">
        <v>2457</v>
      </c>
      <c r="D32" s="2847"/>
      <c r="E32" s="2848">
        <v>0.7</v>
      </c>
      <c r="F32" s="2845" t="s">
        <v>2458</v>
      </c>
      <c r="G32" s="2845"/>
    </row>
    <row r="33" spans="1:7" ht="19.5" customHeight="1">
      <c r="A33" s="3495"/>
      <c r="B33" s="3492"/>
      <c r="C33" s="2846" t="s">
        <v>2459</v>
      </c>
      <c r="D33" s="2847"/>
      <c r="E33" s="2848">
        <v>0.8</v>
      </c>
      <c r="F33" s="2845" t="s">
        <v>2460</v>
      </c>
      <c r="G33" s="2845"/>
    </row>
    <row r="34" spans="1:7" ht="19.5" customHeight="1">
      <c r="A34" s="3495"/>
      <c r="B34" s="3492"/>
      <c r="C34" s="2846" t="s">
        <v>2461</v>
      </c>
      <c r="D34" s="2847"/>
      <c r="E34" s="2848">
        <v>0.6</v>
      </c>
      <c r="F34" s="2845" t="s">
        <v>2462</v>
      </c>
      <c r="G34" s="2845"/>
    </row>
    <row r="35" spans="1:7" ht="19.5" customHeight="1">
      <c r="A35" s="3495"/>
      <c r="B35" s="3492"/>
      <c r="C35" s="2846" t="s">
        <v>2463</v>
      </c>
      <c r="D35" s="2847"/>
      <c r="E35" s="2848">
        <v>0.2</v>
      </c>
      <c r="F35" s="2845" t="s">
        <v>2464</v>
      </c>
      <c r="G35" s="2845"/>
    </row>
    <row r="36" spans="1:7" ht="19.5" customHeight="1">
      <c r="A36" s="3495"/>
      <c r="B36" s="3492"/>
      <c r="C36" s="2846" t="s">
        <v>2465</v>
      </c>
      <c r="D36" s="2847"/>
      <c r="E36" s="2848">
        <v>0.2</v>
      </c>
      <c r="F36" s="2845" t="s">
        <v>2466</v>
      </c>
      <c r="G36" s="2845"/>
    </row>
    <row r="37" spans="1:7" ht="19.5" customHeight="1">
      <c r="A37" s="3495"/>
      <c r="B37" s="3497" t="s">
        <v>2627</v>
      </c>
      <c r="C37" s="2846" t="s">
        <v>2467</v>
      </c>
      <c r="D37" s="2847"/>
      <c r="E37" s="2848">
        <v>0.6</v>
      </c>
      <c r="F37" s="2845" t="s">
        <v>2468</v>
      </c>
      <c r="G37" s="2845"/>
    </row>
    <row r="38" spans="1:7" ht="19.5" customHeight="1">
      <c r="A38" s="3495"/>
      <c r="B38" s="3492"/>
      <c r="C38" s="2846" t="s">
        <v>2469</v>
      </c>
      <c r="D38" s="2847"/>
      <c r="E38" s="2848">
        <v>0.6</v>
      </c>
      <c r="F38" s="2845" t="s">
        <v>2470</v>
      </c>
      <c r="G38" s="2845"/>
    </row>
    <row r="39" spans="1:7" ht="19.5" customHeight="1" thickBot="1">
      <c r="A39" s="3496"/>
      <c r="B39" s="3493"/>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8" t="s">
        <v>2605</v>
      </c>
      <c r="B41" s="3491" t="s">
        <v>2629</v>
      </c>
      <c r="C41" s="2842" t="s">
        <v>2474</v>
      </c>
      <c r="D41" s="2843"/>
      <c r="E41" s="2844">
        <v>1</v>
      </c>
      <c r="F41" s="2845" t="s">
        <v>2475</v>
      </c>
      <c r="G41" s="2845"/>
    </row>
    <row r="42" spans="1:7" ht="19.5" customHeight="1">
      <c r="A42" s="3499"/>
      <c r="B42" s="3492"/>
      <c r="C42" s="2846" t="s">
        <v>2476</v>
      </c>
      <c r="D42" s="2847"/>
      <c r="E42" s="2848">
        <v>1</v>
      </c>
      <c r="F42" s="2845" t="s">
        <v>2477</v>
      </c>
      <c r="G42" s="2845"/>
    </row>
    <row r="43" spans="1:7" ht="19.5" customHeight="1">
      <c r="A43" s="3499"/>
      <c r="B43" s="3501"/>
      <c r="C43" s="2846" t="s">
        <v>2478</v>
      </c>
      <c r="D43" s="2847"/>
      <c r="E43" s="2848">
        <v>1.5</v>
      </c>
      <c r="F43" s="2845" t="s">
        <v>2479</v>
      </c>
      <c r="G43" s="2845"/>
    </row>
    <row r="44" spans="1:7" ht="19.5" customHeight="1">
      <c r="A44" s="3499"/>
      <c r="B44" s="2857" t="s">
        <v>2630</v>
      </c>
      <c r="C44" s="2846" t="s">
        <v>2631</v>
      </c>
      <c r="D44" s="2847"/>
      <c r="E44" s="2848">
        <v>2</v>
      </c>
      <c r="F44" s="2845" t="s">
        <v>2480</v>
      </c>
      <c r="G44" s="2845"/>
    </row>
    <row r="45" spans="1:7" ht="19.5" customHeight="1">
      <c r="A45" s="3499"/>
      <c r="B45" s="3497" t="s">
        <v>2632</v>
      </c>
      <c r="C45" s="2846" t="s">
        <v>2481</v>
      </c>
      <c r="D45" s="2847"/>
      <c r="E45" s="2848">
        <v>1</v>
      </c>
      <c r="F45" s="2845" t="s">
        <v>2482</v>
      </c>
      <c r="G45" s="2845"/>
    </row>
    <row r="46" spans="1:7" ht="19.5" customHeight="1">
      <c r="A46" s="3499"/>
      <c r="B46" s="3492"/>
      <c r="C46" s="2846" t="s">
        <v>2483</v>
      </c>
      <c r="D46" s="2847"/>
      <c r="E46" s="2848">
        <v>1</v>
      </c>
      <c r="F46" s="2845" t="s">
        <v>2484</v>
      </c>
      <c r="G46" s="2845"/>
    </row>
    <row r="47" spans="1:7" ht="19.5" customHeight="1">
      <c r="A47" s="3499"/>
      <c r="B47" s="3492"/>
      <c r="C47" s="2846" t="s">
        <v>2485</v>
      </c>
      <c r="D47" s="2847"/>
      <c r="E47" s="2848">
        <v>1</v>
      </c>
      <c r="F47" s="2845" t="s">
        <v>2486</v>
      </c>
      <c r="G47" s="2845"/>
    </row>
    <row r="48" spans="1:7" ht="19.5" customHeight="1">
      <c r="A48" s="3499"/>
      <c r="B48" s="3492"/>
      <c r="C48" s="2846" t="s">
        <v>2487</v>
      </c>
      <c r="D48" s="2847"/>
      <c r="E48" s="2848">
        <v>1</v>
      </c>
      <c r="F48" s="2845" t="s">
        <v>2488</v>
      </c>
      <c r="G48" s="2845"/>
    </row>
    <row r="49" spans="1:7" ht="19.5" customHeight="1">
      <c r="A49" s="3499"/>
      <c r="B49" s="3492"/>
      <c r="C49" s="2846" t="s">
        <v>2489</v>
      </c>
      <c r="D49" s="2847"/>
      <c r="E49" s="2848">
        <v>1</v>
      </c>
      <c r="F49" s="2845" t="s">
        <v>2490</v>
      </c>
      <c r="G49" s="2845"/>
    </row>
    <row r="50" spans="1:7" ht="19.5" customHeight="1">
      <c r="A50" s="3499"/>
      <c r="B50" s="3492"/>
      <c r="C50" s="2846" t="s">
        <v>2491</v>
      </c>
      <c r="D50" s="2847"/>
      <c r="E50" s="2848">
        <v>1</v>
      </c>
      <c r="F50" s="2845" t="s">
        <v>2492</v>
      </c>
      <c r="G50" s="2845"/>
    </row>
    <row r="51" spans="1:7" ht="19.5" customHeight="1" thickBot="1">
      <c r="A51" s="3500"/>
      <c r="B51" s="3493"/>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97" t="s">
        <v>2646</v>
      </c>
      <c r="C73" s="2831" t="s">
        <v>2647</v>
      </c>
      <c r="D73" s="2831" t="s">
        <v>2648</v>
      </c>
      <c r="E73" s="2857">
        <v>0.2</v>
      </c>
      <c r="F73" s="2857">
        <v>25</v>
      </c>
    </row>
    <row r="74" spans="1:7" ht="24">
      <c r="A74" s="2857">
        <v>2</v>
      </c>
      <c r="B74" s="3492"/>
      <c r="C74" s="2831" t="s">
        <v>2649</v>
      </c>
      <c r="D74" s="2831" t="s">
        <v>2650</v>
      </c>
      <c r="E74" s="2857">
        <v>0.2</v>
      </c>
      <c r="F74" s="2857">
        <v>25</v>
      </c>
    </row>
    <row r="75" spans="1:7" ht="24">
      <c r="A75" s="2857">
        <v>3</v>
      </c>
      <c r="B75" s="3492"/>
      <c r="C75" s="2831" t="s">
        <v>2651</v>
      </c>
      <c r="D75" s="2831" t="s">
        <v>2652</v>
      </c>
      <c r="E75" s="2857">
        <v>0.2</v>
      </c>
      <c r="F75" s="2857">
        <v>25</v>
      </c>
    </row>
    <row r="76" spans="1:7" ht="13.5">
      <c r="A76" s="2857">
        <v>4</v>
      </c>
      <c r="B76" s="3492"/>
      <c r="C76" s="2831" t="s">
        <v>2653</v>
      </c>
      <c r="D76" s="2831" t="s">
        <v>2654</v>
      </c>
      <c r="E76" s="2857">
        <v>0.15</v>
      </c>
      <c r="F76" s="2857">
        <v>20</v>
      </c>
    </row>
    <row r="77" spans="1:7" ht="24">
      <c r="A77" s="2857">
        <v>5</v>
      </c>
      <c r="B77" s="3492"/>
      <c r="C77" s="2831" t="s">
        <v>2655</v>
      </c>
      <c r="D77" s="2831" t="s">
        <v>2656</v>
      </c>
      <c r="E77" s="2857">
        <v>0.15</v>
      </c>
      <c r="F77" s="2857">
        <v>20</v>
      </c>
    </row>
    <row r="78" spans="1:7" ht="24">
      <c r="A78" s="2857">
        <v>6</v>
      </c>
      <c r="B78" s="3492"/>
      <c r="C78" s="2831" t="s">
        <v>2657</v>
      </c>
      <c r="D78" s="2831" t="s">
        <v>2658</v>
      </c>
      <c r="E78" s="2857">
        <v>0.15</v>
      </c>
      <c r="F78" s="2857">
        <v>20</v>
      </c>
    </row>
    <row r="79" spans="1:7" ht="24">
      <c r="A79" s="2857">
        <v>7</v>
      </c>
      <c r="B79" s="3492"/>
      <c r="C79" s="2831" t="s">
        <v>2659</v>
      </c>
      <c r="D79" s="2831" t="s">
        <v>2660</v>
      </c>
      <c r="E79" s="2857">
        <v>0.15</v>
      </c>
      <c r="F79" s="2857">
        <v>20</v>
      </c>
    </row>
    <row r="80" spans="1:7" ht="24">
      <c r="A80" s="2857">
        <v>8</v>
      </c>
      <c r="B80" s="3492"/>
      <c r="C80" s="2831" t="s">
        <v>2661</v>
      </c>
      <c r="D80" s="2831" t="s">
        <v>2662</v>
      </c>
      <c r="E80" s="2857">
        <v>0.1</v>
      </c>
      <c r="F80" s="2857">
        <v>15</v>
      </c>
    </row>
    <row r="81" spans="1:6" ht="24">
      <c r="A81" s="2857">
        <v>9</v>
      </c>
      <c r="B81" s="3492"/>
      <c r="C81" s="2831" t="s">
        <v>2663</v>
      </c>
      <c r="D81" s="2831" t="s">
        <v>2664</v>
      </c>
      <c r="E81" s="2857">
        <v>0.1</v>
      </c>
      <c r="F81" s="2857">
        <v>15</v>
      </c>
    </row>
    <row r="82" spans="1:6" ht="24">
      <c r="A82" s="2857">
        <v>10</v>
      </c>
      <c r="B82" s="3492"/>
      <c r="C82" s="2831" t="s">
        <v>2665</v>
      </c>
      <c r="D82" s="2831" t="s">
        <v>2666</v>
      </c>
      <c r="E82" s="2857">
        <v>0.1</v>
      </c>
      <c r="F82" s="2857">
        <v>15</v>
      </c>
    </row>
    <row r="83" spans="1:6" ht="24">
      <c r="A83" s="2857">
        <v>11</v>
      </c>
      <c r="B83" s="3492"/>
      <c r="C83" s="2831" t="s">
        <v>2667</v>
      </c>
      <c r="D83" s="2831" t="s">
        <v>2668</v>
      </c>
      <c r="E83" s="2857">
        <v>0.1</v>
      </c>
      <c r="F83" s="2857">
        <v>15</v>
      </c>
    </row>
    <row r="84" spans="1:6" ht="24">
      <c r="A84" s="2857">
        <v>12</v>
      </c>
      <c r="B84" s="3492"/>
      <c r="C84" s="2831" t="s">
        <v>2669</v>
      </c>
      <c r="D84" s="2831" t="s">
        <v>2670</v>
      </c>
      <c r="E84" s="2857">
        <v>0.1</v>
      </c>
      <c r="F84" s="2857">
        <v>15</v>
      </c>
    </row>
    <row r="85" spans="1:6" ht="13.5">
      <c r="A85" s="2857">
        <v>13</v>
      </c>
      <c r="B85" s="3492"/>
      <c r="C85" s="2831" t="s">
        <v>2671</v>
      </c>
      <c r="D85" s="2831" t="s">
        <v>2672</v>
      </c>
      <c r="E85" s="2857">
        <v>0.1</v>
      </c>
      <c r="F85" s="2857">
        <v>15</v>
      </c>
    </row>
    <row r="86" spans="1:6" ht="13.5">
      <c r="A86" s="2857">
        <v>14</v>
      </c>
      <c r="B86" s="3492"/>
      <c r="C86" s="2831" t="s">
        <v>2673</v>
      </c>
      <c r="D86" s="2831" t="s">
        <v>2674</v>
      </c>
      <c r="E86" s="2857">
        <v>0.1</v>
      </c>
      <c r="F86" s="2857">
        <v>15</v>
      </c>
    </row>
    <row r="87" spans="1:6" ht="13.5">
      <c r="A87" s="2857">
        <v>15</v>
      </c>
      <c r="B87" s="3492"/>
      <c r="C87" s="2831" t="s">
        <v>2675</v>
      </c>
      <c r="D87" s="2831" t="s">
        <v>2676</v>
      </c>
      <c r="E87" s="2857">
        <v>0.1</v>
      </c>
      <c r="F87" s="2857">
        <v>15</v>
      </c>
    </row>
    <row r="88" spans="1:6" ht="24">
      <c r="A88" s="2857">
        <v>16</v>
      </c>
      <c r="B88" s="3492"/>
      <c r="C88" s="2831" t="s">
        <v>2677</v>
      </c>
      <c r="D88" s="2831" t="s">
        <v>2678</v>
      </c>
      <c r="E88" s="2857">
        <v>0.1</v>
      </c>
      <c r="F88" s="2857">
        <v>15</v>
      </c>
    </row>
    <row r="89" spans="1:6" ht="24">
      <c r="A89" s="2857">
        <v>17</v>
      </c>
      <c r="B89" s="3501"/>
      <c r="C89" s="2831" t="s">
        <v>2679</v>
      </c>
      <c r="D89" s="2831" t="s">
        <v>2680</v>
      </c>
      <c r="E89" s="2857">
        <v>0.1</v>
      </c>
      <c r="F89" s="2857">
        <v>15</v>
      </c>
    </row>
    <row r="90" spans="1:6" ht="13.5">
      <c r="A90" s="2857">
        <v>18</v>
      </c>
      <c r="B90" s="3497" t="s">
        <v>2681</v>
      </c>
      <c r="C90" s="2831" t="s">
        <v>2682</v>
      </c>
      <c r="D90" s="2831" t="s">
        <v>2683</v>
      </c>
      <c r="E90" s="2857">
        <v>0.2</v>
      </c>
      <c r="F90" s="2857">
        <v>25</v>
      </c>
    </row>
    <row r="91" spans="1:6" ht="24">
      <c r="A91" s="2857">
        <v>19</v>
      </c>
      <c r="B91" s="3492"/>
      <c r="C91" s="2831" t="s">
        <v>2684</v>
      </c>
      <c r="D91" s="2831" t="s">
        <v>2685</v>
      </c>
      <c r="E91" s="2857">
        <v>0.2</v>
      </c>
      <c r="F91" s="2857">
        <v>25</v>
      </c>
    </row>
    <row r="92" spans="1:6" ht="13.5">
      <c r="A92" s="2857">
        <v>20</v>
      </c>
      <c r="B92" s="3492"/>
      <c r="C92" s="2831" t="s">
        <v>2686</v>
      </c>
      <c r="D92" s="2831" t="s">
        <v>2687</v>
      </c>
      <c r="E92" s="2857">
        <v>0.15</v>
      </c>
      <c r="F92" s="2857">
        <v>20</v>
      </c>
    </row>
    <row r="93" spans="1:6" ht="13.5">
      <c r="A93" s="2857">
        <v>21</v>
      </c>
      <c r="B93" s="3492"/>
      <c r="C93" s="2831" t="s">
        <v>2688</v>
      </c>
      <c r="D93" s="2831" t="s">
        <v>2689</v>
      </c>
      <c r="E93" s="2857">
        <v>0.15</v>
      </c>
      <c r="F93" s="2857">
        <v>20</v>
      </c>
    </row>
    <row r="94" spans="1:6" ht="13.5">
      <c r="A94" s="2857">
        <v>22</v>
      </c>
      <c r="B94" s="3492"/>
      <c r="C94" s="2831" t="s">
        <v>2690</v>
      </c>
      <c r="D94" s="2831" t="s">
        <v>2691</v>
      </c>
      <c r="E94" s="2857">
        <v>0.15</v>
      </c>
      <c r="F94" s="2857">
        <v>20</v>
      </c>
    </row>
    <row r="95" spans="1:6" ht="36">
      <c r="A95" s="2857">
        <v>23</v>
      </c>
      <c r="B95" s="3492"/>
      <c r="C95" s="2831" t="s">
        <v>2692</v>
      </c>
      <c r="D95" s="2831" t="s">
        <v>2693</v>
      </c>
      <c r="E95" s="2857">
        <v>0.15</v>
      </c>
      <c r="F95" s="2857">
        <v>20</v>
      </c>
    </row>
    <row r="96" spans="1:6" ht="13.5">
      <c r="A96" s="2857">
        <v>24</v>
      </c>
      <c r="B96" s="3492"/>
      <c r="C96" s="2831" t="s">
        <v>2694</v>
      </c>
      <c r="D96" s="2831" t="s">
        <v>2695</v>
      </c>
      <c r="E96" s="2857">
        <v>0.1</v>
      </c>
      <c r="F96" s="2857">
        <v>15</v>
      </c>
    </row>
    <row r="97" spans="1:6" ht="13.5">
      <c r="A97" s="2857">
        <v>25</v>
      </c>
      <c r="B97" s="3492"/>
      <c r="C97" s="2831" t="s">
        <v>2696</v>
      </c>
      <c r="D97" s="2831" t="s">
        <v>2697</v>
      </c>
      <c r="E97" s="2857">
        <v>0.1</v>
      </c>
      <c r="F97" s="2857">
        <v>15</v>
      </c>
    </row>
    <row r="98" spans="1:6" ht="24">
      <c r="A98" s="2857">
        <v>26</v>
      </c>
      <c r="B98" s="3492"/>
      <c r="C98" s="2831" t="s">
        <v>2698</v>
      </c>
      <c r="D98" s="2831" t="s">
        <v>2699</v>
      </c>
      <c r="E98" s="2857">
        <v>0.1</v>
      </c>
      <c r="F98" s="2857">
        <v>15</v>
      </c>
    </row>
    <row r="99" spans="1:6" ht="24">
      <c r="A99" s="2857">
        <v>27</v>
      </c>
      <c r="B99" s="3492"/>
      <c r="C99" s="2831" t="s">
        <v>2700</v>
      </c>
      <c r="D99" s="2831" t="s">
        <v>2701</v>
      </c>
      <c r="E99" s="2857">
        <v>0.1</v>
      </c>
      <c r="F99" s="2857">
        <v>15</v>
      </c>
    </row>
    <row r="100" spans="1:6" ht="13.5">
      <c r="A100" s="2857">
        <v>28</v>
      </c>
      <c r="B100" s="3492"/>
      <c r="C100" s="2831" t="s">
        <v>2702</v>
      </c>
      <c r="D100" s="2831" t="s">
        <v>2703</v>
      </c>
      <c r="E100" s="2857">
        <v>0.1</v>
      </c>
      <c r="F100" s="2857">
        <v>15</v>
      </c>
    </row>
    <row r="101" spans="1:6" ht="13.5">
      <c r="A101" s="2857">
        <v>29</v>
      </c>
      <c r="B101" s="3492"/>
      <c r="C101" s="2831" t="s">
        <v>2704</v>
      </c>
      <c r="D101" s="2831" t="s">
        <v>2705</v>
      </c>
      <c r="E101" s="2857">
        <v>0.1</v>
      </c>
      <c r="F101" s="2857">
        <v>15</v>
      </c>
    </row>
    <row r="102" spans="1:6" ht="13.5">
      <c r="A102" s="2857">
        <v>30</v>
      </c>
      <c r="B102" s="3492"/>
      <c r="C102" s="2831" t="s">
        <v>2706</v>
      </c>
      <c r="D102" s="2831" t="s">
        <v>2707</v>
      </c>
      <c r="E102" s="2857">
        <v>0.1</v>
      </c>
      <c r="F102" s="2857">
        <v>15</v>
      </c>
    </row>
    <row r="103" spans="1:6" ht="24">
      <c r="A103" s="2857">
        <v>31</v>
      </c>
      <c r="B103" s="3492"/>
      <c r="C103" s="2831" t="s">
        <v>2708</v>
      </c>
      <c r="D103" s="2831" t="s">
        <v>2709</v>
      </c>
      <c r="E103" s="2857">
        <v>0.1</v>
      </c>
      <c r="F103" s="2857">
        <v>15</v>
      </c>
    </row>
    <row r="104" spans="1:6" ht="24">
      <c r="A104" s="2857">
        <v>32</v>
      </c>
      <c r="B104" s="3492"/>
      <c r="C104" s="2831" t="s">
        <v>2710</v>
      </c>
      <c r="D104" s="2831" t="s">
        <v>2711</v>
      </c>
      <c r="E104" s="2857">
        <v>0.1</v>
      </c>
      <c r="F104" s="2857">
        <v>15</v>
      </c>
    </row>
    <row r="105" spans="1:6" ht="24">
      <c r="A105" s="2857">
        <v>33</v>
      </c>
      <c r="B105" s="3492"/>
      <c r="C105" s="2831" t="s">
        <v>2712</v>
      </c>
      <c r="D105" s="2831" t="s">
        <v>2713</v>
      </c>
      <c r="E105" s="2857">
        <v>0.1</v>
      </c>
      <c r="F105" s="2857">
        <v>15</v>
      </c>
    </row>
    <row r="106" spans="1:6" ht="24">
      <c r="A106" s="2857">
        <v>34</v>
      </c>
      <c r="B106" s="3501"/>
      <c r="C106" s="2831" t="s">
        <v>2714</v>
      </c>
      <c r="D106" s="2831" t="s">
        <v>2715</v>
      </c>
      <c r="E106" s="2857">
        <v>0.1</v>
      </c>
      <c r="F106" s="2857">
        <v>15</v>
      </c>
    </row>
    <row r="107" spans="1:6" ht="24">
      <c r="A107" s="2857">
        <v>35</v>
      </c>
      <c r="B107" s="3497" t="s">
        <v>2716</v>
      </c>
      <c r="C107" s="2857" t="s">
        <v>2717</v>
      </c>
      <c r="D107" s="2831" t="s">
        <v>2718</v>
      </c>
      <c r="E107" s="2857">
        <v>0.15</v>
      </c>
      <c r="F107" s="2857">
        <v>20</v>
      </c>
    </row>
    <row r="108" spans="1:6" ht="13.5">
      <c r="A108" s="2857">
        <v>36</v>
      </c>
      <c r="B108" s="3492"/>
      <c r="C108" s="2857" t="s">
        <v>2719</v>
      </c>
      <c r="D108" s="2831" t="s">
        <v>2720</v>
      </c>
      <c r="E108" s="2857">
        <v>0.15</v>
      </c>
      <c r="F108" s="2857">
        <v>20</v>
      </c>
    </row>
    <row r="109" spans="1:6" ht="13.5">
      <c r="A109" s="2857">
        <v>37</v>
      </c>
      <c r="B109" s="3492"/>
      <c r="C109" s="2857" t="s">
        <v>2721</v>
      </c>
      <c r="D109" s="2831" t="s">
        <v>2722</v>
      </c>
      <c r="E109" s="2857">
        <v>0.15</v>
      </c>
      <c r="F109" s="2857">
        <v>20</v>
      </c>
    </row>
    <row r="110" spans="1:6" ht="13.5">
      <c r="A110" s="2857">
        <v>38</v>
      </c>
      <c r="B110" s="3492"/>
      <c r="C110" s="2857" t="s">
        <v>2723</v>
      </c>
      <c r="D110" s="2831" t="s">
        <v>2724</v>
      </c>
      <c r="E110" s="2857">
        <v>0.1</v>
      </c>
      <c r="F110" s="2857">
        <v>15</v>
      </c>
    </row>
    <row r="111" spans="1:6" ht="24">
      <c r="A111" s="2857">
        <v>39</v>
      </c>
      <c r="B111" s="3492"/>
      <c r="C111" s="2857" t="s">
        <v>2725</v>
      </c>
      <c r="D111" s="2831" t="s">
        <v>2726</v>
      </c>
      <c r="E111" s="2857">
        <v>0.1</v>
      </c>
      <c r="F111" s="2857">
        <v>15</v>
      </c>
    </row>
    <row r="112" spans="1:6" ht="24">
      <c r="A112" s="2857">
        <v>40</v>
      </c>
      <c r="B112" s="3501"/>
      <c r="C112" s="2857" t="s">
        <v>2727</v>
      </c>
      <c r="D112" s="2831" t="s">
        <v>2728</v>
      </c>
      <c r="E112" s="2857">
        <v>0.1</v>
      </c>
      <c r="F112" s="2857">
        <v>15</v>
      </c>
    </row>
    <row r="113" spans="1:6" ht="13.5">
      <c r="A113" s="2857">
        <v>41</v>
      </c>
      <c r="B113" s="3502" t="s">
        <v>2729</v>
      </c>
      <c r="C113" s="2857" t="s">
        <v>2730</v>
      </c>
      <c r="D113" s="2831" t="s">
        <v>2731</v>
      </c>
      <c r="E113" s="2857">
        <v>0.1</v>
      </c>
      <c r="F113" s="2857">
        <v>15</v>
      </c>
    </row>
    <row r="114" spans="1:6" ht="13.5">
      <c r="A114" s="2857">
        <v>42</v>
      </c>
      <c r="B114" s="3502"/>
      <c r="C114" s="2857" t="s">
        <v>2732</v>
      </c>
      <c r="D114" s="2831" t="s">
        <v>2733</v>
      </c>
      <c r="E114" s="2857">
        <v>0.1</v>
      </c>
      <c r="F114" s="2857">
        <v>15</v>
      </c>
    </row>
    <row r="115" spans="1:6" ht="24">
      <c r="A115" s="2857">
        <v>43</v>
      </c>
      <c r="B115" s="3502"/>
      <c r="C115" s="2857" t="s">
        <v>2734</v>
      </c>
      <c r="D115" s="2831" t="s">
        <v>2735</v>
      </c>
      <c r="E115" s="2857">
        <v>0.1</v>
      </c>
      <c r="F115" s="2857">
        <v>15</v>
      </c>
    </row>
    <row r="116" spans="1:6" ht="13.5">
      <c r="A116" s="2857">
        <v>44</v>
      </c>
      <c r="B116" s="3497" t="s">
        <v>2736</v>
      </c>
      <c r="C116" s="2857" t="s">
        <v>2737</v>
      </c>
      <c r="D116" s="2831" t="s">
        <v>2738</v>
      </c>
      <c r="E116" s="2857">
        <v>0.1</v>
      </c>
      <c r="F116" s="2857">
        <v>15</v>
      </c>
    </row>
    <row r="117" spans="1:6" ht="24">
      <c r="A117" s="2857">
        <v>45</v>
      </c>
      <c r="B117" s="3501"/>
      <c r="C117" s="2831" t="s">
        <v>2739</v>
      </c>
      <c r="D117" s="2831" t="s">
        <v>2740</v>
      </c>
      <c r="E117" s="2857">
        <v>0.1</v>
      </c>
      <c r="F117" s="2857">
        <v>15</v>
      </c>
    </row>
    <row r="118" spans="1:6" ht="24">
      <c r="A118" s="2857">
        <v>46</v>
      </c>
      <c r="B118" s="3497" t="s">
        <v>2741</v>
      </c>
      <c r="C118" s="2857" t="s">
        <v>2742</v>
      </c>
      <c r="D118" s="2831" t="s">
        <v>2743</v>
      </c>
      <c r="E118" s="2857">
        <v>0.1</v>
      </c>
      <c r="F118" s="2857">
        <v>15</v>
      </c>
    </row>
    <row r="119" spans="1:6" ht="24">
      <c r="A119" s="2857">
        <v>47</v>
      </c>
      <c r="B119" s="3501"/>
      <c r="C119" s="2857" t="s">
        <v>2744</v>
      </c>
      <c r="D119" s="2831" t="s">
        <v>2745</v>
      </c>
      <c r="E119" s="2857">
        <v>0.1</v>
      </c>
      <c r="F119" s="2857">
        <v>15</v>
      </c>
    </row>
    <row r="120" spans="1:6" ht="13.5">
      <c r="A120" s="2857">
        <v>48</v>
      </c>
      <c r="B120" s="3497" t="s">
        <v>2746</v>
      </c>
      <c r="C120" s="2857" t="s">
        <v>2747</v>
      </c>
      <c r="D120" s="2831" t="s">
        <v>2748</v>
      </c>
      <c r="E120" s="2857">
        <v>0.1</v>
      </c>
      <c r="F120" s="2857">
        <v>15</v>
      </c>
    </row>
    <row r="121" spans="1:6" ht="13.5">
      <c r="A121" s="2857">
        <v>49</v>
      </c>
      <c r="B121" s="3501"/>
      <c r="C121" s="2857" t="s">
        <v>2749</v>
      </c>
      <c r="D121" s="2831" t="s">
        <v>2750</v>
      </c>
      <c r="E121" s="2857">
        <v>0.1</v>
      </c>
      <c r="F121" s="2857">
        <v>15</v>
      </c>
    </row>
    <row r="122" spans="1:6" ht="24">
      <c r="A122" s="2857">
        <v>50</v>
      </c>
      <c r="B122" s="3502" t="s">
        <v>2751</v>
      </c>
      <c r="C122" s="2857" t="s">
        <v>2752</v>
      </c>
      <c r="D122" s="2831" t="s">
        <v>2753</v>
      </c>
      <c r="E122" s="2857">
        <v>0.1</v>
      </c>
      <c r="F122" s="2857">
        <v>15</v>
      </c>
    </row>
    <row r="123" spans="1:6" ht="24">
      <c r="A123" s="2857">
        <v>51</v>
      </c>
      <c r="B123" s="3502"/>
      <c r="C123" s="2857" t="s">
        <v>2754</v>
      </c>
      <c r="D123" s="2831" t="s">
        <v>2755</v>
      </c>
      <c r="E123" s="2857">
        <v>0.1</v>
      </c>
      <c r="F123" s="2857">
        <v>15</v>
      </c>
    </row>
    <row r="124" spans="1:6" ht="24">
      <c r="A124" s="2857">
        <v>52</v>
      </c>
      <c r="B124" s="3502" t="s">
        <v>2756</v>
      </c>
      <c r="C124" s="2857" t="s">
        <v>2757</v>
      </c>
      <c r="D124" s="2831" t="s">
        <v>2758</v>
      </c>
      <c r="E124" s="2857">
        <v>0.1</v>
      </c>
      <c r="F124" s="2857">
        <v>15</v>
      </c>
    </row>
    <row r="125" spans="1:6" ht="24">
      <c r="A125" s="2857">
        <v>53</v>
      </c>
      <c r="B125" s="3502"/>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502" t="s">
        <v>2764</v>
      </c>
      <c r="C127" s="2857" t="s">
        <v>2765</v>
      </c>
      <c r="D127" s="2831" t="s">
        <v>2766</v>
      </c>
      <c r="E127" s="2857">
        <v>0.1</v>
      </c>
      <c r="F127" s="2857">
        <v>15</v>
      </c>
    </row>
    <row r="128" spans="1:6" ht="13.5">
      <c r="A128" s="2857">
        <v>56</v>
      </c>
      <c r="B128" s="3502"/>
      <c r="C128" s="2857" t="s">
        <v>2767</v>
      </c>
      <c r="D128" s="2831" t="s">
        <v>2768</v>
      </c>
      <c r="E128" s="2857">
        <v>0.1</v>
      </c>
      <c r="F128" s="2857">
        <v>15</v>
      </c>
    </row>
    <row r="129" spans="1:6" ht="24">
      <c r="A129" s="2857">
        <v>57</v>
      </c>
      <c r="B129" s="3502"/>
      <c r="C129" s="2857" t="s">
        <v>2769</v>
      </c>
      <c r="D129" s="2831" t="s">
        <v>2770</v>
      </c>
      <c r="E129" s="2857">
        <v>0.1</v>
      </c>
      <c r="F129" s="2857">
        <v>15</v>
      </c>
    </row>
    <row r="130" spans="1:6" ht="24">
      <c r="A130" s="2857">
        <v>58</v>
      </c>
      <c r="B130" s="3502" t="s">
        <v>2771</v>
      </c>
      <c r="C130" s="2857" t="s">
        <v>2772</v>
      </c>
      <c r="D130" s="2831" t="s">
        <v>2773</v>
      </c>
      <c r="E130" s="2857">
        <v>0.1</v>
      </c>
      <c r="F130" s="2857">
        <v>15</v>
      </c>
    </row>
    <row r="131" spans="1:6" ht="13.5">
      <c r="A131" s="2857">
        <v>59</v>
      </c>
      <c r="B131" s="3502"/>
      <c r="C131" s="2857" t="s">
        <v>2774</v>
      </c>
      <c r="D131" s="2831" t="s">
        <v>2775</v>
      </c>
      <c r="E131" s="2857">
        <v>0.1</v>
      </c>
      <c r="F131" s="2857">
        <v>15</v>
      </c>
    </row>
    <row r="132" spans="1:6" ht="13.5">
      <c r="A132" s="2857">
        <v>60</v>
      </c>
      <c r="B132" s="3497" t="s">
        <v>2776</v>
      </c>
      <c r="C132" s="2857" t="s">
        <v>2777</v>
      </c>
      <c r="D132" s="2831" t="s">
        <v>2778</v>
      </c>
      <c r="E132" s="2857">
        <v>0.1</v>
      </c>
      <c r="F132" s="2857">
        <v>15</v>
      </c>
    </row>
    <row r="133" spans="1:6" ht="13.5">
      <c r="A133" s="2857">
        <v>61</v>
      </c>
      <c r="B133" s="3501"/>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502" t="s">
        <v>2784</v>
      </c>
      <c r="C135" s="2857" t="s">
        <v>2785</v>
      </c>
      <c r="D135" s="2831" t="s">
        <v>2786</v>
      </c>
      <c r="E135" s="2857">
        <v>0.1</v>
      </c>
      <c r="F135" s="2857">
        <v>15</v>
      </c>
    </row>
    <row r="136" spans="1:6" ht="13.5">
      <c r="A136" s="2857">
        <v>64</v>
      </c>
      <c r="B136" s="3502"/>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916</v>
      </c>
      <c r="C4" s="3188"/>
      <c r="D4" s="3188"/>
      <c r="E4" s="1390"/>
    </row>
    <row r="5" spans="1:5" ht="16.5" thickTop="1">
      <c r="B5" s="3186" t="s">
        <v>908</v>
      </c>
      <c r="C5" s="1391" t="s">
        <v>909</v>
      </c>
      <c r="D5" s="796">
        <f ca="1">结果表!H101</f>
        <v>311</v>
      </c>
    </row>
    <row r="6" spans="1:5" ht="15.75">
      <c r="B6" s="3186"/>
      <c r="C6" s="1391" t="s">
        <v>910</v>
      </c>
      <c r="D6" s="796" t="str">
        <f ca="1">NUMBERSTRING(INT(D5*10000),2)&amp;"元整"</f>
        <v>叁佰壹拾壹万元整</v>
      </c>
    </row>
    <row r="7" spans="1:5" ht="15.75">
      <c r="B7" s="3191"/>
      <c r="C7" s="1392" t="s">
        <v>911</v>
      </c>
      <c r="D7" s="797">
        <f ca="1">结果表!H102</f>
        <v>36603</v>
      </c>
    </row>
    <row r="8" spans="1:5" ht="15.75">
      <c r="B8" s="3192" t="str">
        <f>结果表!E103</f>
        <v>2.估价师知悉的法定优先受偿款</v>
      </c>
      <c r="C8" s="1393" t="s">
        <v>912</v>
      </c>
      <c r="D8" s="797">
        <f>结果表!H103</f>
        <v>0</v>
      </c>
    </row>
    <row r="9" spans="1:5" ht="15.75">
      <c r="B9" s="3194"/>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85" t="str">
        <f>结果表!E107</f>
        <v>3.房地产抵押价值</v>
      </c>
      <c r="C13" s="1396" t="s">
        <v>909</v>
      </c>
      <c r="D13" s="799">
        <f ca="1">结果表!H107</f>
        <v>311</v>
      </c>
    </row>
    <row r="14" spans="1:5" ht="15.75">
      <c r="B14" s="3186"/>
      <c r="C14" s="1391" t="s">
        <v>910</v>
      </c>
      <c r="D14" s="796" t="str">
        <f ca="1">NUMBERSTRING(INT(D13*10000),2)&amp;"元整"</f>
        <v>叁佰壹拾壹万元整</v>
      </c>
    </row>
    <row r="15" spans="1:5" ht="15">
      <c r="B15" s="3191"/>
      <c r="C15" s="1392" t="s">
        <v>920</v>
      </c>
      <c r="D15" s="805">
        <f ca="1">结果表!H108</f>
        <v>36603</v>
      </c>
    </row>
    <row r="16" spans="1:5" ht="15">
      <c r="B16" s="3192" t="str">
        <f>结果表!E109</f>
        <v>——</v>
      </c>
      <c r="C16" s="1396" t="s">
        <v>921</v>
      </c>
      <c r="D16" s="1397" t="str">
        <f>结果表!H109</f>
        <v>——</v>
      </c>
    </row>
    <row r="17" spans="1:5" ht="15.75">
      <c r="B17" s="3193"/>
      <c r="C17" s="1391" t="s">
        <v>922</v>
      </c>
      <c r="D17" s="796" t="e">
        <f>NUMBERSTRING(INT(D16*10000),2)&amp;"元整"</f>
        <v>#VALUE!</v>
      </c>
    </row>
    <row r="18" spans="1:5" ht="15">
      <c r="B18" s="3194"/>
      <c r="C18" s="1392" t="s">
        <v>911</v>
      </c>
      <c r="D18" s="805" t="str">
        <f>结果表!H110</f>
        <v>——</v>
      </c>
    </row>
    <row r="19" spans="1:5" ht="15.75">
      <c r="B19" s="3185" t="str">
        <f>结果表!E111</f>
        <v>——</v>
      </c>
      <c r="C19" s="1396" t="s">
        <v>909</v>
      </c>
      <c r="D19" s="797" t="str">
        <f>结果表!H111</f>
        <v>——</v>
      </c>
    </row>
    <row r="20" spans="1:5" ht="15.75">
      <c r="B20" s="3186"/>
      <c r="C20" s="1391" t="s">
        <v>922</v>
      </c>
      <c r="D20" s="796" t="e">
        <f>NUMBERSTRING(INT(D19*10000),2)&amp;"元整"</f>
        <v>#VALUE!</v>
      </c>
    </row>
    <row r="21" spans="1:5" ht="15.75" thickBot="1">
      <c r="B21" s="3187"/>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28830</v>
      </c>
      <c r="C2" s="2" t="s">
        <v>106</v>
      </c>
      <c r="D2" s="191"/>
      <c r="E2" s="191"/>
      <c r="F2" s="191"/>
      <c r="G2" s="191"/>
    </row>
    <row r="3" spans="1:7" s="192" customFormat="1" ht="18" customHeight="1" thickBot="1">
      <c r="A3" s="195" t="s">
        <v>58</v>
      </c>
      <c r="B3" s="196">
        <f ca="1">ROUND(B2*10000/'数据-汇总表'!E3,0)</f>
        <v>3395760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84.9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84.9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84.9</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9</v>
      </c>
      <c r="D45" s="227">
        <f>C47</f>
        <v>4.0000000000000001E-3</v>
      </c>
      <c r="E45" s="228" t="s">
        <v>102</v>
      </c>
      <c r="F45" s="238"/>
      <c r="G45" s="239" t="s">
        <v>434</v>
      </c>
    </row>
    <row r="46" spans="1:7" s="206" customFormat="1" ht="13.5" customHeight="1">
      <c r="A46" s="733" t="s">
        <v>349</v>
      </c>
      <c r="B46" s="240" t="s">
        <v>427</v>
      </c>
      <c r="C46" s="241">
        <f>ROUND((C33+C39)*F27,0)</f>
        <v>9</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59</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47</v>
      </c>
      <c r="D51" s="224"/>
      <c r="E51" s="224"/>
      <c r="F51" s="256"/>
      <c r="G51" s="226" t="s">
        <v>37</v>
      </c>
    </row>
    <row r="52" spans="1:7" s="200" customFormat="1" ht="16.5" thickBot="1">
      <c r="A52" s="257" t="s">
        <v>38</v>
      </c>
      <c r="B52" s="258"/>
      <c r="C52" s="259">
        <f ca="1">C31+C51</f>
        <v>28830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3176</v>
      </c>
      <c r="B1" s="3503"/>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927</v>
      </c>
      <c r="B2" s="3196" t="s">
        <v>928</v>
      </c>
      <c r="C2" s="3196" t="s">
        <v>929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0" t="s">
        <v>924</v>
      </c>
      <c r="E3" s="800" t="s">
        <v>930</v>
      </c>
      <c r="F3" s="800" t="s">
        <v>924</v>
      </c>
      <c r="G3" s="800" t="s">
        <v>925</v>
      </c>
      <c r="H3" s="800" t="s">
        <v>924</v>
      </c>
      <c r="I3" s="800" t="s">
        <v>925</v>
      </c>
    </row>
    <row r="4" spans="1:9" ht="15">
      <c r="A4" s="1402" t="str">
        <f>项目基本情况!S2</f>
        <v>北京市房地产</v>
      </c>
      <c r="B4" s="800">
        <f>项目基本情况!C17</f>
        <v>84.9</v>
      </c>
      <c r="C4" s="800">
        <f>项目基本情况!C18</f>
        <v>0</v>
      </c>
      <c r="D4" s="800">
        <f ca="1">结果表!D118</f>
        <v>261</v>
      </c>
      <c r="E4" s="800">
        <f ca="1">结果表!E118</f>
        <v>30710</v>
      </c>
      <c r="F4" s="800">
        <f ca="1">结果表!F118</f>
        <v>50</v>
      </c>
      <c r="G4" s="800">
        <f ca="1">结果表!G118</f>
        <v>5893</v>
      </c>
      <c r="H4" s="800">
        <f ca="1">结果表!H118</f>
        <v>311</v>
      </c>
      <c r="I4" s="800">
        <f ca="1">结果表!I118</f>
        <v>36603</v>
      </c>
    </row>
    <row r="5" spans="1:9" ht="30" customHeight="1">
      <c r="A5" s="3197" t="s">
        <v>926</v>
      </c>
      <c r="B5" s="3197"/>
      <c r="C5" s="3197"/>
      <c r="D5" s="3197" t="str">
        <f ca="1">结果表!D119</f>
        <v>贰佰陆拾壹万元整</v>
      </c>
      <c r="E5" s="3197"/>
      <c r="F5" s="3197" t="str">
        <f ca="1">结果表!F119</f>
        <v>伍拾万元整</v>
      </c>
      <c r="G5" s="3197"/>
      <c r="H5" s="3197" t="str">
        <f ca="1">结果表!H119</f>
        <v>叁佰壹拾壹万元整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926</v>
      </c>
      <c r="B7" s="3197"/>
      <c r="C7" s="3197"/>
      <c r="D7" s="3199" t="str">
        <f>结果表!D121</f>
        <v>零元整</v>
      </c>
      <c r="E7" s="3200"/>
      <c r="F7" s="3200"/>
      <c r="G7" s="3200"/>
      <c r="H7" s="3200"/>
      <c r="I7" s="3201"/>
    </row>
    <row r="8" spans="1:9" ht="15.75">
      <c r="A8" s="3198" t="str">
        <f>结果表!A122</f>
        <v>房地产抵押价值</v>
      </c>
      <c r="B8" s="3198"/>
      <c r="C8" s="3198"/>
      <c r="D8" s="3198">
        <f ca="1">结果表!D122</f>
        <v>311</v>
      </c>
      <c r="E8" s="3198"/>
      <c r="F8" s="3198"/>
      <c r="G8" s="3198"/>
      <c r="H8" s="3198"/>
      <c r="I8" s="3198"/>
    </row>
    <row r="9" spans="1:9" ht="15">
      <c r="A9" s="3197" t="s">
        <v>926</v>
      </c>
      <c r="B9" s="3197"/>
      <c r="C9" s="3197"/>
      <c r="D9" s="3197" t="str">
        <f ca="1">结果表!D123</f>
        <v>叁佰壹拾壹万元整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926</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926</v>
      </c>
      <c r="B13" s="3202"/>
      <c r="C13" s="3202"/>
      <c r="D13" s="3202" t="e">
        <f>结果表!D127</f>
        <v>#VALUE!</v>
      </c>
      <c r="E13" s="3202"/>
      <c r="F13" s="3202"/>
      <c r="G13" s="3202"/>
      <c r="H13" s="3202"/>
      <c r="I13" s="3202"/>
    </row>
    <row r="14" spans="1:9" ht="15" thickTop="1">
      <c r="A14" s="3203" t="s">
        <v>931</v>
      </c>
      <c r="B14" s="3203"/>
      <c r="C14" s="3203"/>
      <c r="D14" s="3203"/>
      <c r="E14" s="3203"/>
      <c r="F14" s="3203"/>
      <c r="G14" s="3203"/>
      <c r="H14" s="3203"/>
      <c r="I14" s="3203"/>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4" t="s">
        <v>948</v>
      </c>
      <c r="B1" s="3204"/>
      <c r="C1" s="3204"/>
      <c r="D1" s="3204"/>
    </row>
    <row r="2" spans="1:4" ht="18">
      <c r="A2" s="3205" t="s">
        <v>932</v>
      </c>
      <c r="B2" s="3205"/>
      <c r="C2" s="3205"/>
      <c r="D2" s="3205"/>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05" t="s">
        <v>938</v>
      </c>
      <c r="B6" s="3205"/>
      <c r="C6" s="3205"/>
      <c r="D6" s="3205"/>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06" t="s">
        <v>941</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942</v>
      </c>
      <c r="B16" s="3210"/>
      <c r="C16" s="3210"/>
      <c r="D16" s="3210"/>
    </row>
    <row r="17" spans="1:4" ht="144" customHeight="1">
      <c r="A17" s="3210" t="s">
        <v>943</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944</v>
      </c>
      <c r="B22" s="3212"/>
      <c r="C22" s="3212"/>
      <c r="D22" s="3212"/>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8" t="s">
        <v>955</v>
      </c>
      <c r="B15" s="3213" t="s">
        <v>109</v>
      </c>
      <c r="C15" s="3214"/>
    </row>
    <row r="16" spans="1:7" ht="13.5">
      <c r="A16" s="3219"/>
      <c r="B16" s="3213" t="s">
        <v>42</v>
      </c>
      <c r="C16" s="3214"/>
    </row>
    <row r="17" spans="1:3" ht="13.5">
      <c r="A17" s="3219"/>
      <c r="B17" s="3216" t="s">
        <v>956</v>
      </c>
      <c r="C17" s="1428" t="s">
        <v>955</v>
      </c>
    </row>
    <row r="18" spans="1:3" ht="13.5">
      <c r="A18" s="3219"/>
      <c r="B18" s="3216"/>
      <c r="C18" s="1428" t="s">
        <v>957</v>
      </c>
    </row>
    <row r="19" spans="1:3" ht="13.5">
      <c r="A19" s="3219"/>
      <c r="B19" s="3216"/>
      <c r="C19" s="1428" t="s">
        <v>958</v>
      </c>
    </row>
    <row r="20" spans="1:3" ht="13.5">
      <c r="A20" s="3220"/>
      <c r="B20" s="3215" t="s">
        <v>959</v>
      </c>
      <c r="C20" s="3214"/>
    </row>
    <row r="21" spans="1:3" ht="13.5">
      <c r="A21" s="1429" t="s">
        <v>960</v>
      </c>
      <c r="B21" s="1430"/>
      <c r="C21" s="1431"/>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8" t="s">
        <v>966</v>
      </c>
    </row>
    <row r="26" spans="1:3" ht="13.5">
      <c r="A26" s="3217"/>
      <c r="B26" s="3216"/>
      <c r="C26" s="1428" t="s">
        <v>967</v>
      </c>
    </row>
    <row r="27" spans="1:3" ht="13.5">
      <c r="A27" s="3217"/>
      <c r="B27" s="3216"/>
      <c r="C27" s="1428" t="s">
        <v>968</v>
      </c>
    </row>
    <row r="28" spans="1:3" ht="13.5">
      <c r="A28" s="3217"/>
      <c r="B28" s="3216"/>
      <c r="C28" s="1428" t="s">
        <v>969</v>
      </c>
    </row>
    <row r="29" spans="1:3" ht="13.5">
      <c r="A29" s="3217"/>
      <c r="B29" s="3216"/>
      <c r="C29" s="1428" t="s">
        <v>970</v>
      </c>
    </row>
    <row r="30" spans="1:3" ht="13.5">
      <c r="A30" s="3217"/>
      <c r="B30" s="3216"/>
      <c r="C30" s="1428" t="s">
        <v>971</v>
      </c>
    </row>
    <row r="31" spans="1:3" ht="13.5">
      <c r="A31" s="3217"/>
      <c r="B31" s="3216"/>
      <c r="C31" s="1428" t="s">
        <v>972</v>
      </c>
    </row>
    <row r="32" spans="1:3" ht="13.5">
      <c r="A32" s="3217"/>
      <c r="B32" s="3216"/>
      <c r="C32" s="1428" t="s">
        <v>973</v>
      </c>
    </row>
    <row r="33" spans="1:3" ht="13.5">
      <c r="A33" s="3217"/>
      <c r="B33" s="3216"/>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2025-05-20T03:18:49Z</dcterms:modified>
</cp:coreProperties>
</file>