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分幢价值" sheetId="99" r:id="rId19"/>
    <sheet name="成本法" sheetId="68" r:id="rId20"/>
    <sheet name="比较法-商业" sheetId="33" state="hidden" r:id="rId21"/>
    <sheet name="基准地价修正" sheetId="43" r:id="rId22"/>
    <sheet name="收益法（汇总）" sheetId="70" r:id="rId23"/>
    <sheet name="收益法-车间" sheetId="15" r:id="rId24"/>
    <sheet name="比较法-租金" sheetId="89" state="hidden" r:id="rId25"/>
    <sheet name="比较法-办公" sheetId="34" state="hidden" r:id="rId26"/>
    <sheet name="收益法-办公" sheetId="97" r:id="rId27"/>
    <sheet name="Sheet1" sheetId="96" r:id="rId28"/>
    <sheet name="收益法 (元)" sheetId="67" state="hidden" r:id="rId29"/>
    <sheet name="成本法 (元)" sheetId="69" state="hidden" r:id="rId30"/>
    <sheet name="假设开发法" sheetId="12" state="hidden" r:id="rId31"/>
    <sheet name="收益法-酒店模型" sheetId="77"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收益法-残值" sheetId="82" state="hidden" r:id="rId50"/>
    <sheet name="Sheet3" sheetId="98" r:id="rId51"/>
  </sheets>
  <externalReferences>
    <externalReference r:id="rId52"/>
  </externalReferences>
  <definedNames>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2" hidden="1">'比较法-住宅'!$A$1:$L$49</definedName>
    <definedName name="_xlnm._FilterDatabase" localSheetId="24" hidden="1">'比较法-租金'!$A$1:$L$50</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2">'比较法-住宅'!$A$1:$K$54,'比较法-住宅'!$A$57:$M$131</definedName>
    <definedName name="_xlnm.Print_Area" localSheetId="24">'比较法-租金'!$A$1:$K$55,'比较法-租金'!$A$58:$M$132</definedName>
    <definedName name="_xlnm.Print_Area" localSheetId="19">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0">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22">'收益法（汇总）'!$A$1:$F$13</definedName>
    <definedName name="_xlnm.Print_Area" localSheetId="26">'收益法-办公'!$A$1:$F$43,'收益法-办公'!$H$3:$M$29,'收益法-办公'!$A$46:$F$71,'收益法-办公'!$I$46:$N$65</definedName>
    <definedName name="_xlnm.Print_Area" localSheetId="49">'收益法-残值'!$A$1:$F$43,'收益法-残值'!$H$3:$M$29,'收益法-残值'!$A$46:$F$71,'收益法-残值'!$I$46:$N$65</definedName>
    <definedName name="_xlnm.Print_Area" localSheetId="23">'收益法-车间'!$A$1:$F$43,'收益法-车间'!$H$3:$M$29,'收益法-车间'!$A$46:$F$71,'收益法-车间'!$I$46:$N$65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0" i="99" l="1"/>
  <c r="C8" i="99" l="1"/>
  <c r="C4" i="99"/>
  <c r="L11" i="99"/>
  <c r="K8" i="70" l="1"/>
  <c r="E5" i="99"/>
  <c r="E6" i="99"/>
  <c r="E7" i="99"/>
  <c r="E8" i="99"/>
  <c r="E9" i="99"/>
  <c r="E4" i="99"/>
  <c r="E10" i="99" l="1"/>
  <c r="M39" i="96"/>
  <c r="J19" i="1" l="1"/>
  <c r="U6" i="1"/>
  <c r="N20" i="1" l="1"/>
  <c r="N21" i="1" s="1"/>
  <c r="N7" i="1" s="1"/>
  <c r="N38" i="1" l="1"/>
  <c r="N6" i="1" l="1"/>
  <c r="F20" i="6"/>
  <c r="F19" i="6"/>
  <c r="U7" i="1"/>
  <c r="V26" i="1"/>
  <c r="B22" i="3"/>
  <c r="B21" i="3"/>
  <c r="V7" i="1" l="1"/>
  <c r="Y22" i="1" l="1"/>
  <c r="Y23" i="1"/>
  <c r="Y24" i="1"/>
  <c r="Y21" i="1"/>
  <c r="Y27" i="1" s="1"/>
  <c r="Y26" i="1"/>
  <c r="Y25" i="1"/>
  <c r="V24" i="1" l="1"/>
  <c r="V23" i="1"/>
  <c r="V22" i="1"/>
  <c r="Q72" i="97" l="1"/>
  <c r="Q59" i="97"/>
  <c r="K59" i="97"/>
  <c r="P74" i="97" s="1"/>
  <c r="F59" i="97"/>
  <c r="Q58" i="97"/>
  <c r="J52" i="97"/>
  <c r="Q51" i="97"/>
  <c r="J50" i="97"/>
  <c r="J49" i="97"/>
  <c r="M47" i="97"/>
  <c r="D46" i="97"/>
  <c r="F33" i="97"/>
  <c r="F61" i="97" s="1"/>
  <c r="F31" i="97"/>
  <c r="F23" i="97"/>
  <c r="D23" i="97" s="1"/>
  <c r="F21" i="97"/>
  <c r="F20" i="97"/>
  <c r="M19" i="97"/>
  <c r="F18" i="97"/>
  <c r="M17" i="97"/>
  <c r="F17" i="97"/>
  <c r="F15" i="97"/>
  <c r="D24" i="97" l="1"/>
  <c r="P61" i="97"/>
  <c r="D22" i="97"/>
  <c r="W22" i="1"/>
  <c r="W23" i="1"/>
  <c r="W24" i="1"/>
  <c r="W25" i="1"/>
  <c r="W26" i="1"/>
  <c r="W21" i="1"/>
  <c r="W27" i="1" l="1"/>
  <c r="U27" i="1" l="1"/>
  <c r="V27" i="1" s="1"/>
  <c r="E55" i="89" l="1"/>
  <c r="F55" i="89" s="1"/>
  <c r="B131" i="89"/>
  <c r="B129" i="89"/>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M103" i="89"/>
  <c r="L103" i="89"/>
  <c r="K103" i="89"/>
  <c r="J103" i="89"/>
  <c r="I103" i="89"/>
  <c r="H103" i="89"/>
  <c r="G103" i="89"/>
  <c r="F103" i="89"/>
  <c r="E103" i="89"/>
  <c r="D103" i="89"/>
  <c r="C103" i="89"/>
  <c r="E102" i="89"/>
  <c r="F102" i="89" s="1"/>
  <c r="G102" i="89" s="1"/>
  <c r="H102" i="89" s="1"/>
  <c r="I102" i="89" s="1"/>
  <c r="J102" i="89" s="1"/>
  <c r="K102" i="89" s="1"/>
  <c r="L102" i="89" s="1"/>
  <c r="M102" i="89" s="1"/>
  <c r="D102" i="89"/>
  <c r="B99" i="89"/>
  <c r="B97" i="89"/>
  <c r="B95" i="89"/>
  <c r="B93" i="89"/>
  <c r="D92" i="89"/>
  <c r="E92" i="89" s="1"/>
  <c r="F92" i="89" s="1"/>
  <c r="G92" i="89" s="1"/>
  <c r="H92" i="89" s="1"/>
  <c r="I92" i="89" s="1"/>
  <c r="J92" i="89" s="1"/>
  <c r="K92" i="89" s="1"/>
  <c r="L92" i="89" s="1"/>
  <c r="M92" i="89" s="1"/>
  <c r="B91" i="89"/>
  <c r="D90" i="89"/>
  <c r="E90" i="89" s="1"/>
  <c r="B89" i="89"/>
  <c r="D88" i="89"/>
  <c r="E88" i="89" s="1"/>
  <c r="F88" i="89" s="1"/>
  <c r="G88" i="89" s="1"/>
  <c r="H88" i="89" s="1"/>
  <c r="I88" i="89" s="1"/>
  <c r="J88" i="89" s="1"/>
  <c r="K88" i="89" s="1"/>
  <c r="L88" i="89" s="1"/>
  <c r="M88" i="89" s="1"/>
  <c r="E86" i="89"/>
  <c r="F86" i="89" s="1"/>
  <c r="G86" i="89" s="1"/>
  <c r="D86" i="89"/>
  <c r="D84" i="89"/>
  <c r="E84" i="89" s="1"/>
  <c r="F84" i="89" s="1"/>
  <c r="G84" i="89" s="1"/>
  <c r="E82" i="89"/>
  <c r="F82" i="89" s="1"/>
  <c r="G82" i="89" s="1"/>
  <c r="D82" i="89"/>
  <c r="D80" i="89"/>
  <c r="E80" i="89" s="1"/>
  <c r="F80" i="89" s="1"/>
  <c r="E78" i="89"/>
  <c r="F78" i="89" s="1"/>
  <c r="G78" i="89" s="1"/>
  <c r="D78" i="89"/>
  <c r="B75" i="89"/>
  <c r="B73" i="89"/>
  <c r="B71" i="89"/>
  <c r="D70" i="89"/>
  <c r="E70" i="89" s="1"/>
  <c r="F70" i="89" s="1"/>
  <c r="G70" i="89" s="1"/>
  <c r="H70" i="89" s="1"/>
  <c r="I70" i="89" s="1"/>
  <c r="J70" i="89" s="1"/>
  <c r="K70" i="89" s="1"/>
  <c r="L70" i="89" s="1"/>
  <c r="M70" i="89" s="1"/>
  <c r="M68" i="89"/>
  <c r="L68" i="89"/>
  <c r="K68" i="89"/>
  <c r="J68" i="89"/>
  <c r="I68" i="89"/>
  <c r="H68" i="89"/>
  <c r="G68" i="89"/>
  <c r="F68" i="89"/>
  <c r="E68" i="89"/>
  <c r="D68" i="89"/>
  <c r="C68" i="89"/>
  <c r="C64" i="89"/>
  <c r="I55" i="89"/>
  <c r="J55" i="89" s="1"/>
  <c r="G55" i="89"/>
  <c r="H55" i="89" s="1"/>
  <c r="P50" i="89"/>
  <c r="P49" i="89"/>
  <c r="K49" i="89"/>
  <c r="V48" i="89"/>
  <c r="T48" i="89"/>
  <c r="R48" i="89"/>
  <c r="P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Q27" i="89"/>
  <c r="Z27" i="89" s="1"/>
  <c r="H27" i="89"/>
  <c r="AB27" i="89" s="1"/>
  <c r="Q25" i="89"/>
  <c r="Z25" i="89" s="1"/>
  <c r="J25" i="89"/>
  <c r="W25" i="89" s="1"/>
  <c r="H25" i="89"/>
  <c r="AB25" i="89" s="1"/>
  <c r="F25" i="89"/>
  <c r="S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AC8" i="89" s="1"/>
  <c r="H8" i="89"/>
  <c r="U8" i="89" s="1"/>
  <c r="F8" i="89"/>
  <c r="S8" i="89" s="1"/>
  <c r="D2" i="89"/>
  <c r="G80" i="89" l="1"/>
  <c r="F17" i="89"/>
  <c r="AA17" i="89" s="1"/>
  <c r="J17" i="89"/>
  <c r="AC17" i="89" s="1"/>
  <c r="H17" i="89"/>
  <c r="AB17" i="89" s="1"/>
  <c r="AA8" i="89"/>
  <c r="J27" i="89"/>
  <c r="AC27" i="89" s="1"/>
  <c r="F27" i="89"/>
  <c r="S27" i="89" s="1"/>
  <c r="F90" i="89"/>
  <c r="G90" i="89" s="1"/>
  <c r="H90" i="89" s="1"/>
  <c r="I90" i="89" s="1"/>
  <c r="J90" i="89" s="1"/>
  <c r="K90" i="89" s="1"/>
  <c r="L90" i="89" s="1"/>
  <c r="M90" i="89" s="1"/>
  <c r="U10" i="89"/>
  <c r="W11" i="89"/>
  <c r="S13" i="89"/>
  <c r="U14" i="89"/>
  <c r="U15" i="89"/>
  <c r="U19" i="89"/>
  <c r="U21" i="89"/>
  <c r="U23" i="89"/>
  <c r="W10" i="89"/>
  <c r="S12" i="89"/>
  <c r="U13" i="89"/>
  <c r="W14" i="89"/>
  <c r="W15" i="89"/>
  <c r="W17" i="89"/>
  <c r="W19" i="89"/>
  <c r="W21" i="89"/>
  <c r="W23" i="89"/>
  <c r="AA25" i="89"/>
  <c r="W8" i="89"/>
  <c r="AB8" i="89"/>
  <c r="W9" i="89"/>
  <c r="S11" i="89"/>
  <c r="U12" i="89"/>
  <c r="W13" i="89"/>
  <c r="AC25" i="89"/>
  <c r="S9" i="89"/>
  <c r="U9" i="89"/>
  <c r="S10" i="89"/>
  <c r="U11" i="89"/>
  <c r="W12" i="89"/>
  <c r="S14" i="89"/>
  <c r="S15" i="89"/>
  <c r="S17" i="89"/>
  <c r="S19" i="89"/>
  <c r="S21" i="89"/>
  <c r="S23" i="89"/>
  <c r="U28" i="89"/>
  <c r="W29" i="89"/>
  <c r="S31" i="89"/>
  <c r="U32" i="89"/>
  <c r="W33" i="89"/>
  <c r="S36" i="89"/>
  <c r="U38" i="89"/>
  <c r="W39" i="89"/>
  <c r="S41" i="89"/>
  <c r="U42" i="89"/>
  <c r="W43" i="89"/>
  <c r="S45" i="89"/>
  <c r="U46" i="89"/>
  <c r="W47" i="89"/>
  <c r="U27" i="89"/>
  <c r="W28" i="89"/>
  <c r="S30" i="89"/>
  <c r="U31" i="89"/>
  <c r="W32" i="89"/>
  <c r="S35" i="89"/>
  <c r="U36" i="89"/>
  <c r="W38" i="89"/>
  <c r="S40" i="89"/>
  <c r="U41" i="89"/>
  <c r="W42" i="89"/>
  <c r="S44" i="89"/>
  <c r="U45" i="89"/>
  <c r="W46" i="89"/>
  <c r="U25" i="89"/>
  <c r="S29" i="89"/>
  <c r="U30" i="89"/>
  <c r="W31" i="89"/>
  <c r="S33" i="89"/>
  <c r="U35" i="89"/>
  <c r="W36" i="89"/>
  <c r="S39" i="89"/>
  <c r="U40" i="89"/>
  <c r="W41" i="89"/>
  <c r="S43" i="89"/>
  <c r="U44" i="89"/>
  <c r="W45" i="89"/>
  <c r="S47" i="89"/>
  <c r="S28" i="89"/>
  <c r="U29" i="89"/>
  <c r="W30" i="89"/>
  <c r="S32" i="89"/>
  <c r="U33" i="89"/>
  <c r="W35" i="89"/>
  <c r="S38" i="89"/>
  <c r="U39" i="89"/>
  <c r="W40" i="89"/>
  <c r="S42" i="89"/>
  <c r="U43" i="89"/>
  <c r="W44" i="89"/>
  <c r="S46" i="89"/>
  <c r="U47" i="89"/>
  <c r="G93" i="33"/>
  <c r="U17" i="89" l="1"/>
  <c r="W27" i="89"/>
  <c r="AA27" i="89"/>
  <c r="I10" i="33"/>
  <c r="G10" i="33"/>
  <c r="E10" i="33"/>
  <c r="C10" i="33"/>
  <c r="E5" i="33" s="1"/>
  <c r="E93" i="33"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Y7" i="1" l="1"/>
  <c r="C37" i="89" l="1"/>
  <c r="C37" i="34"/>
  <c r="C36" i="33"/>
  <c r="Y6" i="1"/>
  <c r="N28" i="1"/>
  <c r="I37" i="34" l="1"/>
  <c r="G37" i="34"/>
  <c r="E37" i="34"/>
  <c r="I37" i="89"/>
  <c r="J37" i="89" s="1"/>
  <c r="G37" i="89"/>
  <c r="H37" i="89" s="1"/>
  <c r="E37" i="89"/>
  <c r="F37" i="89" s="1"/>
  <c r="D3" i="4"/>
  <c r="AA37" i="89" l="1"/>
  <c r="S37" i="89"/>
  <c r="AB37" i="89"/>
  <c r="U37" i="89"/>
  <c r="AC37" i="89"/>
  <c r="W37" i="89"/>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V3" i="79"/>
  <c r="Z3" i="79"/>
  <c r="U3" i="79"/>
  <c r="R12" i="79"/>
  <c r="V12" i="79"/>
  <c r="S13" i="79"/>
  <c r="M25" i="79"/>
  <c r="P25" i="79" s="1"/>
  <c r="U36" i="79"/>
  <c r="AD37" i="79"/>
  <c r="S12"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D15" i="77" l="1"/>
  <c r="D17" i="77"/>
  <c r="D9" i="77"/>
  <c r="D16" i="77"/>
  <c r="D10" i="77"/>
  <c r="C23" i="77"/>
  <c r="D18" i="77"/>
  <c r="E24" i="43"/>
  <c r="D23" i="77" l="1"/>
  <c r="C29" i="77"/>
  <c r="Q32" i="43"/>
  <c r="P32" i="43"/>
  <c r="O32" i="43"/>
  <c r="N32" i="43"/>
  <c r="M32" i="43"/>
  <c r="AH11" i="71"/>
  <c r="AG11" i="71"/>
  <c r="AE11" i="71"/>
  <c r="AF11" i="71" s="1"/>
  <c r="AD11" i="71"/>
  <c r="Q11" i="71"/>
  <c r="P11" i="71"/>
  <c r="O11" i="71"/>
  <c r="N11" i="71"/>
  <c r="D29" i="77" l="1"/>
  <c r="E23" i="77"/>
  <c r="AH12" i="71"/>
  <c r="AG12" i="71"/>
  <c r="AE12" i="71"/>
  <c r="AF12" i="71" s="1"/>
  <c r="AD12" i="71"/>
  <c r="Q12" i="71"/>
  <c r="P12" i="71"/>
  <c r="O12" i="71"/>
  <c r="N12" i="71"/>
  <c r="E26" i="77" l="1"/>
  <c r="E29" i="77"/>
  <c r="AH13" i="71"/>
  <c r="AG13" i="71"/>
  <c r="AE13" i="71"/>
  <c r="AF13" i="71" s="1"/>
  <c r="AD13" i="71"/>
  <c r="Q13" i="71"/>
  <c r="P13" i="71"/>
  <c r="O13" i="71"/>
  <c r="N13" i="71"/>
  <c r="E32" i="77" l="1"/>
  <c r="E38" i="77"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AB23" i="71" s="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Y22" i="71" s="1"/>
  <c r="Z22" i="71" s="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c r="E86" i="71" s="1"/>
  <c r="C88" i="71"/>
  <c r="D88" i="71"/>
  <c r="B88" i="71"/>
  <c r="B87" i="71" s="1"/>
  <c r="B86" i="71" s="1"/>
  <c r="D85" i="71"/>
  <c r="F84" i="71"/>
  <c r="F83" i="71" s="1"/>
  <c r="F82" i="71" s="1"/>
  <c r="E84" i="71"/>
  <c r="E83" i="71"/>
  <c r="E82" i="71" s="1"/>
  <c r="C84" i="71"/>
  <c r="D84" i="71"/>
  <c r="B84" i="71"/>
  <c r="B83" i="71" s="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B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F43" i="71"/>
  <c r="F44" i="71" s="1"/>
  <c r="V44" i="71" s="1"/>
  <c r="Q41" i="71"/>
  <c r="F42" i="71" s="1"/>
  <c r="P41" i="71"/>
  <c r="E42" i="71" s="1"/>
  <c r="E43" i="71" s="1"/>
  <c r="E44" i="71" s="1"/>
  <c r="U44" i="71" s="1"/>
  <c r="O41" i="71"/>
  <c r="C42" i="71" s="1"/>
  <c r="N41" i="71"/>
  <c r="B42" i="71"/>
  <c r="B43" i="71"/>
  <c r="B44" i="71" s="1"/>
  <c r="S44" i="71" s="1"/>
  <c r="D41" i="71"/>
  <c r="Q40" i="71"/>
  <c r="P40" i="71"/>
  <c r="O40" i="71"/>
  <c r="N40" i="71"/>
  <c r="Q39" i="71"/>
  <c r="AB39" i="71" s="1"/>
  <c r="P39" i="71"/>
  <c r="AA39" i="71"/>
  <c r="O39" i="71"/>
  <c r="Y39" i="71"/>
  <c r="Z39" i="71" s="1"/>
  <c r="N39" i="71"/>
  <c r="X39" i="71" s="1"/>
  <c r="Q38" i="71"/>
  <c r="P38" i="71"/>
  <c r="AA38" i="71" s="1"/>
  <c r="O38" i="71"/>
  <c r="Y38" i="71" s="1"/>
  <c r="Z38" i="71" s="1"/>
  <c r="N38" i="71"/>
  <c r="F38" i="71"/>
  <c r="F39" i="71" s="1"/>
  <c r="F40" i="71" s="1"/>
  <c r="V40" i="71" s="1"/>
  <c r="Q37" i="71"/>
  <c r="P37" i="71"/>
  <c r="E38" i="71" s="1"/>
  <c r="E39" i="71" s="1"/>
  <c r="E40" i="71" s="1"/>
  <c r="U40" i="71" s="1"/>
  <c r="O37" i="71"/>
  <c r="N37" i="71"/>
  <c r="D37" i="71"/>
  <c r="Q36" i="71"/>
  <c r="AB36" i="71" s="1"/>
  <c r="P36" i="71"/>
  <c r="AA33" i="71" s="1"/>
  <c r="O36" i="71"/>
  <c r="Y36" i="71" s="1"/>
  <c r="Z36" i="71" s="1"/>
  <c r="N36" i="71"/>
  <c r="X36" i="71" s="1"/>
  <c r="Q35" i="71"/>
  <c r="AB35" i="71" s="1"/>
  <c r="P35" i="71"/>
  <c r="O35" i="71"/>
  <c r="Y35" i="71" s="1"/>
  <c r="Z35" i="71" s="1"/>
  <c r="N35" i="71"/>
  <c r="Q34" i="71"/>
  <c r="AB34" i="71" s="1"/>
  <c r="P34" i="71"/>
  <c r="O34" i="71"/>
  <c r="Y34" i="71"/>
  <c r="Z34" i="71" s="1"/>
  <c r="N34" i="71"/>
  <c r="X34" i="71" s="1"/>
  <c r="Q33" i="71"/>
  <c r="F34" i="71" s="1"/>
  <c r="F35" i="71" s="1"/>
  <c r="F36" i="71" s="1"/>
  <c r="V36" i="71" s="1"/>
  <c r="P33" i="71"/>
  <c r="O33" i="71"/>
  <c r="Y33" i="71" s="1"/>
  <c r="N33" i="71"/>
  <c r="X33" i="71" s="1"/>
  <c r="D33" i="71"/>
  <c r="Q32" i="71"/>
  <c r="AB32" i="71"/>
  <c r="P32" i="71"/>
  <c r="AA32" i="71" s="1"/>
  <c r="O32" i="71"/>
  <c r="N32" i="71"/>
  <c r="X32" i="71" s="1"/>
  <c r="Q31" i="71"/>
  <c r="P31" i="71"/>
  <c r="AA31" i="71" s="1"/>
  <c r="O31" i="71"/>
  <c r="N31" i="71"/>
  <c r="Q30" i="71"/>
  <c r="AB30" i="71" s="1"/>
  <c r="P30" i="71"/>
  <c r="AA30" i="71" s="1"/>
  <c r="O30" i="71"/>
  <c r="Y30" i="71" s="1"/>
  <c r="Z30" i="71" s="1"/>
  <c r="N30" i="71"/>
  <c r="X30" i="71" s="1"/>
  <c r="Q29" i="71"/>
  <c r="F30" i="71" s="1"/>
  <c r="F31" i="71" s="1"/>
  <c r="F32" i="71" s="1"/>
  <c r="V32" i="71" s="1"/>
  <c r="P29" i="71"/>
  <c r="AA29" i="71" s="1"/>
  <c r="O29" i="71"/>
  <c r="N29" i="71"/>
  <c r="D29" i="71"/>
  <c r="O28" i="71"/>
  <c r="C28" i="71" s="1"/>
  <c r="N28" i="71"/>
  <c r="B30" i="71"/>
  <c r="B31" i="71"/>
  <c r="B32" i="71" s="1"/>
  <c r="S32" i="71" s="1"/>
  <c r="AA37" i="71"/>
  <c r="N68" i="71"/>
  <c r="E34" i="71"/>
  <c r="C30" i="71"/>
  <c r="Y29" i="71"/>
  <c r="Z29" i="71" s="1"/>
  <c r="X31" i="71"/>
  <c r="Z33" i="71"/>
  <c r="X35" i="71"/>
  <c r="AA35" i="71"/>
  <c r="C38" i="71"/>
  <c r="Y37" i="71"/>
  <c r="Z37" i="71" s="1"/>
  <c r="X38" i="71"/>
  <c r="Y26" i="71"/>
  <c r="Z26" i="71" s="1"/>
  <c r="B28" i="71"/>
  <c r="B27" i="71" s="1"/>
  <c r="B26" i="71" s="1"/>
  <c r="X26" i="71"/>
  <c r="X27" i="71"/>
  <c r="C31" i="71"/>
  <c r="D30" i="71"/>
  <c r="C39" i="71"/>
  <c r="D38" i="71"/>
  <c r="C47" i="71"/>
  <c r="D47" i="71" s="1"/>
  <c r="D46" i="71"/>
  <c r="C51" i="71"/>
  <c r="D50" i="71"/>
  <c r="P28" i="71"/>
  <c r="E55" i="71"/>
  <c r="E56" i="71" s="1"/>
  <c r="U56" i="71" s="1"/>
  <c r="E59" i="71"/>
  <c r="E60" i="71"/>
  <c r="U60" i="71" s="1"/>
  <c r="Q65" i="71"/>
  <c r="U68" i="71"/>
  <c r="E67" i="71"/>
  <c r="Q28" i="71"/>
  <c r="AB27" i="71" s="1"/>
  <c r="C63" i="71"/>
  <c r="D62" i="71"/>
  <c r="N67" i="71"/>
  <c r="B66" i="71"/>
  <c r="N66" i="71" s="1"/>
  <c r="Q67" i="71"/>
  <c r="T68" i="71"/>
  <c r="O68" i="71"/>
  <c r="D68" i="71"/>
  <c r="C67" i="71"/>
  <c r="D67" i="71" s="1"/>
  <c r="Q68" i="71"/>
  <c r="C71" i="71"/>
  <c r="E71" i="71"/>
  <c r="E70" i="71" s="1"/>
  <c r="D72" i="71"/>
  <c r="C75" i="71"/>
  <c r="E75" i="71"/>
  <c r="E74" i="71" s="1"/>
  <c r="D76" i="71"/>
  <c r="C79" i="71"/>
  <c r="E79" i="71"/>
  <c r="E78" i="71" s="1"/>
  <c r="D80" i="71"/>
  <c r="C83" i="71"/>
  <c r="C87" i="71"/>
  <c r="D87" i="71" s="1"/>
  <c r="F28" i="71"/>
  <c r="F27" i="71" s="1"/>
  <c r="F26" i="71" s="1"/>
  <c r="AB26" i="71"/>
  <c r="E28" i="71"/>
  <c r="E27" i="71"/>
  <c r="E26" i="71" s="1"/>
  <c r="AA3" i="71"/>
  <c r="AA26" i="71"/>
  <c r="AA27" i="71"/>
  <c r="AA28" i="71"/>
  <c r="C66" i="71"/>
  <c r="O65" i="71" s="1"/>
  <c r="O67" i="71"/>
  <c r="C64" i="71"/>
  <c r="T64" i="71" s="1"/>
  <c r="D63" i="71"/>
  <c r="D83" i="71"/>
  <c r="C82" i="71"/>
  <c r="D82" i="71"/>
  <c r="D75" i="71"/>
  <c r="C74" i="71"/>
  <c r="D74" i="71" s="1"/>
  <c r="N65" i="71"/>
  <c r="D79" i="71"/>
  <c r="C78" i="71"/>
  <c r="D78" i="71" s="1"/>
  <c r="D71" i="71"/>
  <c r="C70" i="71"/>
  <c r="D70" i="71" s="1"/>
  <c r="P67" i="71"/>
  <c r="E66" i="71"/>
  <c r="P65" i="71" s="1"/>
  <c r="C52" i="71"/>
  <c r="D51" i="71"/>
  <c r="C40" i="71"/>
  <c r="D39" i="71"/>
  <c r="C32" i="71"/>
  <c r="D31" i="71"/>
  <c r="V28" i="71"/>
  <c r="P66" i="71"/>
  <c r="O66" i="71"/>
  <c r="D66" i="71"/>
  <c r="T32" i="71"/>
  <c r="D32" i="71"/>
  <c r="T40" i="71"/>
  <c r="D40"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C21" i="33"/>
  <c r="C21" i="21"/>
  <c r="Q21" i="21"/>
  <c r="Z21" i="21" s="1"/>
  <c r="H19" i="21"/>
  <c r="D83" i="21"/>
  <c r="F21" i="21"/>
  <c r="S21" i="21" s="1"/>
  <c r="D81" i="21"/>
  <c r="G20" i="20"/>
  <c r="B88" i="43"/>
  <c r="C22" i="20"/>
  <c r="B100" i="43" s="1"/>
  <c r="B77" i="43"/>
  <c r="B68" i="43"/>
  <c r="C25" i="40"/>
  <c r="C29" i="39"/>
  <c r="F94" i="40"/>
  <c r="G94" i="40" s="1"/>
  <c r="H25" i="40"/>
  <c r="J25" i="40"/>
  <c r="H29" i="39"/>
  <c r="J29" i="39"/>
  <c r="AC29" i="39" s="1"/>
  <c r="J18" i="36"/>
  <c r="F68" i="35"/>
  <c r="G68" i="35" s="1"/>
  <c r="H18" i="35"/>
  <c r="S18" i="35"/>
  <c r="J18" i="35"/>
  <c r="AC18" i="35" s="1"/>
  <c r="H21" i="37"/>
  <c r="AB21" i="37" s="1"/>
  <c r="F21" i="37"/>
  <c r="AA21" i="37" s="1"/>
  <c r="H21" i="34"/>
  <c r="AB21" i="34" s="1"/>
  <c r="H21" i="33"/>
  <c r="U21" i="33" s="1"/>
  <c r="F21" i="33"/>
  <c r="AA21" i="33" s="1"/>
  <c r="E83" i="21"/>
  <c r="H1" i="69"/>
  <c r="AC25" i="40"/>
  <c r="W25" i="40"/>
  <c r="AB25" i="40"/>
  <c r="U25" i="40"/>
  <c r="W29" i="39"/>
  <c r="AC18" i="36"/>
  <c r="W18" i="36"/>
  <c r="U21" i="37"/>
  <c r="S21" i="37"/>
  <c r="AB21" i="33"/>
  <c r="S21" i="33"/>
  <c r="AB18" i="35"/>
  <c r="U18" i="35"/>
  <c r="J21" i="37"/>
  <c r="W21" i="37" s="1"/>
  <c r="J21" i="34"/>
  <c r="AC21" i="34" s="1"/>
  <c r="G83" i="33"/>
  <c r="J21" i="33"/>
  <c r="W21" i="33" s="1"/>
  <c r="F83" i="21"/>
  <c r="G83" i="21" s="1"/>
  <c r="H21" i="21"/>
  <c r="F38" i="69"/>
  <c r="E37" i="69"/>
  <c r="F36" i="69"/>
  <c r="F35" i="69"/>
  <c r="F21" i="69"/>
  <c r="F40" i="69" s="1"/>
  <c r="F20" i="69"/>
  <c r="F39" i="69" s="1"/>
  <c r="E10" i="69"/>
  <c r="E9" i="69"/>
  <c r="AC21" i="33"/>
  <c r="AB21" i="21"/>
  <c r="U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Z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Z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BC22" i="3"/>
  <c r="BB22" i="3"/>
  <c r="AZ22" i="3"/>
  <c r="AX22" i="3"/>
  <c r="AW22" i="3"/>
  <c r="AV22" i="3"/>
  <c r="AC22" i="3"/>
  <c r="H22" i="3"/>
  <c r="BT21" i="3"/>
  <c r="BS21" i="3"/>
  <c r="BR21" i="3"/>
  <c r="BQ21" i="3"/>
  <c r="BP21" i="3"/>
  <c r="BO21" i="3"/>
  <c r="BL21" i="3" s="1"/>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L19" i="3" s="1"/>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BC470" i="3"/>
  <c r="BB470" i="3"/>
  <c r="AZ470" i="3"/>
  <c r="AX470" i="3"/>
  <c r="AW470" i="3"/>
  <c r="AV470" i="3"/>
  <c r="AC470" i="3"/>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Z463" i="3"/>
  <c r="AX463" i="3"/>
  <c r="AW463" i="3"/>
  <c r="AV463" i="3"/>
  <c r="AC463" i="3"/>
  <c r="H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BC456" i="3"/>
  <c r="BB456" i="3"/>
  <c r="AZ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BC444" i="3"/>
  <c r="BB444" i="3"/>
  <c r="AZ444" i="3"/>
  <c r="AX444" i="3"/>
  <c r="AW444" i="3"/>
  <c r="AV444" i="3"/>
  <c r="AC444" i="3"/>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A406" i="3" s="1"/>
  <c r="AZ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AZ399" i="3" s="1"/>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C15" i="4"/>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G17" i="3" s="1"/>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R5" i="3" s="1"/>
  <c r="BS493" i="3"/>
  <c r="BT493" i="3"/>
  <c r="H494" i="3"/>
  <c r="AC494" i="3"/>
  <c r="AC5" i="3" s="1"/>
  <c r="BB494" i="3"/>
  <c r="BC494" i="3"/>
  <c r="BD494" i="3"/>
  <c r="BE494" i="3"/>
  <c r="BE5" i="3" s="1"/>
  <c r="BF494" i="3"/>
  <c r="BG494" i="3"/>
  <c r="BH494" i="3"/>
  <c r="BI494" i="3"/>
  <c r="BI5" i="3" s="1"/>
  <c r="BJ494" i="3"/>
  <c r="BK494" i="3"/>
  <c r="BM494" i="3"/>
  <c r="BN494" i="3"/>
  <c r="BO494" i="3"/>
  <c r="BP494" i="3"/>
  <c r="BQ494" i="3"/>
  <c r="BR494" i="3"/>
  <c r="BS494" i="3"/>
  <c r="BT494" i="3"/>
  <c r="H495" i="3"/>
  <c r="AC495" i="3"/>
  <c r="G495" i="3" s="1"/>
  <c r="BB495" i="3"/>
  <c r="BC495" i="3"/>
  <c r="BD495" i="3"/>
  <c r="BE495" i="3"/>
  <c r="BA495" i="3" s="1"/>
  <c r="AZ495" i="3" s="1"/>
  <c r="BF495" i="3"/>
  <c r="BG495" i="3"/>
  <c r="BH495" i="3"/>
  <c r="BI495" i="3"/>
  <c r="BJ495" i="3"/>
  <c r="BK495" i="3"/>
  <c r="BM495" i="3"/>
  <c r="BN495" i="3"/>
  <c r="BL495" i="3" s="1"/>
  <c r="BO495" i="3"/>
  <c r="BP495" i="3"/>
  <c r="BR495" i="3"/>
  <c r="BS495" i="3"/>
  <c r="BS5" i="3" s="1"/>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AC500" i="3"/>
  <c r="BB500" i="3"/>
  <c r="BC500" i="3"/>
  <c r="BD500" i="3"/>
  <c r="BA500" i="3" s="1"/>
  <c r="BE500" i="3"/>
  <c r="BF500" i="3"/>
  <c r="BG500" i="3"/>
  <c r="BH500" i="3"/>
  <c r="BI500" i="3"/>
  <c r="BJ500" i="3"/>
  <c r="BK500" i="3"/>
  <c r="BM500" i="3"/>
  <c r="BN500" i="3"/>
  <c r="BO500" i="3"/>
  <c r="BP500" i="3"/>
  <c r="BQ500" i="3"/>
  <c r="BQ5" i="3" s="1"/>
  <c r="F28" i="6" s="1"/>
  <c r="BR500" i="3"/>
  <c r="BS500" i="3"/>
  <c r="BT500" i="3"/>
  <c r="H501" i="3"/>
  <c r="G501" i="3" s="1"/>
  <c r="AC501" i="3"/>
  <c r="BB501" i="3"/>
  <c r="BC501" i="3"/>
  <c r="BD501" i="3"/>
  <c r="BA501" i="3" s="1"/>
  <c r="AZ501" i="3" s="1"/>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A503" i="3" s="1"/>
  <c r="BF503" i="3"/>
  <c r="BG503" i="3"/>
  <c r="BH503" i="3"/>
  <c r="BI503" i="3"/>
  <c r="BJ503" i="3"/>
  <c r="BK503" i="3"/>
  <c r="BM503" i="3"/>
  <c r="BN503" i="3"/>
  <c r="BL503" i="3" s="1"/>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AZ519" i="3" s="1"/>
  <c r="BC519" i="3"/>
  <c r="BD519" i="3"/>
  <c r="BE519" i="3"/>
  <c r="BF519" i="3"/>
  <c r="BG519" i="3"/>
  <c r="BH519" i="3"/>
  <c r="BI519" i="3"/>
  <c r="BJ519" i="3"/>
  <c r="BK519" i="3"/>
  <c r="BM519" i="3"/>
  <c r="BN519" i="3"/>
  <c r="BO519" i="3"/>
  <c r="BL519" i="3" s="1"/>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A521" i="3" s="1"/>
  <c r="AZ521" i="3" s="1"/>
  <c r="BE521" i="3"/>
  <c r="BF521" i="3"/>
  <c r="BG521" i="3"/>
  <c r="BH521" i="3"/>
  <c r="BI521" i="3"/>
  <c r="BJ521" i="3"/>
  <c r="BK521" i="3"/>
  <c r="BM521" i="3"/>
  <c r="BL521" i="3" s="1"/>
  <c r="BN521" i="3"/>
  <c r="BO521" i="3"/>
  <c r="BP521" i="3"/>
  <c r="BR521" i="3"/>
  <c r="BS521" i="3"/>
  <c r="BT521" i="3"/>
  <c r="H522" i="3"/>
  <c r="AC522" i="3"/>
  <c r="G522" i="3" s="1"/>
  <c r="BB522" i="3"/>
  <c r="BC522" i="3"/>
  <c r="BD522" i="3"/>
  <c r="BE522" i="3"/>
  <c r="BA522" i="3" s="1"/>
  <c r="AZ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G526" i="3" s="1"/>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BB530" i="3"/>
  <c r="BC530" i="3"/>
  <c r="BD530" i="3"/>
  <c r="BE530" i="3"/>
  <c r="BA530" i="3" s="1"/>
  <c r="AZ530" i="3" s="1"/>
  <c r="BF530" i="3"/>
  <c r="BG530" i="3"/>
  <c r="BH530" i="3"/>
  <c r="BI530" i="3"/>
  <c r="BJ530" i="3"/>
  <c r="BK530" i="3"/>
  <c r="BM530" i="3"/>
  <c r="BN530" i="3"/>
  <c r="BO530" i="3"/>
  <c r="BP530" i="3"/>
  <c r="BQ530" i="3"/>
  <c r="BR530" i="3"/>
  <c r="BS530" i="3"/>
  <c r="BT530" i="3"/>
  <c r="H531" i="3"/>
  <c r="G531" i="3" s="1"/>
  <c r="AC531" i="3"/>
  <c r="BB531" i="3"/>
  <c r="BC531" i="3"/>
  <c r="BD531" i="3"/>
  <c r="BE531" i="3"/>
  <c r="BA531" i="3" s="1"/>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L533" i="3" s="1"/>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A538" i="3" s="1"/>
  <c r="BF538" i="3"/>
  <c r="BG538" i="3"/>
  <c r="BH538" i="3"/>
  <c r="BI538" i="3"/>
  <c r="BJ538" i="3"/>
  <c r="BK538" i="3"/>
  <c r="BM538" i="3"/>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G548" i="3" s="1"/>
  <c r="AC548" i="3"/>
  <c r="BB548" i="3"/>
  <c r="BC548" i="3"/>
  <c r="BD548" i="3"/>
  <c r="BE548" i="3"/>
  <c r="BA548" i="3" s="1"/>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A550" i="3" s="1"/>
  <c r="AZ550" i="3" s="1"/>
  <c r="BD550" i="3"/>
  <c r="BE550" i="3"/>
  <c r="BF550" i="3"/>
  <c r="BG550" i="3"/>
  <c r="BH550" i="3"/>
  <c r="BI550" i="3"/>
  <c r="BJ550" i="3"/>
  <c r="BK550" i="3"/>
  <c r="BM550" i="3"/>
  <c r="BN550" i="3"/>
  <c r="BO550" i="3"/>
  <c r="BL550" i="3"/>
  <c r="BP550" i="3"/>
  <c r="BQ550" i="3"/>
  <c r="BR550" i="3"/>
  <c r="BS550" i="3"/>
  <c r="BT550" i="3"/>
  <c r="H551" i="3"/>
  <c r="AC551" i="3"/>
  <c r="G551" i="3" s="1"/>
  <c r="BB551" i="3"/>
  <c r="BC551" i="3"/>
  <c r="BD551" i="3"/>
  <c r="BE551" i="3"/>
  <c r="BF551" i="3"/>
  <c r="BG551" i="3"/>
  <c r="BH551" i="3"/>
  <c r="BA551" i="3" s="1"/>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L557" i="3" s="1"/>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L559" i="3" s="1"/>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A567" i="3" s="1"/>
  <c r="AZ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A568" i="3" s="1"/>
  <c r="AZ568" i="3" s="1"/>
  <c r="BE568" i="3"/>
  <c r="BF568" i="3"/>
  <c r="BG568" i="3"/>
  <c r="BH568" i="3"/>
  <c r="BI568" i="3"/>
  <c r="BJ568" i="3"/>
  <c r="BK568" i="3"/>
  <c r="BM568" i="3"/>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A573" i="3" s="1"/>
  <c r="BF573" i="3"/>
  <c r="BG573" i="3"/>
  <c r="BH573" i="3"/>
  <c r="BI573" i="3"/>
  <c r="BJ573" i="3"/>
  <c r="BK573" i="3"/>
  <c r="BM573" i="3"/>
  <c r="BN573" i="3"/>
  <c r="BL573" i="3" s="1"/>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s="1"/>
  <c r="I87" i="35" s="1"/>
  <c r="J87" i="35"/>
  <c r="K87" i="35" s="1"/>
  <c r="L87" i="35" s="1"/>
  <c r="M87" i="35" s="1"/>
  <c r="H34" i="37"/>
  <c r="D101" i="37"/>
  <c r="F34" i="37"/>
  <c r="D99" i="37"/>
  <c r="E99" i="37"/>
  <c r="F99" i="37"/>
  <c r="G99" i="37" s="1"/>
  <c r="H99" i="37" s="1"/>
  <c r="I99" i="37"/>
  <c r="J99" i="37" s="1"/>
  <c r="K99" i="37" s="1"/>
  <c r="L99" i="37" s="1"/>
  <c r="M99" i="37" s="1"/>
  <c r="H42" i="34"/>
  <c r="J42" i="34"/>
  <c r="W42" i="34" s="1"/>
  <c r="F42" i="34"/>
  <c r="J38" i="34"/>
  <c r="W38" i="34" s="1"/>
  <c r="D114" i="34"/>
  <c r="F38" i="34"/>
  <c r="S38" i="34" s="1"/>
  <c r="D112" i="34"/>
  <c r="E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c r="H76" i="40"/>
  <c r="I76" i="40" s="1"/>
  <c r="J76" i="40" s="1"/>
  <c r="K76" i="40" s="1"/>
  <c r="L76" i="40" s="1"/>
  <c r="M76" i="40" s="1"/>
  <c r="B120" i="40"/>
  <c r="B118" i="40"/>
  <c r="B116" i="40"/>
  <c r="F38" i="40" s="1"/>
  <c r="AA38" i="40"/>
  <c r="D115" i="40"/>
  <c r="E115" i="40" s="1"/>
  <c r="F115" i="40" s="1"/>
  <c r="G115" i="40" s="1"/>
  <c r="H115" i="40" s="1"/>
  <c r="I115" i="40" s="1"/>
  <c r="J115" i="40" s="1"/>
  <c r="K115" i="40"/>
  <c r="L115" i="40"/>
  <c r="M115" i="40" s="1"/>
  <c r="D113" i="40"/>
  <c r="E113" i="40"/>
  <c r="F113" i="40"/>
  <c r="G113" i="40" s="1"/>
  <c r="H113" i="40" s="1"/>
  <c r="I113" i="40"/>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H32" i="40" s="1"/>
  <c r="AB32" i="40" s="1"/>
  <c r="B101" i="40"/>
  <c r="J31" i="40"/>
  <c r="AC31" i="40"/>
  <c r="D100" i="40"/>
  <c r="E100" i="40" s="1"/>
  <c r="F100" i="40" s="1"/>
  <c r="G100" i="40" s="1"/>
  <c r="H100" i="40" s="1"/>
  <c r="I100" i="40" s="1"/>
  <c r="J100" i="40"/>
  <c r="K100" i="40"/>
  <c r="L100" i="40" s="1"/>
  <c r="M100" i="40" s="1"/>
  <c r="D98" i="40"/>
  <c r="J28" i="40"/>
  <c r="AC28" i="40" s="1"/>
  <c r="D96" i="40"/>
  <c r="E96" i="40"/>
  <c r="F96" i="40" s="1"/>
  <c r="G96" i="40" s="1"/>
  <c r="H96" i="40" s="1"/>
  <c r="I96" i="40" s="1"/>
  <c r="J96" i="40"/>
  <c r="K96" i="40" s="1"/>
  <c r="L96" i="40" s="1"/>
  <c r="M96" i="40" s="1"/>
  <c r="B95" i="40"/>
  <c r="D92" i="40"/>
  <c r="E92" i="40" s="1"/>
  <c r="F92" i="40"/>
  <c r="G92" i="40" s="1"/>
  <c r="D90" i="40"/>
  <c r="E90" i="40" s="1"/>
  <c r="F90" i="40"/>
  <c r="G90" i="40"/>
  <c r="D88" i="40"/>
  <c r="E88" i="40" s="1"/>
  <c r="F88" i="40" s="1"/>
  <c r="D86" i="40"/>
  <c r="E86" i="40"/>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Q38" i="40"/>
  <c r="Z38" i="40" s="1"/>
  <c r="J38" i="40"/>
  <c r="AC38" i="40"/>
  <c r="H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F105" i="37" s="1"/>
  <c r="G105" i="37" s="1"/>
  <c r="D103" i="37"/>
  <c r="J35" i="37"/>
  <c r="W35" i="37"/>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c r="F75" i="37" s="1"/>
  <c r="G75" i="37" s="1"/>
  <c r="D73" i="37"/>
  <c r="E73" i="37" s="1"/>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s="1"/>
  <c r="F30" i="37"/>
  <c r="AA30" i="37" s="1"/>
  <c r="Q29" i="37"/>
  <c r="Z29" i="37"/>
  <c r="H29" i="37"/>
  <c r="AB29" i="37" s="1"/>
  <c r="Q28" i="37"/>
  <c r="Z28" i="37"/>
  <c r="Q27" i="37"/>
  <c r="Z27" i="37" s="1"/>
  <c r="Q26" i="37"/>
  <c r="Z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c r="I81" i="36" s="1"/>
  <c r="J81" i="36" s="1"/>
  <c r="K81" i="36" s="1"/>
  <c r="L81" i="36" s="1"/>
  <c r="M81" i="36" s="1"/>
  <c r="F79" i="36"/>
  <c r="E79" i="36"/>
  <c r="D79" i="36"/>
  <c r="C79" i="36"/>
  <c r="B93" i="36"/>
  <c r="H33" i="36"/>
  <c r="B91" i="36"/>
  <c r="F32" i="36" s="1"/>
  <c r="B95" i="36"/>
  <c r="H34" i="36"/>
  <c r="U34" i="36" s="1"/>
  <c r="D83" i="36"/>
  <c r="E83" i="36" s="1"/>
  <c r="F83" i="36" s="1"/>
  <c r="G83" i="36" s="1"/>
  <c r="H83" i="36" s="1"/>
  <c r="I83" i="36" s="1"/>
  <c r="J83" i="36" s="1"/>
  <c r="K83" i="36"/>
  <c r="L83" i="36"/>
  <c r="M83" i="36" s="1"/>
  <c r="D78" i="36"/>
  <c r="E78" i="36"/>
  <c r="F78" i="36"/>
  <c r="G78" i="36" s="1"/>
  <c r="H78" i="36" s="1"/>
  <c r="I78" i="36"/>
  <c r="J78" i="36" s="1"/>
  <c r="K78" i="36" s="1"/>
  <c r="L78" i="36" s="1"/>
  <c r="M78" i="36" s="1"/>
  <c r="B75" i="36"/>
  <c r="B73" i="36"/>
  <c r="J24" i="36"/>
  <c r="AC24" i="36"/>
  <c r="B71" i="36"/>
  <c r="D70" i="36"/>
  <c r="H22" i="36"/>
  <c r="AB22" i="36"/>
  <c r="D68" i="36"/>
  <c r="E68" i="36" s="1"/>
  <c r="F68" i="36" s="1"/>
  <c r="G68" i="36" s="1"/>
  <c r="D64" i="36"/>
  <c r="E64" i="36" s="1"/>
  <c r="F64" i="36" s="1"/>
  <c r="G64" i="36"/>
  <c r="J16" i="36"/>
  <c r="D62" i="36"/>
  <c r="E62" i="36"/>
  <c r="F62" i="36"/>
  <c r="G62" i="36" s="1"/>
  <c r="B59" i="36"/>
  <c r="B57" i="36"/>
  <c r="B55" i="36"/>
  <c r="C51" i="36"/>
  <c r="H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B101" i="35"/>
  <c r="H36" i="35"/>
  <c r="AB36" i="35"/>
  <c r="B99" i="35"/>
  <c r="B97" i="35"/>
  <c r="B77" i="35"/>
  <c r="B75" i="35"/>
  <c r="B73" i="35"/>
  <c r="H23" i="35"/>
  <c r="U23" i="35" s="1"/>
  <c r="B57" i="35"/>
  <c r="J11" i="35" s="1"/>
  <c r="B61" i="35"/>
  <c r="J13" i="35" s="1"/>
  <c r="AC13" i="35" s="1"/>
  <c r="B59" i="35"/>
  <c r="B131" i="34"/>
  <c r="B129" i="34"/>
  <c r="B127" i="34"/>
  <c r="H45" i="34" s="1"/>
  <c r="AB45" i="34" s="1"/>
  <c r="B99" i="34"/>
  <c r="B97" i="34"/>
  <c r="B95" i="34"/>
  <c r="F30" i="34" s="1"/>
  <c r="S30" i="34" s="1"/>
  <c r="B93" i="34"/>
  <c r="H29" i="34" s="1"/>
  <c r="B75" i="34"/>
  <c r="B73" i="34"/>
  <c r="B71" i="34"/>
  <c r="F12" i="34" s="1"/>
  <c r="S12" i="34" s="1"/>
  <c r="B130" i="33"/>
  <c r="F46" i="33" s="1"/>
  <c r="B128" i="33"/>
  <c r="B126" i="33"/>
  <c r="B98" i="33"/>
  <c r="H31" i="33" s="1"/>
  <c r="AB31" i="33" s="1"/>
  <c r="B96" i="33"/>
  <c r="B94" i="33"/>
  <c r="B74" i="33"/>
  <c r="B72" i="33"/>
  <c r="J13" i="33" s="1"/>
  <c r="B70" i="33"/>
  <c r="J12" i="33" s="1"/>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c r="F80" i="35"/>
  <c r="G80" i="35" s="1"/>
  <c r="H80" i="35" s="1"/>
  <c r="I80" i="35" s="1"/>
  <c r="J80" i="35"/>
  <c r="K80" i="35"/>
  <c r="L80" i="35" s="1"/>
  <c r="M80" i="35" s="1"/>
  <c r="D72" i="35"/>
  <c r="E72" i="35"/>
  <c r="F72" i="35" s="1"/>
  <c r="G72" i="35"/>
  <c r="D70" i="35"/>
  <c r="E70" i="35"/>
  <c r="F70" i="35" s="1"/>
  <c r="G70" i="35"/>
  <c r="D66" i="35"/>
  <c r="E66" i="35" s="1"/>
  <c r="F66" i="35" s="1"/>
  <c r="G66" i="35" s="1"/>
  <c r="D64" i="35"/>
  <c r="E64" i="35" s="1"/>
  <c r="F64" i="35" s="1"/>
  <c r="G64" i="35" s="1"/>
  <c r="J14" i="35"/>
  <c r="W14" i="35"/>
  <c r="C53" i="35"/>
  <c r="J9" i="35" s="1"/>
  <c r="W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s="1"/>
  <c r="F32" i="35"/>
  <c r="AA32" i="35" s="1"/>
  <c r="Q31" i="35"/>
  <c r="Z31" i="35" s="1"/>
  <c r="AC31" i="35"/>
  <c r="AB31" i="35"/>
  <c r="AA31" i="35"/>
  <c r="Q30" i="35"/>
  <c r="Z30" i="35"/>
  <c r="Q29" i="35"/>
  <c r="Z29" i="35" s="1"/>
  <c r="Q28" i="35"/>
  <c r="Z28" i="35"/>
  <c r="J28" i="35"/>
  <c r="W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s="1"/>
  <c r="H12" i="35"/>
  <c r="U12" i="35" s="1"/>
  <c r="F12" i="35"/>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c r="H92" i="34" s="1"/>
  <c r="I92" i="34" s="1"/>
  <c r="J92" i="34" s="1"/>
  <c r="K92" i="34" s="1"/>
  <c r="L92" i="34" s="1"/>
  <c r="M92" i="34" s="1"/>
  <c r="B91" i="34"/>
  <c r="B89" i="34"/>
  <c r="H27" i="34" s="1"/>
  <c r="U27" i="34" s="1"/>
  <c r="J27" i="34"/>
  <c r="W27" i="34" s="1"/>
  <c r="D88" i="34"/>
  <c r="E88" i="34"/>
  <c r="F88" i="34"/>
  <c r="G88" i="34"/>
  <c r="H88" i="34" s="1"/>
  <c r="I88" i="34" s="1"/>
  <c r="J88" i="34"/>
  <c r="K88" i="34"/>
  <c r="L88" i="34" s="1"/>
  <c r="M88" i="34" s="1"/>
  <c r="D86" i="34"/>
  <c r="E86" i="34" s="1"/>
  <c r="D82" i="34"/>
  <c r="E82" i="34" s="1"/>
  <c r="F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c r="H39" i="34"/>
  <c r="AB39" i="34" s="1"/>
  <c r="Q38" i="34"/>
  <c r="Z38" i="34" s="1"/>
  <c r="Q37" i="34"/>
  <c r="Z37" i="34"/>
  <c r="Q36" i="34"/>
  <c r="Z36" i="34" s="1"/>
  <c r="Q35" i="34"/>
  <c r="Z35" i="34"/>
  <c r="Q34" i="34"/>
  <c r="Z34" i="34" s="1"/>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c r="Q14" i="34"/>
  <c r="Z14" i="34"/>
  <c r="Q13" i="34"/>
  <c r="Z13" i="34"/>
  <c r="Q12" i="34"/>
  <c r="Z12" i="34"/>
  <c r="J12" i="34"/>
  <c r="W12" i="34" s="1"/>
  <c r="H12" i="34"/>
  <c r="Q11" i="34"/>
  <c r="Z11" i="34"/>
  <c r="Q10" i="34"/>
  <c r="Z10" i="34" s="1"/>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E123" i="33" s="1"/>
  <c r="D117" i="33"/>
  <c r="E117" i="33" s="1"/>
  <c r="F117" i="33" s="1"/>
  <c r="G117" i="33"/>
  <c r="D115" i="33"/>
  <c r="E115" i="33" s="1"/>
  <c r="F115" i="33" s="1"/>
  <c r="G115" i="33" s="1"/>
  <c r="H115" i="33" s="1"/>
  <c r="I115" i="33" s="1"/>
  <c r="J115" i="33" s="1"/>
  <c r="K115" i="33" s="1"/>
  <c r="L115" i="33" s="1"/>
  <c r="M115" i="33" s="1"/>
  <c r="D108" i="33"/>
  <c r="E108" i="33"/>
  <c r="F108" i="33"/>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c r="B92" i="33"/>
  <c r="B90" i="33"/>
  <c r="D87" i="33"/>
  <c r="E87" i="33" s="1"/>
  <c r="D85" i="33"/>
  <c r="E85" i="33"/>
  <c r="D81" i="33"/>
  <c r="E81" i="33"/>
  <c r="D79" i="33"/>
  <c r="E79" i="33"/>
  <c r="D77" i="33"/>
  <c r="E77" i="33"/>
  <c r="F77" i="33"/>
  <c r="G77" i="33"/>
  <c r="D69" i="33"/>
  <c r="E69" i="33"/>
  <c r="F69" i="33"/>
  <c r="G69" i="33"/>
  <c r="H69" i="33" s="1"/>
  <c r="I69" i="33" s="1"/>
  <c r="J69" i="33"/>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c r="Q42" i="33"/>
  <c r="Z42" i="33"/>
  <c r="J42" i="33"/>
  <c r="AC42"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c r="F125" i="21" s="1"/>
  <c r="G125" i="21" s="1"/>
  <c r="D123" i="21"/>
  <c r="E123" i="21"/>
  <c r="F123" i="21" s="1"/>
  <c r="F42" i="21"/>
  <c r="AA42" i="21"/>
  <c r="D119" i="21"/>
  <c r="E119" i="21" s="1"/>
  <c r="F119" i="21" s="1"/>
  <c r="F40" i="21"/>
  <c r="AA40" i="21"/>
  <c r="D117" i="21"/>
  <c r="E117" i="21" s="1"/>
  <c r="F117" i="21" s="1"/>
  <c r="G117" i="21" s="1"/>
  <c r="D115" i="21"/>
  <c r="E115" i="21"/>
  <c r="F115" i="21" s="1"/>
  <c r="G115" i="21" s="1"/>
  <c r="H115" i="21"/>
  <c r="I115" i="21" s="1"/>
  <c r="J115" i="21" s="1"/>
  <c r="K115" i="21" s="1"/>
  <c r="L115" i="21" s="1"/>
  <c r="M115" i="21" s="1"/>
  <c r="D113" i="21"/>
  <c r="E113" i="21"/>
  <c r="F113" i="21"/>
  <c r="G113" i="21"/>
  <c r="H113" i="21" s="1"/>
  <c r="D110" i="21"/>
  <c r="E110" i="21"/>
  <c r="F110" i="21"/>
  <c r="G110" i="21" s="1"/>
  <c r="H110" i="21" s="1"/>
  <c r="I110" i="21"/>
  <c r="J110" i="2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c r="L106" i="21" s="1"/>
  <c r="M106" i="21" s="1"/>
  <c r="D101" i="21"/>
  <c r="E101" i="21"/>
  <c r="F101" i="21"/>
  <c r="G101" i="21" s="1"/>
  <c r="H101" i="21" s="1"/>
  <c r="D89" i="21"/>
  <c r="E89" i="21"/>
  <c r="F89" i="21" s="1"/>
  <c r="G89" i="21" s="1"/>
  <c r="H89" i="21"/>
  <c r="I89" i="21"/>
  <c r="J89" i="21" s="1"/>
  <c r="K89" i="21" s="1"/>
  <c r="L89" i="21" s="1"/>
  <c r="M89" i="21" s="1"/>
  <c r="D67" i="21"/>
  <c r="E67" i="21"/>
  <c r="F67" i="21"/>
  <c r="G67" i="21"/>
  <c r="H67" i="21"/>
  <c r="I67" i="21"/>
  <c r="J67" i="21"/>
  <c r="K67" i="21"/>
  <c r="L67" i="21"/>
  <c r="M67" i="21"/>
  <c r="C67" i="21"/>
  <c r="D69" i="21"/>
  <c r="E69" i="21" s="1"/>
  <c r="F69" i="21" s="1"/>
  <c r="G69" i="21"/>
  <c r="H69" i="2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F45" i="21" s="1"/>
  <c r="J45" i="21"/>
  <c r="W45" i="21" s="1"/>
  <c r="B126" i="21"/>
  <c r="B98" i="21"/>
  <c r="J31" i="21" s="1"/>
  <c r="H31" i="21"/>
  <c r="B96" i="21"/>
  <c r="B94" i="21"/>
  <c r="J29" i="21"/>
  <c r="AC29" i="21"/>
  <c r="B92" i="21"/>
  <c r="B90" i="21"/>
  <c r="J27" i="21"/>
  <c r="W27" i="21"/>
  <c r="B74" i="21"/>
  <c r="B72" i="21"/>
  <c r="H13" i="2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J44" i="39"/>
  <c r="AC44" i="39"/>
  <c r="F36" i="39"/>
  <c r="S36" i="39" s="1"/>
  <c r="H36" i="39"/>
  <c r="AB36" i="39"/>
  <c r="J35" i="39"/>
  <c r="AC35" i="39" s="1"/>
  <c r="J36" i="39"/>
  <c r="U9" i="39"/>
  <c r="W40" i="39"/>
  <c r="W25" i="37"/>
  <c r="U30" i="37"/>
  <c r="E103" i="37"/>
  <c r="F103" i="37"/>
  <c r="G103" i="37" s="1"/>
  <c r="H103" i="37" s="1"/>
  <c r="I103" i="37"/>
  <c r="J103" i="37" s="1"/>
  <c r="K103" i="37" s="1"/>
  <c r="L103" i="37" s="1"/>
  <c r="M103" i="37" s="1"/>
  <c r="F39" i="37"/>
  <c r="F29" i="36"/>
  <c r="AA29" i="36" s="1"/>
  <c r="F16" i="36"/>
  <c r="W28" i="36"/>
  <c r="U31" i="36"/>
  <c r="J33" i="36"/>
  <c r="AC33" i="36" s="1"/>
  <c r="H22" i="35"/>
  <c r="AB22" i="35"/>
  <c r="AC27" i="35"/>
  <c r="U31" i="35"/>
  <c r="W34" i="35"/>
  <c r="W36" i="35"/>
  <c r="S31" i="35"/>
  <c r="U34" i="35"/>
  <c r="F36" i="34"/>
  <c r="AA36" i="34" s="1"/>
  <c r="J35" i="34"/>
  <c r="AC35" i="34" s="1"/>
  <c r="H39" i="33"/>
  <c r="AB39" i="33" s="1"/>
  <c r="U35" i="33"/>
  <c r="S40" i="33"/>
  <c r="W39" i="33"/>
  <c r="H39" i="37"/>
  <c r="AB39" i="37"/>
  <c r="S27" i="35"/>
  <c r="F11" i="40"/>
  <c r="AA11" i="40"/>
  <c r="H11" i="40"/>
  <c r="AB11" i="40" s="1"/>
  <c r="W8" i="40"/>
  <c r="AC40" i="40"/>
  <c r="AA9" i="40"/>
  <c r="AC9" i="40"/>
  <c r="S34" i="40"/>
  <c r="S40" i="40"/>
  <c r="W31" i="40"/>
  <c r="U34" i="40"/>
  <c r="S38" i="40"/>
  <c r="F42" i="39"/>
  <c r="AA42" i="39" s="1"/>
  <c r="F41" i="39"/>
  <c r="S41" i="39" s="1"/>
  <c r="H40" i="39"/>
  <c r="AB40" i="39" s="1"/>
  <c r="H39" i="39"/>
  <c r="U39" i="39" s="1"/>
  <c r="S38" i="39"/>
  <c r="S34" i="39"/>
  <c r="H34" i="39"/>
  <c r="U34" i="39" s="1"/>
  <c r="E108" i="39"/>
  <c r="H31" i="39"/>
  <c r="U31" i="39" s="1"/>
  <c r="AB31" i="39"/>
  <c r="F31" i="39"/>
  <c r="AA31"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J17" i="39"/>
  <c r="J27" i="39"/>
  <c r="AC27" i="39"/>
  <c r="F27" i="39"/>
  <c r="F11" i="21"/>
  <c r="S11" i="21" s="1"/>
  <c r="S40" i="21"/>
  <c r="U34" i="21"/>
  <c r="S34" i="21"/>
  <c r="C25" i="39"/>
  <c r="C21" i="39"/>
  <c r="H11" i="39"/>
  <c r="AB11" i="39" s="1"/>
  <c r="S40" i="39"/>
  <c r="C15" i="39"/>
  <c r="H32" i="33"/>
  <c r="U32" i="33" s="1"/>
  <c r="AB32" i="33"/>
  <c r="H11" i="21"/>
  <c r="U11" i="21" s="1"/>
  <c r="J11" i="21"/>
  <c r="W11" i="21" s="1"/>
  <c r="H37" i="40"/>
  <c r="AB37" i="40" s="1"/>
  <c r="U37" i="40"/>
  <c r="H36" i="40"/>
  <c r="AB36" i="40" s="1"/>
  <c r="F35" i="40"/>
  <c r="AA35" i="40"/>
  <c r="H23" i="40"/>
  <c r="AB23" i="40" s="1"/>
  <c r="H17" i="40"/>
  <c r="U17" i="40" s="1"/>
  <c r="J15" i="40"/>
  <c r="W15" i="40" s="1"/>
  <c r="J11" i="40"/>
  <c r="AC11" i="40" s="1"/>
  <c r="AB8" i="39"/>
  <c r="AC12" i="34"/>
  <c r="AA12" i="34"/>
  <c r="AB12" i="35"/>
  <c r="S44" i="39"/>
  <c r="J34" i="36"/>
  <c r="W34" i="36" s="1"/>
  <c r="U30" i="36"/>
  <c r="J30" i="35"/>
  <c r="W30" i="35" s="1"/>
  <c r="H30" i="35"/>
  <c r="AB30" i="35" s="1"/>
  <c r="F22" i="35"/>
  <c r="AA22" i="35" s="1"/>
  <c r="H10" i="35"/>
  <c r="U10" i="35" s="1"/>
  <c r="F33" i="36"/>
  <c r="S33" i="36" s="1"/>
  <c r="AA33" i="36"/>
  <c r="W30" i="36"/>
  <c r="H16" i="36"/>
  <c r="AB16" i="36"/>
  <c r="E85" i="36"/>
  <c r="F85" i="36" s="1"/>
  <c r="G85" i="36" s="1"/>
  <c r="H85" i="36" s="1"/>
  <c r="I85" i="36" s="1"/>
  <c r="J85" i="36" s="1"/>
  <c r="K85" i="36" s="1"/>
  <c r="L85" i="36" s="1"/>
  <c r="M85" i="36" s="1"/>
  <c r="J29" i="36"/>
  <c r="AC29" i="36" s="1"/>
  <c r="F24" i="36"/>
  <c r="AA24" i="36"/>
  <c r="F34" i="36"/>
  <c r="S34" i="36" s="1"/>
  <c r="F14" i="35"/>
  <c r="S14" i="35" s="1"/>
  <c r="F23" i="35"/>
  <c r="AA23" i="35" s="1"/>
  <c r="J32" i="35"/>
  <c r="AC32" i="35" s="1"/>
  <c r="J16" i="35"/>
  <c r="H16" i="35"/>
  <c r="U16" i="35"/>
  <c r="F16" i="35"/>
  <c r="S16" i="35" s="1"/>
  <c r="H14" i="35"/>
  <c r="AB14" i="35"/>
  <c r="J29" i="35"/>
  <c r="AC29" i="35" s="1"/>
  <c r="H33" i="35"/>
  <c r="AB33" i="35" s="1"/>
  <c r="J20" i="35"/>
  <c r="W20" i="35" s="1"/>
  <c r="F35" i="37"/>
  <c r="S35" i="37" s="1"/>
  <c r="E101" i="37"/>
  <c r="F101" i="37" s="1"/>
  <c r="G101" i="37" s="1"/>
  <c r="H101" i="37" s="1"/>
  <c r="I101" i="37" s="1"/>
  <c r="J101" i="37" s="1"/>
  <c r="K101" i="37" s="1"/>
  <c r="L101" i="37" s="1"/>
  <c r="M101" i="37" s="1"/>
  <c r="J34" i="37"/>
  <c r="W34" i="37" s="1"/>
  <c r="AB34" i="37"/>
  <c r="J33" i="37"/>
  <c r="AC33" i="37" s="1"/>
  <c r="E114" i="34"/>
  <c r="F114" i="34" s="1"/>
  <c r="G114" i="34" s="1"/>
  <c r="H114" i="34" s="1"/>
  <c r="I114" i="34" s="1"/>
  <c r="J114" i="34" s="1"/>
  <c r="K114" i="34" s="1"/>
  <c r="L114" i="34" s="1"/>
  <c r="M114" i="34" s="1"/>
  <c r="H36" i="34"/>
  <c r="U36" i="34" s="1"/>
  <c r="F28" i="34"/>
  <c r="AA28" i="34" s="1"/>
  <c r="F27" i="34"/>
  <c r="AA27" i="34" s="1"/>
  <c r="F25" i="34"/>
  <c r="S25" i="34" s="1"/>
  <c r="F19" i="34"/>
  <c r="AA19" i="34" s="1"/>
  <c r="H17" i="34"/>
  <c r="U17" i="34" s="1"/>
  <c r="F15" i="34"/>
  <c r="AA15" i="34" s="1"/>
  <c r="J15" i="34"/>
  <c r="W15" i="34" s="1"/>
  <c r="H15" i="34"/>
  <c r="AB15" i="34" s="1"/>
  <c r="W8" i="34"/>
  <c r="J28" i="34"/>
  <c r="W28" i="34" s="1"/>
  <c r="F41" i="33"/>
  <c r="S41" i="33" s="1"/>
  <c r="S38" i="33"/>
  <c r="E113" i="33"/>
  <c r="F32" i="33"/>
  <c r="AA32" i="33" s="1"/>
  <c r="J19" i="33"/>
  <c r="AC19" i="33" s="1"/>
  <c r="J15" i="33"/>
  <c r="W15" i="33" s="1"/>
  <c r="AC15" i="33"/>
  <c r="F11" i="33"/>
  <c r="AA11" i="33" s="1"/>
  <c r="U40" i="33"/>
  <c r="F37" i="40"/>
  <c r="AA37" i="40" s="1"/>
  <c r="F36" i="40"/>
  <c r="AA36" i="40" s="1"/>
  <c r="H28" i="40"/>
  <c r="U28" i="40" s="1"/>
  <c r="F23" i="40"/>
  <c r="AA23" i="40" s="1"/>
  <c r="F17" i="40"/>
  <c r="AA17" i="40" s="1"/>
  <c r="J17" i="40"/>
  <c r="AC17" i="40" s="1"/>
  <c r="W17" i="40"/>
  <c r="F15" i="40"/>
  <c r="S15" i="40" s="1"/>
  <c r="H15" i="40"/>
  <c r="AB15" i="40"/>
  <c r="AB30" i="36"/>
  <c r="U33" i="35"/>
  <c r="F29" i="35"/>
  <c r="S29" i="35" s="1"/>
  <c r="H29" i="35"/>
  <c r="H33" i="37"/>
  <c r="F33" i="37"/>
  <c r="AA33" i="37" s="1"/>
  <c r="U34" i="37"/>
  <c r="S34" i="37"/>
  <c r="AA34" i="37"/>
  <c r="J43" i="34"/>
  <c r="AC43" i="34" s="1"/>
  <c r="J40" i="34"/>
  <c r="W40" i="34" s="1"/>
  <c r="H38" i="34"/>
  <c r="AB38" i="34" s="1"/>
  <c r="J36" i="34"/>
  <c r="W36" i="34" s="1"/>
  <c r="H25" i="34"/>
  <c r="AB25" i="34" s="1"/>
  <c r="J25" i="34"/>
  <c r="AC25" i="34" s="1"/>
  <c r="F23" i="34"/>
  <c r="AA23" i="34" s="1"/>
  <c r="F17" i="34"/>
  <c r="AA17" i="34" s="1"/>
  <c r="J17" i="34"/>
  <c r="W17" i="34" s="1"/>
  <c r="S15" i="34"/>
  <c r="F113" i="33"/>
  <c r="G113" i="33"/>
  <c r="H113" i="33" s="1"/>
  <c r="I113" i="33" s="1"/>
  <c r="J113" i="33" s="1"/>
  <c r="K113" i="33" s="1"/>
  <c r="L113" i="33" s="1"/>
  <c r="M113" i="33" s="1"/>
  <c r="H37" i="33"/>
  <c r="AB37" i="33"/>
  <c r="H15" i="33"/>
  <c r="AB15" i="33" s="1"/>
  <c r="H11" i="33"/>
  <c r="AB11" i="33" s="1"/>
  <c r="F28" i="40"/>
  <c r="AA28" i="40" s="1"/>
  <c r="AA29" i="35"/>
  <c r="AA42" i="34"/>
  <c r="S42" i="34"/>
  <c r="AC38" i="34"/>
  <c r="J11" i="33"/>
  <c r="W11" i="33" s="1"/>
  <c r="S28" i="34"/>
  <c r="U23" i="40"/>
  <c r="G123" i="21"/>
  <c r="H123" i="21" s="1"/>
  <c r="I123" i="21" s="1"/>
  <c r="J123" i="21"/>
  <c r="K123" i="21"/>
  <c r="L123" i="21" s="1"/>
  <c r="M123" i="21" s="1"/>
  <c r="J42" i="21"/>
  <c r="AC42" i="21" s="1"/>
  <c r="H42" i="21"/>
  <c r="U42" i="21" s="1"/>
  <c r="J44" i="34"/>
  <c r="AC44" i="34" s="1"/>
  <c r="J10" i="35"/>
  <c r="AC10" i="35" s="1"/>
  <c r="J14" i="21"/>
  <c r="W14" i="21"/>
  <c r="F14" i="21"/>
  <c r="S14" i="21" s="1"/>
  <c r="H14" i="21"/>
  <c r="U14" i="21"/>
  <c r="H28" i="21"/>
  <c r="AB28" i="21" s="1"/>
  <c r="F28" i="21"/>
  <c r="AA28" i="21" s="1"/>
  <c r="J28" i="21"/>
  <c r="W28" i="21" s="1"/>
  <c r="H30" i="21"/>
  <c r="AB30" i="21" s="1"/>
  <c r="F30" i="21"/>
  <c r="S30" i="21" s="1"/>
  <c r="J30" i="21"/>
  <c r="AC30" i="21"/>
  <c r="J44" i="21"/>
  <c r="AC44" i="21" s="1"/>
  <c r="H44" i="21"/>
  <c r="U44" i="21"/>
  <c r="F44" i="21"/>
  <c r="AA44" i="21" s="1"/>
  <c r="H46" i="21"/>
  <c r="U46" i="21" s="1"/>
  <c r="J46" i="21"/>
  <c r="W46" i="21" s="1"/>
  <c r="F46" i="21"/>
  <c r="AA46" i="21" s="1"/>
  <c r="G119" i="21"/>
  <c r="H119" i="21"/>
  <c r="I119" i="21" s="1"/>
  <c r="J119" i="21" s="1"/>
  <c r="K119" i="21"/>
  <c r="L119" i="21" s="1"/>
  <c r="M119" i="21" s="1"/>
  <c r="H28" i="33"/>
  <c r="U28" i="33" s="1"/>
  <c r="F33" i="35"/>
  <c r="S33" i="35" s="1"/>
  <c r="J33" i="35"/>
  <c r="AC33" i="35" s="1"/>
  <c r="F30" i="35"/>
  <c r="S30" i="35" s="1"/>
  <c r="E89" i="35"/>
  <c r="F89" i="35" s="1"/>
  <c r="G89" i="35" s="1"/>
  <c r="H89" i="35" s="1"/>
  <c r="I89" i="35" s="1"/>
  <c r="J89" i="35" s="1"/>
  <c r="K89" i="35" s="1"/>
  <c r="L89" i="35" s="1"/>
  <c r="M89" i="35" s="1"/>
  <c r="H10" i="36"/>
  <c r="AB10" i="36" s="1"/>
  <c r="J14" i="36"/>
  <c r="AC14" i="36" s="1"/>
  <c r="H14" i="36"/>
  <c r="AB14" i="36" s="1"/>
  <c r="U14" i="36"/>
  <c r="F28" i="36"/>
  <c r="AA28" i="36" s="1"/>
  <c r="J13" i="21"/>
  <c r="AC13" i="21"/>
  <c r="H27" i="21"/>
  <c r="AB27" i="21" s="1"/>
  <c r="F27" i="21"/>
  <c r="AA27" i="21"/>
  <c r="H29" i="21"/>
  <c r="U29" i="21" s="1"/>
  <c r="AC31" i="21"/>
  <c r="F31" i="21"/>
  <c r="S31" i="21" s="1"/>
  <c r="AA45" i="21"/>
  <c r="F27" i="33"/>
  <c r="AA27" i="33" s="1"/>
  <c r="H13" i="33"/>
  <c r="U13" i="33" s="1"/>
  <c r="F13" i="33"/>
  <c r="S13" i="33" s="1"/>
  <c r="J29" i="33"/>
  <c r="AC29" i="33"/>
  <c r="H29" i="33"/>
  <c r="U29" i="33" s="1"/>
  <c r="F29" i="33"/>
  <c r="S29" i="33"/>
  <c r="J31" i="33"/>
  <c r="F31" i="33"/>
  <c r="AA31" i="33" s="1"/>
  <c r="H45" i="33"/>
  <c r="J45" i="33"/>
  <c r="W45" i="33" s="1"/>
  <c r="F45" i="33"/>
  <c r="AA45" i="33" s="1"/>
  <c r="J14" i="34"/>
  <c r="W14" i="34" s="1"/>
  <c r="F14" i="34"/>
  <c r="S14" i="34" s="1"/>
  <c r="H14" i="34"/>
  <c r="U14" i="34" s="1"/>
  <c r="H30" i="34"/>
  <c r="U30" i="34" s="1"/>
  <c r="J30" i="34"/>
  <c r="W30" i="34" s="1"/>
  <c r="H32" i="34"/>
  <c r="F32" i="34"/>
  <c r="J32" i="34"/>
  <c r="W32" i="34" s="1"/>
  <c r="J46" i="34"/>
  <c r="W46" i="34" s="1"/>
  <c r="H11" i="35"/>
  <c r="AB11" i="35" s="1"/>
  <c r="F11" i="35"/>
  <c r="S11" i="35" s="1"/>
  <c r="J26" i="36"/>
  <c r="W26" i="36" s="1"/>
  <c r="H28" i="36"/>
  <c r="U28" i="36" s="1"/>
  <c r="H32" i="36"/>
  <c r="AB32" i="36" s="1"/>
  <c r="J32" i="36"/>
  <c r="W32" i="36" s="1"/>
  <c r="J11" i="36"/>
  <c r="AC11" i="36" s="1"/>
  <c r="H11" i="36"/>
  <c r="U11" i="36" s="1"/>
  <c r="F11" i="36"/>
  <c r="H13" i="36"/>
  <c r="AB13" i="36" s="1"/>
  <c r="J13" i="36"/>
  <c r="F13" i="36"/>
  <c r="AA13" i="36" s="1"/>
  <c r="S13" i="36"/>
  <c r="E89" i="37"/>
  <c r="F89" i="37" s="1"/>
  <c r="G89" i="37" s="1"/>
  <c r="H89" i="37" s="1"/>
  <c r="I89" i="37" s="1"/>
  <c r="J89" i="37" s="1"/>
  <c r="K89" i="37" s="1"/>
  <c r="L89" i="37" s="1"/>
  <c r="M89" i="37" s="1"/>
  <c r="J29" i="37"/>
  <c r="W29" i="37"/>
  <c r="F29" i="37"/>
  <c r="S29" i="37" s="1"/>
  <c r="H36" i="37"/>
  <c r="AB36" i="37" s="1"/>
  <c r="F107" i="37"/>
  <c r="J37" i="37"/>
  <c r="AC37" i="37"/>
  <c r="H37" i="37"/>
  <c r="U37" i="37" s="1"/>
  <c r="J40" i="37"/>
  <c r="H14" i="33"/>
  <c r="U14" i="33"/>
  <c r="F14" i="33"/>
  <c r="S14" i="33" s="1"/>
  <c r="J14" i="33"/>
  <c r="H30" i="33"/>
  <c r="AB30" i="33"/>
  <c r="H44" i="33"/>
  <c r="J44" i="33"/>
  <c r="AC44" i="33" s="1"/>
  <c r="F44" i="33"/>
  <c r="S44" i="33"/>
  <c r="J46" i="33"/>
  <c r="AC46" i="33" s="1"/>
  <c r="AA46" i="33"/>
  <c r="H46" i="33"/>
  <c r="H13" i="34"/>
  <c r="U13" i="34"/>
  <c r="J13" i="34"/>
  <c r="W13" i="34" s="1"/>
  <c r="F13" i="34"/>
  <c r="AA13" i="34" s="1"/>
  <c r="J29" i="34"/>
  <c r="AC29" i="34" s="1"/>
  <c r="F29" i="34"/>
  <c r="S29" i="34" s="1"/>
  <c r="AB29" i="34"/>
  <c r="J31" i="34"/>
  <c r="AC31" i="34" s="1"/>
  <c r="H31" i="34"/>
  <c r="AB31" i="34"/>
  <c r="F31" i="34"/>
  <c r="S31" i="34" s="1"/>
  <c r="J45" i="34"/>
  <c r="W45" i="34" s="1"/>
  <c r="F45" i="34"/>
  <c r="S45" i="34" s="1"/>
  <c r="H47" i="34"/>
  <c r="U47" i="34" s="1"/>
  <c r="F47" i="34"/>
  <c r="S47" i="34"/>
  <c r="J47" i="34"/>
  <c r="AC47" i="34" s="1"/>
  <c r="F13" i="35"/>
  <c r="S13" i="35" s="1"/>
  <c r="H13" i="35"/>
  <c r="U13" i="35"/>
  <c r="J25" i="35"/>
  <c r="W25" i="35" s="1"/>
  <c r="F25" i="35"/>
  <c r="AA25" i="35" s="1"/>
  <c r="S25" i="35"/>
  <c r="H25" i="35"/>
  <c r="AB25" i="35" s="1"/>
  <c r="J35" i="35"/>
  <c r="AC35" i="35" s="1"/>
  <c r="F35" i="35"/>
  <c r="AA35" i="35" s="1"/>
  <c r="H35" i="35"/>
  <c r="U35" i="35" s="1"/>
  <c r="H13" i="37"/>
  <c r="AB13" i="37" s="1"/>
  <c r="F13" i="37"/>
  <c r="S13" i="37" s="1"/>
  <c r="J13" i="37"/>
  <c r="W13" i="37" s="1"/>
  <c r="F28" i="37"/>
  <c r="S28" i="37" s="1"/>
  <c r="AA28" i="37"/>
  <c r="J28" i="37"/>
  <c r="AC28" i="37" s="1"/>
  <c r="H28" i="37"/>
  <c r="AB28" i="37" s="1"/>
  <c r="U28" i="37"/>
  <c r="J38" i="37"/>
  <c r="AC38" i="37" s="1"/>
  <c r="F43" i="39"/>
  <c r="S43" i="39" s="1"/>
  <c r="AA43" i="39"/>
  <c r="H43" i="39"/>
  <c r="F12" i="40"/>
  <c r="S12" i="40"/>
  <c r="H12" i="40"/>
  <c r="AB12" i="40" s="1"/>
  <c r="H30" i="40"/>
  <c r="AB30" i="40"/>
  <c r="F33" i="40"/>
  <c r="AA33" i="40" s="1"/>
  <c r="H33" i="40"/>
  <c r="U33" i="40"/>
  <c r="J35" i="40"/>
  <c r="J37" i="40"/>
  <c r="AC37" i="40"/>
  <c r="H13" i="40"/>
  <c r="U13" i="40" s="1"/>
  <c r="J13" i="40"/>
  <c r="W13" i="40"/>
  <c r="F13" i="40"/>
  <c r="AA13" i="40" s="1"/>
  <c r="F14" i="37"/>
  <c r="S14" i="37"/>
  <c r="F27" i="37"/>
  <c r="AA27" i="37" s="1"/>
  <c r="F13" i="39"/>
  <c r="J13" i="39"/>
  <c r="W13" i="39" s="1"/>
  <c r="H13" i="39"/>
  <c r="AB13" i="39" s="1"/>
  <c r="H14" i="40"/>
  <c r="AB14" i="40" s="1"/>
  <c r="J14" i="40"/>
  <c r="W14" i="40" s="1"/>
  <c r="F14" i="40"/>
  <c r="AA14" i="40" s="1"/>
  <c r="J14" i="37"/>
  <c r="AC14" i="37" s="1"/>
  <c r="AA44" i="33"/>
  <c r="AA13" i="35"/>
  <c r="U31" i="34"/>
  <c r="AA14" i="33"/>
  <c r="J36" i="37"/>
  <c r="AC36" i="37" s="1"/>
  <c r="J10" i="36"/>
  <c r="AC10" i="36" s="1"/>
  <c r="AA14" i="37"/>
  <c r="AC13" i="36"/>
  <c r="W13" i="36"/>
  <c r="AC30" i="34"/>
  <c r="AA14" i="34"/>
  <c r="U31" i="33"/>
  <c r="W29" i="33"/>
  <c r="AC28" i="21"/>
  <c r="F17" i="21"/>
  <c r="AA17" i="21" s="1"/>
  <c r="H17" i="21"/>
  <c r="AB17" i="21" s="1"/>
  <c r="F15" i="21"/>
  <c r="S15" i="21" s="1"/>
  <c r="J41" i="39"/>
  <c r="W41" i="39" s="1"/>
  <c r="W44" i="39"/>
  <c r="W35" i="39"/>
  <c r="U36" i="39"/>
  <c r="G544" i="3"/>
  <c r="G535" i="3"/>
  <c r="G527" i="3"/>
  <c r="G518" i="3"/>
  <c r="G510" i="3"/>
  <c r="G504" i="3"/>
  <c r="G500" i="3"/>
  <c r="G496" i="3"/>
  <c r="G576" i="3"/>
  <c r="G564" i="3"/>
  <c r="G560" i="3"/>
  <c r="BL584" i="3"/>
  <c r="BL580" i="3"/>
  <c r="BL568" i="3"/>
  <c r="BL564" i="3"/>
  <c r="BL530" i="3"/>
  <c r="BL494" i="3"/>
  <c r="BL582" i="3"/>
  <c r="BL562" i="3"/>
  <c r="G533" i="3"/>
  <c r="BL532" i="3"/>
  <c r="G525" i="3"/>
  <c r="BL504" i="3"/>
  <c r="BA584" i="3"/>
  <c r="BA580" i="3"/>
  <c r="AZ580" i="3"/>
  <c r="BA572" i="3"/>
  <c r="BA564" i="3"/>
  <c r="AZ564" i="3"/>
  <c r="BA562" i="3"/>
  <c r="AZ562" i="3" s="1"/>
  <c r="BA558" i="3"/>
  <c r="BA526" i="3"/>
  <c r="AZ526" i="3" s="1"/>
  <c r="BA516" i="3"/>
  <c r="BA506" i="3"/>
  <c r="BA494" i="3"/>
  <c r="AZ494" i="3" s="1"/>
  <c r="BA575" i="3"/>
  <c r="BA565" i="3"/>
  <c r="BA563" i="3"/>
  <c r="BA545" i="3"/>
  <c r="BA529" i="3"/>
  <c r="AZ529" i="3" s="1"/>
  <c r="BA511" i="3"/>
  <c r="BA493" i="3"/>
  <c r="G579" i="3"/>
  <c r="G577" i="3"/>
  <c r="G573" i="3"/>
  <c r="G567" i="3"/>
  <c r="G565" i="3"/>
  <c r="G563" i="3"/>
  <c r="G561" i="3"/>
  <c r="AC557" i="3"/>
  <c r="G557" i="3" s="1"/>
  <c r="BQ557" i="3"/>
  <c r="BQ583" i="3"/>
  <c r="BQ581" i="3"/>
  <c r="BQ579" i="3"/>
  <c r="BL579" i="3"/>
  <c r="BQ577" i="3"/>
  <c r="BQ575" i="3"/>
  <c r="BQ573" i="3"/>
  <c r="BQ571" i="3"/>
  <c r="BL571" i="3"/>
  <c r="BQ569" i="3"/>
  <c r="BQ567" i="3"/>
  <c r="BQ565" i="3"/>
  <c r="BL565" i="3" s="1"/>
  <c r="BQ563" i="3"/>
  <c r="BL563" i="3"/>
  <c r="AZ563" i="3" s="1"/>
  <c r="BQ561" i="3"/>
  <c r="BQ559" i="3"/>
  <c r="G559" i="3"/>
  <c r="G555" i="3"/>
  <c r="G549" i="3"/>
  <c r="G545" i="3"/>
  <c r="G543" i="3"/>
  <c r="BQ555" i="3"/>
  <c r="BQ553" i="3"/>
  <c r="BL553" i="3"/>
  <c r="BQ551" i="3"/>
  <c r="BQ549" i="3"/>
  <c r="BQ547" i="3"/>
  <c r="BQ545" i="3"/>
  <c r="BQ543" i="3"/>
  <c r="BL543" i="3"/>
  <c r="BQ541" i="3"/>
  <c r="BQ539" i="3"/>
  <c r="BQ537" i="3"/>
  <c r="BQ535" i="3"/>
  <c r="BL535" i="3"/>
  <c r="BQ533" i="3"/>
  <c r="BQ531" i="3"/>
  <c r="BQ529" i="3"/>
  <c r="BQ527" i="3"/>
  <c r="BL527" i="3"/>
  <c r="BQ525" i="3"/>
  <c r="BQ523" i="3"/>
  <c r="AC521" i="3"/>
  <c r="G521" i="3"/>
  <c r="BQ521" i="3"/>
  <c r="G519" i="3"/>
  <c r="G513" i="3"/>
  <c r="G511" i="3"/>
  <c r="BQ519" i="3"/>
  <c r="BQ517" i="3"/>
  <c r="BQ515" i="3"/>
  <c r="BQ513" i="3"/>
  <c r="BL513" i="3"/>
  <c r="BQ511" i="3"/>
  <c r="BA509" i="3"/>
  <c r="AC509" i="3"/>
  <c r="BQ509" i="3"/>
  <c r="BL508" i="3"/>
  <c r="G507" i="3"/>
  <c r="G505" i="3"/>
  <c r="G499" i="3"/>
  <c r="G497" i="3"/>
  <c r="BQ507" i="3"/>
  <c r="AZ507" i="3"/>
  <c r="BQ505" i="3"/>
  <c r="BQ503" i="3"/>
  <c r="BQ501" i="3"/>
  <c r="BQ499" i="3"/>
  <c r="BQ497" i="3"/>
  <c r="BL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AB17" i="37" s="1"/>
  <c r="U17" i="37"/>
  <c r="F39" i="33"/>
  <c r="AA39" i="33" s="1"/>
  <c r="F42" i="33"/>
  <c r="S42" i="33" s="1"/>
  <c r="AA42" i="33"/>
  <c r="H28" i="34"/>
  <c r="AB28" i="34" s="1"/>
  <c r="F14" i="36"/>
  <c r="AA14" i="36"/>
  <c r="F22" i="36"/>
  <c r="S22" i="36" s="1"/>
  <c r="F26" i="36"/>
  <c r="S26" i="36" s="1"/>
  <c r="H35" i="34"/>
  <c r="U35" i="34" s="1"/>
  <c r="F41" i="34"/>
  <c r="S41" i="34" s="1"/>
  <c r="H41" i="34"/>
  <c r="U41" i="34" s="1"/>
  <c r="J41" i="34"/>
  <c r="W41" i="34" s="1"/>
  <c r="F10" i="35"/>
  <c r="S10" i="35" s="1"/>
  <c r="F24" i="35"/>
  <c r="AA24" i="35" s="1"/>
  <c r="H23" i="37"/>
  <c r="AB23" i="37"/>
  <c r="J32" i="37"/>
  <c r="AC32" i="37" s="1"/>
  <c r="F36" i="37"/>
  <c r="AA36" i="37" s="1"/>
  <c r="F37" i="37"/>
  <c r="AA37" i="37" s="1"/>
  <c r="F31" i="40"/>
  <c r="AA31" i="40" s="1"/>
  <c r="H31" i="40"/>
  <c r="U31" i="40" s="1"/>
  <c r="J36" i="40"/>
  <c r="W36" i="40" s="1"/>
  <c r="H19" i="37"/>
  <c r="AB19" i="37" s="1"/>
  <c r="F123" i="33"/>
  <c r="G123" i="33" s="1"/>
  <c r="H123" i="33" s="1"/>
  <c r="I123" i="33" s="1"/>
  <c r="J123" i="33" s="1"/>
  <c r="K123" i="33" s="1"/>
  <c r="L123" i="33" s="1"/>
  <c r="M123" i="33" s="1"/>
  <c r="H42" i="33"/>
  <c r="AB42" i="33" s="1"/>
  <c r="J43" i="33"/>
  <c r="AC43" i="33"/>
  <c r="U43" i="33"/>
  <c r="S28" i="31"/>
  <c r="S27" i="31"/>
  <c r="S26" i="31"/>
  <c r="U14" i="40"/>
  <c r="U39" i="37"/>
  <c r="W47" i="34"/>
  <c r="AB13" i="34"/>
  <c r="AA13" i="33"/>
  <c r="AC45" i="33"/>
  <c r="W44" i="33"/>
  <c r="U11" i="33"/>
  <c r="U19" i="21"/>
  <c r="W44" i="21"/>
  <c r="U26" i="21"/>
  <c r="AC46" i="21"/>
  <c r="AB38" i="21"/>
  <c r="F43" i="33"/>
  <c r="AA43" i="33" s="1"/>
  <c r="G107" i="37"/>
  <c r="H107" i="37"/>
  <c r="I107" i="37" s="1"/>
  <c r="J107" i="37" s="1"/>
  <c r="K107" i="37"/>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J42" i="39"/>
  <c r="AC42" i="39" s="1"/>
  <c r="H21" i="40"/>
  <c r="AB21" i="40" s="1"/>
  <c r="AC12" i="37"/>
  <c r="H31" i="37"/>
  <c r="U31" i="37" s="1"/>
  <c r="J15" i="37"/>
  <c r="W15" i="37" s="1"/>
  <c r="AT6" i="3"/>
  <c r="AA25" i="21"/>
  <c r="H19" i="40"/>
  <c r="U19" i="40" s="1"/>
  <c r="G88" i="40"/>
  <c r="F19" i="40"/>
  <c r="S19" i="40" s="1"/>
  <c r="S14" i="40"/>
  <c r="AC13" i="40"/>
  <c r="AB33" i="40"/>
  <c r="W23" i="39"/>
  <c r="AC43" i="39"/>
  <c r="W43" i="39"/>
  <c r="AB44" i="39"/>
  <c r="U44" i="39"/>
  <c r="H25" i="39"/>
  <c r="AB25" i="39" s="1"/>
  <c r="J25" i="39"/>
  <c r="F25" i="39"/>
  <c r="AA25" i="39" s="1"/>
  <c r="F15" i="39"/>
  <c r="AA15" i="39" s="1"/>
  <c r="H15" i="39"/>
  <c r="U15" i="39" s="1"/>
  <c r="J15" i="39"/>
  <c r="W15" i="39" s="1"/>
  <c r="H41" i="39"/>
  <c r="AB41" i="39" s="1"/>
  <c r="W27" i="39"/>
  <c r="AB34" i="39"/>
  <c r="U40" i="39"/>
  <c r="S42" i="39"/>
  <c r="AA41" i="39"/>
  <c r="W8" i="39"/>
  <c r="J19" i="40"/>
  <c r="AC19" i="40"/>
  <c r="J50" i="40"/>
  <c r="H103" i="9"/>
  <c r="D8" i="53" s="1"/>
  <c r="B16" i="53"/>
  <c r="B33" i="72" s="1"/>
  <c r="C7" i="37"/>
  <c r="C52" i="37" s="1"/>
  <c r="D52" i="37" s="1"/>
  <c r="J11" i="39"/>
  <c r="W11" i="39" s="1"/>
  <c r="F11" i="39"/>
  <c r="AA11" i="39" s="1"/>
  <c r="S11" i="39"/>
  <c r="G4" i="4"/>
  <c r="I4" i="4"/>
  <c r="F61" i="43"/>
  <c r="H64" i="43" s="1"/>
  <c r="AZ20" i="3"/>
  <c r="AZ28" i="3"/>
  <c r="AZ32" i="3"/>
  <c r="BL549"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AZ357" i="3" s="1"/>
  <c r="BA359" i="3"/>
  <c r="BA360" i="3"/>
  <c r="AZ360" i="3" s="1"/>
  <c r="BL360" i="3"/>
  <c r="G361" i="3"/>
  <c r="BA362" i="3"/>
  <c r="G370" i="3"/>
  <c r="BL371" i="3"/>
  <c r="G372" i="3"/>
  <c r="BL373" i="3"/>
  <c r="AZ373" i="3" s="1"/>
  <c r="BA375" i="3"/>
  <c r="AZ375" i="3" s="1"/>
  <c r="BA376" i="3"/>
  <c r="BL376" i="3"/>
  <c r="AZ376" i="3" s="1"/>
  <c r="G377" i="3"/>
  <c r="BA378" i="3"/>
  <c r="BL378" i="3"/>
  <c r="AZ378" i="3" s="1"/>
  <c r="G379" i="3"/>
  <c r="BA380" i="3"/>
  <c r="G388" i="3"/>
  <c r="BL389" i="3"/>
  <c r="G390" i="3"/>
  <c r="BL391" i="3"/>
  <c r="BA393" i="3"/>
  <c r="AZ393" i="3"/>
  <c r="BA394" i="3"/>
  <c r="BL394" i="3"/>
  <c r="G113" i="3"/>
  <c r="BA115" i="3"/>
  <c r="BL116" i="3"/>
  <c r="AZ116" i="3"/>
  <c r="G117" i="3"/>
  <c r="BA119" i="3"/>
  <c r="AZ119" i="3" s="1"/>
  <c r="BL120" i="3"/>
  <c r="G121" i="3"/>
  <c r="BA123" i="3"/>
  <c r="BL124" i="3"/>
  <c r="G125" i="3"/>
  <c r="BA127" i="3"/>
  <c r="BL128" i="3"/>
  <c r="G129" i="3"/>
  <c r="BA131" i="3"/>
  <c r="AZ131" i="3"/>
  <c r="BL132" i="3"/>
  <c r="G133" i="3"/>
  <c r="BA135" i="3"/>
  <c r="BL136" i="3"/>
  <c r="G137" i="3"/>
  <c r="BA139" i="3"/>
  <c r="AZ139" i="3" s="1"/>
  <c r="BL140" i="3"/>
  <c r="G141" i="3"/>
  <c r="BA143" i="3"/>
  <c r="BL144" i="3"/>
  <c r="G145" i="3"/>
  <c r="BA147" i="3"/>
  <c r="AZ147" i="3" s="1"/>
  <c r="BL148" i="3"/>
  <c r="G149" i="3"/>
  <c r="BA151" i="3"/>
  <c r="AZ151" i="3" s="1"/>
  <c r="BL152" i="3"/>
  <c r="G153" i="3"/>
  <c r="BA155" i="3"/>
  <c r="BL156" i="3"/>
  <c r="G157" i="3"/>
  <c r="BA159" i="3"/>
  <c r="AZ159" i="3"/>
  <c r="BL160" i="3"/>
  <c r="AZ160" i="3" s="1"/>
  <c r="G161" i="3"/>
  <c r="BA163" i="3"/>
  <c r="BL164" i="3"/>
  <c r="AZ164" i="3"/>
  <c r="G165" i="3"/>
  <c r="BA167" i="3"/>
  <c r="BL168" i="3"/>
  <c r="G169" i="3"/>
  <c r="BA171" i="3"/>
  <c r="AZ171" i="3" s="1"/>
  <c r="BL172" i="3"/>
  <c r="AZ172" i="3" s="1"/>
  <c r="G173" i="3"/>
  <c r="BA175" i="3"/>
  <c r="BL176" i="3"/>
  <c r="G177" i="3"/>
  <c r="BA179" i="3"/>
  <c r="AZ179" i="3" s="1"/>
  <c r="BL180" i="3"/>
  <c r="AZ180" i="3"/>
  <c r="G181" i="3"/>
  <c r="BA183" i="3"/>
  <c r="AZ183" i="3" s="1"/>
  <c r="BL184" i="3"/>
  <c r="AZ184" i="3" s="1"/>
  <c r="G185" i="3"/>
  <c r="BA187" i="3"/>
  <c r="AZ187" i="3" s="1"/>
  <c r="BL188" i="3"/>
  <c r="G189" i="3"/>
  <c r="BA191" i="3"/>
  <c r="AZ191" i="3"/>
  <c r="BL192" i="3"/>
  <c r="AZ192" i="3" s="1"/>
  <c r="G193" i="3"/>
  <c r="BA195" i="3"/>
  <c r="AZ195" i="3"/>
  <c r="BL196" i="3"/>
  <c r="AZ196" i="3"/>
  <c r="G197" i="3"/>
  <c r="BA199" i="3"/>
  <c r="AZ199" i="3"/>
  <c r="BL200" i="3"/>
  <c r="AZ200" i="3" s="1"/>
  <c r="G201" i="3"/>
  <c r="BA203" i="3"/>
  <c r="AZ203" i="3"/>
  <c r="BL204" i="3"/>
  <c r="AZ204" i="3" s="1"/>
  <c r="AZ43" i="3"/>
  <c r="AZ47" i="3"/>
  <c r="AZ51" i="3"/>
  <c r="AZ59" i="3"/>
  <c r="AZ67" i="3"/>
  <c r="AZ75" i="3"/>
  <c r="AZ79" i="3"/>
  <c r="AZ83" i="3"/>
  <c r="AZ136" i="3"/>
  <c r="AZ144" i="3"/>
  <c r="AZ152" i="3"/>
  <c r="AZ168" i="3"/>
  <c r="AZ176" i="3"/>
  <c r="AZ85" i="3"/>
  <c r="AZ89" i="3"/>
  <c r="AZ93" i="3"/>
  <c r="AZ101" i="3"/>
  <c r="AZ105" i="3"/>
  <c r="AZ109" i="3"/>
  <c r="AZ128" i="3"/>
  <c r="G534" i="3"/>
  <c r="G512" i="3"/>
  <c r="G506" i="3"/>
  <c r="G498" i="3"/>
  <c r="BA304" i="3"/>
  <c r="AZ304" i="3" s="1"/>
  <c r="BA305" i="3"/>
  <c r="AZ305" i="3" s="1"/>
  <c r="BL305" i="3"/>
  <c r="G306" i="3"/>
  <c r="G309" i="3"/>
  <c r="BL310" i="3"/>
  <c r="BA312" i="3"/>
  <c r="AZ312" i="3" s="1"/>
  <c r="BA313" i="3"/>
  <c r="AZ313" i="3" s="1"/>
  <c r="BL313" i="3"/>
  <c r="G314" i="3"/>
  <c r="G317" i="3"/>
  <c r="BL318" i="3"/>
  <c r="AZ318" i="3" s="1"/>
  <c r="BA320" i="3"/>
  <c r="BA321" i="3"/>
  <c r="AZ321" i="3"/>
  <c r="BL321" i="3"/>
  <c r="G322" i="3"/>
  <c r="G325" i="3"/>
  <c r="BL326" i="3"/>
  <c r="AZ326" i="3" s="1"/>
  <c r="BA328" i="3"/>
  <c r="AZ328" i="3" s="1"/>
  <c r="BA329" i="3"/>
  <c r="BL329" i="3"/>
  <c r="AZ329" i="3"/>
  <c r="G330" i="3"/>
  <c r="G333" i="3"/>
  <c r="BL334" i="3"/>
  <c r="BA336" i="3"/>
  <c r="AZ336" i="3" s="1"/>
  <c r="BA337" i="3"/>
  <c r="AZ337" i="3" s="1"/>
  <c r="BL337" i="3"/>
  <c r="G338" i="3"/>
  <c r="G341" i="3"/>
  <c r="BA342" i="3"/>
  <c r="BL342" i="3"/>
  <c r="BA344" i="3"/>
  <c r="AZ344" i="3" s="1"/>
  <c r="BL344" i="3"/>
  <c r="BA346" i="3"/>
  <c r="AZ346" i="3"/>
  <c r="BA347" i="3"/>
  <c r="AZ347" i="3" s="1"/>
  <c r="BL347" i="3"/>
  <c r="G350" i="3"/>
  <c r="BA351" i="3"/>
  <c r="AZ351" i="3" s="1"/>
  <c r="BL351" i="3"/>
  <c r="G352" i="3"/>
  <c r="G354" i="3"/>
  <c r="BA355" i="3"/>
  <c r="BA356" i="3"/>
  <c r="AZ356" i="3" s="1"/>
  <c r="BL356" i="3"/>
  <c r="G357" i="3"/>
  <c r="G360" i="3"/>
  <c r="BL361" i="3"/>
  <c r="BA363" i="3"/>
  <c r="AZ363" i="3" s="1"/>
  <c r="BA364" i="3"/>
  <c r="BL364" i="3"/>
  <c r="AZ364" i="3" s="1"/>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38" i="3"/>
  <c r="AZ142" i="3"/>
  <c r="AZ150" i="3"/>
  <c r="AZ162" i="3"/>
  <c r="AZ170" i="3"/>
  <c r="AZ178" i="3"/>
  <c r="AZ182" i="3"/>
  <c r="AZ190" i="3"/>
  <c r="AZ202" i="3"/>
  <c r="AZ206" i="3"/>
  <c r="BA16" i="3"/>
  <c r="BL303" i="3"/>
  <c r="AZ303" i="3" s="1"/>
  <c r="G304" i="3"/>
  <c r="BA306" i="3"/>
  <c r="AZ306" i="3" s="1"/>
  <c r="BL307" i="3"/>
  <c r="AZ307" i="3" s="1"/>
  <c r="G308" i="3"/>
  <c r="BA310" i="3"/>
  <c r="AZ310" i="3" s="1"/>
  <c r="BL311" i="3"/>
  <c r="AZ311" i="3"/>
  <c r="G312" i="3"/>
  <c r="BA314" i="3"/>
  <c r="AZ314" i="3" s="1"/>
  <c r="BL315" i="3"/>
  <c r="G316" i="3"/>
  <c r="BA318" i="3"/>
  <c r="BL319" i="3"/>
  <c r="AZ319" i="3" s="1"/>
  <c r="G320" i="3"/>
  <c r="BA322" i="3"/>
  <c r="AZ322" i="3"/>
  <c r="BL323" i="3"/>
  <c r="AZ323" i="3"/>
  <c r="G324" i="3"/>
  <c r="BA326" i="3"/>
  <c r="BL327" i="3"/>
  <c r="G328" i="3"/>
  <c r="BA330" i="3"/>
  <c r="AZ330" i="3"/>
  <c r="BL331" i="3"/>
  <c r="G332" i="3"/>
  <c r="BA334" i="3"/>
  <c r="AZ334" i="3" s="1"/>
  <c r="BL335" i="3"/>
  <c r="G336" i="3"/>
  <c r="BA338" i="3"/>
  <c r="BL339" i="3"/>
  <c r="AZ339" i="3"/>
  <c r="G340" i="3"/>
  <c r="BL343" i="3"/>
  <c r="G344" i="3"/>
  <c r="G348" i="3"/>
  <c r="G355" i="3"/>
  <c r="AZ209" i="3"/>
  <c r="G342" i="3"/>
  <c r="BL345" i="3"/>
  <c r="AZ345" i="3"/>
  <c r="G346" i="3"/>
  <c r="AZ348" i="3"/>
  <c r="BL349" i="3"/>
  <c r="AZ349" i="3"/>
  <c r="BL352" i="3"/>
  <c r="AZ352" i="3" s="1"/>
  <c r="G353" i="3"/>
  <c r="BA357" i="3"/>
  <c r="BL358" i="3"/>
  <c r="AZ358" i="3"/>
  <c r="G359" i="3"/>
  <c r="BA361" i="3"/>
  <c r="AZ361" i="3"/>
  <c r="BL362" i="3"/>
  <c r="AZ362" i="3" s="1"/>
  <c r="G363" i="3"/>
  <c r="BA365" i="3"/>
  <c r="AZ365" i="3"/>
  <c r="BL366" i="3"/>
  <c r="AZ366" i="3" s="1"/>
  <c r="G367" i="3"/>
  <c r="BA369" i="3"/>
  <c r="AZ369" i="3"/>
  <c r="BL370" i="3"/>
  <c r="G371" i="3"/>
  <c r="BA373" i="3"/>
  <c r="BL374" i="3"/>
  <c r="G375" i="3"/>
  <c r="BA377" i="3"/>
  <c r="AZ377" i="3" s="1"/>
  <c r="AZ229" i="3"/>
  <c r="AZ257" i="3"/>
  <c r="AZ265" i="3"/>
  <c r="AZ370" i="3"/>
  <c r="BA379" i="3"/>
  <c r="AZ379" i="3"/>
  <c r="BL380" i="3"/>
  <c r="G381" i="3"/>
  <c r="BA383" i="3"/>
  <c r="AZ383" i="3"/>
  <c r="BL384" i="3"/>
  <c r="G385" i="3"/>
  <c r="BA387" i="3"/>
  <c r="AZ387" i="3"/>
  <c r="BL388" i="3"/>
  <c r="G389" i="3"/>
  <c r="BA391" i="3"/>
  <c r="AZ391" i="3"/>
  <c r="BL392" i="3"/>
  <c r="G393" i="3"/>
  <c r="AZ263" i="3"/>
  <c r="AZ283" i="3"/>
  <c r="AZ291" i="3"/>
  <c r="AZ299" i="3"/>
  <c r="BF5" i="3"/>
  <c r="AZ317" i="3"/>
  <c r="AZ325" i="3"/>
  <c r="AZ333" i="3"/>
  <c r="G520" i="3"/>
  <c r="G502" i="3"/>
  <c r="AZ343" i="3"/>
  <c r="BK5" i="3"/>
  <c r="BT5" i="3"/>
  <c r="AZ368" i="3"/>
  <c r="BA15" i="3"/>
  <c r="AZ380" i="3"/>
  <c r="AZ384" i="3"/>
  <c r="AZ388" i="3"/>
  <c r="AZ396" i="3"/>
  <c r="AZ394" i="3"/>
  <c r="AZ491" i="3"/>
  <c r="AZ382" i="3"/>
  <c r="U36" i="40"/>
  <c r="F83" i="43"/>
  <c r="H85" i="43" s="1"/>
  <c r="G85" i="43" s="1"/>
  <c r="K85" i="43" s="1"/>
  <c r="D85" i="43" s="1"/>
  <c r="F50" i="43"/>
  <c r="H54" i="43" s="1"/>
  <c r="G54" i="43" s="1"/>
  <c r="M54" i="43" s="1"/>
  <c r="N54" i="43" s="1"/>
  <c r="F72" i="43"/>
  <c r="H75" i="43" s="1"/>
  <c r="U17" i="39"/>
  <c r="U35" i="21"/>
  <c r="AC35" i="21"/>
  <c r="G10" i="1"/>
  <c r="W37" i="37"/>
  <c r="S15" i="37"/>
  <c r="U12" i="40"/>
  <c r="AA12" i="40"/>
  <c r="J37" i="33"/>
  <c r="W37" i="33" s="1"/>
  <c r="F106" i="33"/>
  <c r="G106" i="33" s="1"/>
  <c r="H106" i="33"/>
  <c r="I106" i="33" s="1"/>
  <c r="J106" i="33" s="1"/>
  <c r="K106" i="33" s="1"/>
  <c r="L106" i="33" s="1"/>
  <c r="M106" i="33" s="1"/>
  <c r="J34" i="33"/>
  <c r="W34" i="33" s="1"/>
  <c r="F33" i="34"/>
  <c r="S33" i="34" s="1"/>
  <c r="H20" i="36"/>
  <c r="U20" i="36"/>
  <c r="J20" i="36"/>
  <c r="W20" i="36"/>
  <c r="W24" i="36"/>
  <c r="J27" i="36"/>
  <c r="W27" i="36" s="1"/>
  <c r="AB25" i="37"/>
  <c r="AC33" i="40"/>
  <c r="H35" i="40"/>
  <c r="AB35" i="40"/>
  <c r="H35" i="37"/>
  <c r="U35" i="37"/>
  <c r="AC14" i="35"/>
  <c r="H20" i="35"/>
  <c r="U20" i="35" s="1"/>
  <c r="F20" i="35"/>
  <c r="AA20" i="35"/>
  <c r="AB23" i="35"/>
  <c r="AB29" i="36"/>
  <c r="U29" i="36"/>
  <c r="H32" i="37"/>
  <c r="AB32" i="37" s="1"/>
  <c r="H27" i="40"/>
  <c r="AB27" i="40" s="1"/>
  <c r="U27" i="40"/>
  <c r="J27" i="40"/>
  <c r="AC27" i="40" s="1"/>
  <c r="F27" i="40"/>
  <c r="AA27" i="40" s="1"/>
  <c r="J30" i="40"/>
  <c r="AC30" i="40" s="1"/>
  <c r="F30" i="40"/>
  <c r="AA30" i="40" s="1"/>
  <c r="S31" i="39"/>
  <c r="S11" i="40"/>
  <c r="E98" i="40"/>
  <c r="F98" i="40" s="1"/>
  <c r="G98" i="40" s="1"/>
  <c r="H98" i="40" s="1"/>
  <c r="I98" i="40" s="1"/>
  <c r="J98" i="40" s="1"/>
  <c r="K98" i="40" s="1"/>
  <c r="L98" i="40" s="1"/>
  <c r="M98" i="40" s="1"/>
  <c r="F10" i="33"/>
  <c r="S10" i="33" s="1"/>
  <c r="F34" i="33"/>
  <c r="S34" i="33" s="1"/>
  <c r="H34" i="33"/>
  <c r="AB34" i="33" s="1"/>
  <c r="U34" i="33"/>
  <c r="F35" i="33"/>
  <c r="S35" i="33" s="1"/>
  <c r="F39" i="34"/>
  <c r="S39" i="34" s="1"/>
  <c r="J39" i="34"/>
  <c r="W39" i="34" s="1"/>
  <c r="F40" i="34"/>
  <c r="AA40" i="34" s="1"/>
  <c r="F43" i="34"/>
  <c r="S43" i="34" s="1"/>
  <c r="AC38" i="39"/>
  <c r="F39" i="39"/>
  <c r="S39" i="39" s="1"/>
  <c r="J39" i="39"/>
  <c r="AC39" i="39" s="1"/>
  <c r="E96" i="39"/>
  <c r="F96" i="39" s="1"/>
  <c r="G96" i="39" s="1"/>
  <c r="AZ354" i="3"/>
  <c r="C40" i="11"/>
  <c r="AZ215" i="3"/>
  <c r="AZ223" i="3"/>
  <c r="AZ232" i="3"/>
  <c r="AZ235" i="3"/>
  <c r="AZ240" i="3"/>
  <c r="AZ243" i="3"/>
  <c r="AZ259" i="3"/>
  <c r="AZ268" i="3"/>
  <c r="AZ271" i="3"/>
  <c r="AZ280" i="3"/>
  <c r="AZ288" i="3"/>
  <c r="AZ296" i="3"/>
  <c r="AZ117" i="3"/>
  <c r="AZ21" i="3"/>
  <c r="AZ29" i="3"/>
  <c r="AZ33" i="3"/>
  <c r="AZ37" i="3"/>
  <c r="AZ42" i="3"/>
  <c r="AZ45" i="3"/>
  <c r="AZ53" i="3"/>
  <c r="AZ61" i="3"/>
  <c r="AZ66" i="3"/>
  <c r="AZ69" i="3"/>
  <c r="AZ72" i="3"/>
  <c r="AZ74" i="3"/>
  <c r="AZ77" i="3"/>
  <c r="AZ82" i="3"/>
  <c r="AZ102" i="3"/>
  <c r="AZ110" i="3"/>
  <c r="F23" i="39"/>
  <c r="AA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3" i="36"/>
  <c r="U33" i="36"/>
  <c r="AC12" i="39"/>
  <c r="W12" i="39"/>
  <c r="AZ412" i="3"/>
  <c r="AZ428" i="3"/>
  <c r="AZ433" i="3"/>
  <c r="W12" i="33"/>
  <c r="AC12" i="33"/>
  <c r="AA32" i="36"/>
  <c r="S32" i="36"/>
  <c r="AZ437" i="3"/>
  <c r="AZ441" i="3"/>
  <c r="AZ457" i="3"/>
  <c r="AZ473" i="3"/>
  <c r="AZ490" i="3"/>
  <c r="BL14" i="3"/>
  <c r="U30" i="33"/>
  <c r="AC13" i="34"/>
  <c r="AA47" i="34"/>
  <c r="W28" i="37"/>
  <c r="S19" i="39"/>
  <c r="F12" i="33"/>
  <c r="H12" i="39"/>
  <c r="F39" i="40"/>
  <c r="S39" i="40" s="1"/>
  <c r="BA14" i="3"/>
  <c r="AZ213" i="3"/>
  <c r="AZ238" i="3"/>
  <c r="AZ250" i="3"/>
  <c r="AZ286" i="3"/>
  <c r="AZ165" i="3"/>
  <c r="AZ181" i="3"/>
  <c r="AZ197" i="3"/>
  <c r="AZ35" i="3"/>
  <c r="AZ41" i="3"/>
  <c r="B12" i="1"/>
  <c r="E12" i="1" s="1"/>
  <c r="B10" i="1"/>
  <c r="E10" i="1" s="1"/>
  <c r="AZ80" i="3"/>
  <c r="AZ84" i="3"/>
  <c r="AZ107" i="3"/>
  <c r="AZ111" i="3"/>
  <c r="K12" i="1"/>
  <c r="M12" i="1" s="1"/>
  <c r="S13" i="1"/>
  <c r="AR13" i="1" s="1"/>
  <c r="R13" i="1"/>
  <c r="J51" i="67"/>
  <c r="C42" i="1"/>
  <c r="AC34" i="33"/>
  <c r="AA34" i="33"/>
  <c r="B41" i="1"/>
  <c r="S35" i="40"/>
  <c r="U35" i="40"/>
  <c r="AC36" i="40"/>
  <c r="W38" i="40"/>
  <c r="S17" i="40"/>
  <c r="S23" i="40"/>
  <c r="AC15" i="40"/>
  <c r="AA19" i="40"/>
  <c r="S28" i="40"/>
  <c r="U21" i="40"/>
  <c r="AB19" i="40"/>
  <c r="F32" i="39"/>
  <c r="S32" i="39" s="1"/>
  <c r="U25" i="39"/>
  <c r="J21" i="39"/>
  <c r="W21" i="39" s="1"/>
  <c r="F21" i="39"/>
  <c r="S21" i="39" s="1"/>
  <c r="G94" i="39"/>
  <c r="H21" i="39"/>
  <c r="S17" i="39"/>
  <c r="S9" i="39"/>
  <c r="AC13" i="39"/>
  <c r="U13" i="36"/>
  <c r="U26" i="36"/>
  <c r="AA26" i="36"/>
  <c r="AA34" i="36"/>
  <c r="AC26" i="36"/>
  <c r="AA22" i="36"/>
  <c r="W14" i="36"/>
  <c r="U22" i="36"/>
  <c r="S24" i="36"/>
  <c r="U24" i="36"/>
  <c r="AB20" i="36"/>
  <c r="U16" i="36"/>
  <c r="S14" i="36"/>
  <c r="S23" i="35"/>
  <c r="AB13" i="35"/>
  <c r="U28" i="35"/>
  <c r="AB27" i="35"/>
  <c r="U36" i="35"/>
  <c r="U32" i="35"/>
  <c r="AA33" i="35"/>
  <c r="AC30" i="35"/>
  <c r="S32" i="35"/>
  <c r="AA36" i="35"/>
  <c r="S28" i="35"/>
  <c r="AB16" i="35"/>
  <c r="U22" i="35"/>
  <c r="S20" i="35"/>
  <c r="AC20" i="35"/>
  <c r="U14" i="35"/>
  <c r="AA11" i="35"/>
  <c r="AC9" i="35"/>
  <c r="AC12" i="35"/>
  <c r="W13" i="35"/>
  <c r="F9" i="35"/>
  <c r="S9" i="35" s="1"/>
  <c r="S25" i="37"/>
  <c r="AC29" i="37"/>
  <c r="U29" i="37"/>
  <c r="S32" i="37"/>
  <c r="AB31" i="37"/>
  <c r="S36" i="37"/>
  <c r="AC35" i="37"/>
  <c r="W39" i="37"/>
  <c r="S30" i="37"/>
  <c r="S37" i="37"/>
  <c r="AC15" i="37"/>
  <c r="J17" i="37"/>
  <c r="W17" i="37" s="1"/>
  <c r="F17" i="37"/>
  <c r="AA17" i="37"/>
  <c r="F19" i="37"/>
  <c r="S19" i="37" s="1"/>
  <c r="F79" i="37"/>
  <c r="G79" i="37" s="1"/>
  <c r="F23" i="37"/>
  <c r="S23" i="37" s="1"/>
  <c r="U23" i="37"/>
  <c r="U15" i="37"/>
  <c r="AC13" i="37"/>
  <c r="AA13" i="37"/>
  <c r="H10" i="37"/>
  <c r="AB10" i="37" s="1"/>
  <c r="F63" i="37"/>
  <c r="F11" i="37"/>
  <c r="S11" i="37" s="1"/>
  <c r="U43" i="34"/>
  <c r="AC42" i="34"/>
  <c r="U28" i="34"/>
  <c r="AA29" i="34"/>
  <c r="U15" i="34"/>
  <c r="S13" i="34"/>
  <c r="H10" i="34"/>
  <c r="AB10" i="34" s="1"/>
  <c r="F11" i="34"/>
  <c r="S11" i="34" s="1"/>
  <c r="F70" i="34"/>
  <c r="G70" i="34" s="1"/>
  <c r="H70" i="34" s="1"/>
  <c r="I70" i="34" s="1"/>
  <c r="J70" i="34" s="1"/>
  <c r="K70" i="34" s="1"/>
  <c r="L70" i="34" s="1"/>
  <c r="M70" i="34" s="1"/>
  <c r="W42" i="33"/>
  <c r="AA29" i="33"/>
  <c r="W38" i="33"/>
  <c r="H41" i="33"/>
  <c r="AB41" i="33" s="1"/>
  <c r="F121" i="33"/>
  <c r="G121" i="33" s="1"/>
  <c r="H121" i="33" s="1"/>
  <c r="I121" i="33" s="1"/>
  <c r="J121" i="33" s="1"/>
  <c r="K121" i="33" s="1"/>
  <c r="L121" i="33" s="1"/>
  <c r="M121" i="33" s="1"/>
  <c r="U42" i="33"/>
  <c r="J35" i="33"/>
  <c r="S37" i="33"/>
  <c r="AA37" i="33"/>
  <c r="S39" i="33"/>
  <c r="F101" i="33"/>
  <c r="G101" i="33" s="1"/>
  <c r="H101" i="33" s="1"/>
  <c r="I101" i="33" s="1"/>
  <c r="J101" i="33" s="1"/>
  <c r="K101" i="33" s="1"/>
  <c r="L101" i="33" s="1"/>
  <c r="M101" i="33" s="1"/>
  <c r="J32" i="33"/>
  <c r="S46" i="33"/>
  <c r="W43" i="33"/>
  <c r="S43" i="33"/>
  <c r="F91" i="33"/>
  <c r="H27" i="33"/>
  <c r="J23" i="33"/>
  <c r="AC23" i="33" s="1"/>
  <c r="F85" i="33"/>
  <c r="H23" i="33"/>
  <c r="F81" i="33"/>
  <c r="F19" i="33"/>
  <c r="S19" i="33"/>
  <c r="W19" i="33"/>
  <c r="J17" i="33"/>
  <c r="F79" i="33"/>
  <c r="G79" i="33" s="1"/>
  <c r="S15" i="33"/>
  <c r="J10" i="33"/>
  <c r="W10" i="33" s="1"/>
  <c r="H10" i="33"/>
  <c r="U10" i="33" s="1"/>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G13" i="3"/>
  <c r="BL17" i="3"/>
  <c r="BL13" i="3"/>
  <c r="J56" i="9"/>
  <c r="J57" i="9" s="1"/>
  <c r="J59" i="9" s="1"/>
  <c r="J61" i="9" s="1"/>
  <c r="A24" i="51"/>
  <c r="B18" i="72" s="1"/>
  <c r="U29" i="34"/>
  <c r="E32" i="6"/>
  <c r="G1" i="68"/>
  <c r="K1" i="12"/>
  <c r="E19" i="69"/>
  <c r="E19" i="68"/>
  <c r="E19" i="11"/>
  <c r="G22" i="68"/>
  <c r="C6" i="43"/>
  <c r="B19" i="53"/>
  <c r="B37" i="72" s="1"/>
  <c r="C7" i="39"/>
  <c r="C67" i="39" s="1"/>
  <c r="C7" i="35"/>
  <c r="C48" i="35" s="1"/>
  <c r="D48" i="35" s="1"/>
  <c r="C7" i="21"/>
  <c r="C7" i="40"/>
  <c r="C63" i="40" s="1"/>
  <c r="M47" i="9"/>
  <c r="L20" i="6"/>
  <c r="B6" i="1"/>
  <c r="E6" i="1" s="1"/>
  <c r="K11" i="1"/>
  <c r="M11" i="1" s="1"/>
  <c r="O11" i="1" s="1"/>
  <c r="B9" i="1"/>
  <c r="E9" i="1" s="1"/>
  <c r="K7" i="1"/>
  <c r="G1" i="15"/>
  <c r="G1" i="69"/>
  <c r="G1" i="67"/>
  <c r="AB31" i="40"/>
  <c r="S37" i="40"/>
  <c r="AB28" i="40"/>
  <c r="W28" i="40"/>
  <c r="W34" i="40"/>
  <c r="W19" i="40"/>
  <c r="S36" i="40"/>
  <c r="W37" i="40"/>
  <c r="AC14" i="40"/>
  <c r="S13" i="40"/>
  <c r="AA15" i="40"/>
  <c r="U11" i="40"/>
  <c r="AB13" i="40"/>
  <c r="U15" i="40"/>
  <c r="AB17" i="40"/>
  <c r="U8" i="40"/>
  <c r="S8" i="40"/>
  <c r="AA39" i="39"/>
  <c r="AC41" i="39"/>
  <c r="U42" i="39"/>
  <c r="W25" i="39"/>
  <c r="AC25" i="39"/>
  <c r="U13" i="39"/>
  <c r="AA13" i="39"/>
  <c r="S13" i="39"/>
  <c r="U43" i="39"/>
  <c r="AB43" i="39"/>
  <c r="AA27" i="39"/>
  <c r="S27" i="39"/>
  <c r="W17" i="39"/>
  <c r="AC17" i="39"/>
  <c r="W31" i="39"/>
  <c r="AC31" i="39"/>
  <c r="S23" i="39"/>
  <c r="AB39" i="39"/>
  <c r="W34" i="39"/>
  <c r="S8" i="39"/>
  <c r="S20" i="36"/>
  <c r="W29" i="36"/>
  <c r="AC20" i="36"/>
  <c r="AB28" i="36"/>
  <c r="W9" i="36"/>
  <c r="W22" i="36"/>
  <c r="S9" i="36"/>
  <c r="AB20" i="35"/>
  <c r="AC25" i="35"/>
  <c r="U25" i="35"/>
  <c r="S35" i="35"/>
  <c r="W35" i="35"/>
  <c r="AA35" i="37"/>
  <c r="W36" i="37"/>
  <c r="W32" i="37"/>
  <c r="U36" i="37"/>
  <c r="AB37" i="37"/>
  <c r="AC34" i="37"/>
  <c r="AB35" i="37"/>
  <c r="AA31" i="37"/>
  <c r="U19" i="37"/>
  <c r="AA29" i="37"/>
  <c r="U8" i="37"/>
  <c r="AA31" i="34"/>
  <c r="AA30" i="34"/>
  <c r="AB47" i="34"/>
  <c r="AC32" i="34"/>
  <c r="W29" i="34"/>
  <c r="S32" i="34"/>
  <c r="AA32" i="34"/>
  <c r="AB30" i="34"/>
  <c r="S19" i="34"/>
  <c r="U32" i="34"/>
  <c r="AB32" i="34"/>
  <c r="AB14" i="34"/>
  <c r="W35" i="34"/>
  <c r="U12" i="34"/>
  <c r="AB12" i="34"/>
  <c r="AC37" i="33"/>
  <c r="W46" i="33"/>
  <c r="U39" i="33"/>
  <c r="U38" i="33"/>
  <c r="U44" i="33"/>
  <c r="AB44" i="33"/>
  <c r="AC14" i="33"/>
  <c r="W14" i="33"/>
  <c r="S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H45" i="21"/>
  <c r="U45" i="21"/>
  <c r="F29" i="21"/>
  <c r="S29" i="21" s="1"/>
  <c r="F13" i="21"/>
  <c r="AA13" i="21"/>
  <c r="AC38" i="21"/>
  <c r="H32" i="21"/>
  <c r="H9" i="21"/>
  <c r="J9" i="21"/>
  <c r="W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27" i="21"/>
  <c r="S17" i="21"/>
  <c r="AA15" i="21"/>
  <c r="AC27" i="21"/>
  <c r="AC26" i="21"/>
  <c r="AB29" i="21"/>
  <c r="S28" i="21"/>
  <c r="AC34" i="21"/>
  <c r="C19" i="39"/>
  <c r="C15" i="40"/>
  <c r="C17" i="40"/>
  <c r="C23" i="40"/>
  <c r="C21" i="40"/>
  <c r="U30" i="40"/>
  <c r="B56" i="43"/>
  <c r="B67" i="43"/>
  <c r="B51" i="43"/>
  <c r="B54" i="43"/>
  <c r="B58" i="43"/>
  <c r="B62" i="43"/>
  <c r="B65" i="43"/>
  <c r="B69" i="43"/>
  <c r="D23" i="15"/>
  <c r="D22" i="15"/>
  <c r="E4" i="4"/>
  <c r="B5" i="62" s="1"/>
  <c r="B73" i="72" s="1"/>
  <c r="C4" i="4"/>
  <c r="F31" i="12"/>
  <c r="F30" i="69"/>
  <c r="F48" i="69" s="1"/>
  <c r="AA39" i="40"/>
  <c r="S12" i="33"/>
  <c r="AA12" i="33"/>
  <c r="D68" i="9"/>
  <c r="J32" i="39"/>
  <c r="H32" i="39"/>
  <c r="AB32" i="39" s="1"/>
  <c r="AA32" i="39"/>
  <c r="AB21" i="39"/>
  <c r="U21" i="39"/>
  <c r="AA21" i="39"/>
  <c r="S17" i="37"/>
  <c r="J19" i="37"/>
  <c r="W19" i="37" s="1"/>
  <c r="AA19" i="37"/>
  <c r="AA23" i="37"/>
  <c r="J23" i="37"/>
  <c r="J10" i="37"/>
  <c r="W10" i="37" s="1"/>
  <c r="G63" i="37"/>
  <c r="H63" i="37" s="1"/>
  <c r="I63" i="37" s="1"/>
  <c r="J63" i="37" s="1"/>
  <c r="K63" i="37" s="1"/>
  <c r="L63" i="37" s="1"/>
  <c r="M63" i="37" s="1"/>
  <c r="H11" i="37"/>
  <c r="AB11" i="37" s="1"/>
  <c r="H11" i="34"/>
  <c r="U11" i="34" s="1"/>
  <c r="J10" i="34"/>
  <c r="AC10" i="34" s="1"/>
  <c r="W35" i="33"/>
  <c r="AC35" i="33"/>
  <c r="AC32" i="33"/>
  <c r="W32" i="33"/>
  <c r="U27" i="33"/>
  <c r="AB27" i="33"/>
  <c r="G91" i="33"/>
  <c r="H91" i="33" s="1"/>
  <c r="I91" i="33" s="1"/>
  <c r="J91" i="33" s="1"/>
  <c r="K91" i="33" s="1"/>
  <c r="L91" i="33" s="1"/>
  <c r="M91" i="33" s="1"/>
  <c r="J27" i="33"/>
  <c r="W27" i="33" s="1"/>
  <c r="AB23" i="33"/>
  <c r="U23" i="33"/>
  <c r="F23" i="33"/>
  <c r="AA23" i="33" s="1"/>
  <c r="G85" i="33"/>
  <c r="AA19" i="33"/>
  <c r="H19" i="33"/>
  <c r="AB19" i="33" s="1"/>
  <c r="G81" i="33"/>
  <c r="H17" i="33"/>
  <c r="U17" i="33" s="1"/>
  <c r="F17" i="33"/>
  <c r="AA17" i="33" s="1"/>
  <c r="W17" i="33"/>
  <c r="AC17" i="33"/>
  <c r="AA23" i="21"/>
  <c r="AB15" i="21"/>
  <c r="J23" i="21"/>
  <c r="H23" i="21"/>
  <c r="AB23" i="21" s="1"/>
  <c r="S13" i="21"/>
  <c r="D6" i="52"/>
  <c r="AP7" i="1"/>
  <c r="AB45" i="21"/>
  <c r="AB9" i="21"/>
  <c r="U9" i="21"/>
  <c r="AA32" i="21"/>
  <c r="S32" i="21"/>
  <c r="AC9" i="21"/>
  <c r="AB32" i="21"/>
  <c r="U32" i="21"/>
  <c r="AC32" i="39"/>
  <c r="W32" i="39"/>
  <c r="W23" i="37"/>
  <c r="AC23" i="37"/>
  <c r="J11" i="37"/>
  <c r="AC11" i="37" s="1"/>
  <c r="J11" i="34"/>
  <c r="W11" i="34" s="1"/>
  <c r="AC27" i="33"/>
  <c r="AB17" i="33"/>
  <c r="U23" i="21"/>
  <c r="AC23" i="21"/>
  <c r="W23" i="21"/>
  <c r="H109" i="9"/>
  <c r="D16" i="53" s="1"/>
  <c r="B34" i="72" s="1"/>
  <c r="H112" i="9"/>
  <c r="D21" i="53"/>
  <c r="B39" i="72" s="1"/>
  <c r="H111" i="9"/>
  <c r="D126" i="9" s="1"/>
  <c r="AD3" i="71"/>
  <c r="J1" i="73"/>
  <c r="C22" i="71"/>
  <c r="C21" i="71" s="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V20" i="71"/>
  <c r="F37" i="15"/>
  <c r="M24" i="15"/>
  <c r="F37" i="67"/>
  <c r="AO13" i="1"/>
  <c r="F3" i="73"/>
  <c r="B9" i="76"/>
  <c r="J15" i="67"/>
  <c r="F26" i="67"/>
  <c r="M6" i="67"/>
  <c r="F9" i="15"/>
  <c r="M28" i="15"/>
  <c r="F40" i="15"/>
  <c r="E11" i="76"/>
  <c r="F5" i="73"/>
  <c r="B12" i="76"/>
  <c r="C76" i="15"/>
  <c r="F16" i="15"/>
  <c r="M23" i="67"/>
  <c r="E10" i="76"/>
  <c r="F7" i="73"/>
  <c r="F6" i="73"/>
  <c r="E9" i="76"/>
  <c r="D6" i="73"/>
  <c r="M23" i="15"/>
  <c r="F40" i="67"/>
  <c r="E7" i="76"/>
  <c r="F42" i="15"/>
  <c r="M26" i="15"/>
  <c r="B11" i="76"/>
  <c r="E13" i="76"/>
  <c r="B8" i="76"/>
  <c r="M22" i="15"/>
  <c r="D7" i="73"/>
  <c r="B7" i="76"/>
  <c r="D4" i="73"/>
  <c r="F38" i="15"/>
  <c r="E2" i="68"/>
  <c r="M6" i="15"/>
  <c r="B13" i="76"/>
  <c r="L47" i="67"/>
  <c r="M9" i="67"/>
  <c r="E8" i="76"/>
  <c r="L47" i="15"/>
  <c r="E2" i="69"/>
  <c r="F26" i="15"/>
  <c r="D3" i="73"/>
  <c r="B10" i="76"/>
  <c r="F13" i="15"/>
  <c r="M9" i="15"/>
  <c r="D5" i="73"/>
  <c r="J15" i="15"/>
  <c r="F20" i="31"/>
  <c r="E12" i="76"/>
  <c r="F36" i="15"/>
  <c r="F6" i="15"/>
  <c r="F8" i="15"/>
  <c r="F4" i="73"/>
  <c r="M8" i="15"/>
  <c r="BL16" i="3" l="1"/>
  <c r="AZ548" i="3"/>
  <c r="AZ510" i="3"/>
  <c r="AZ503" i="3"/>
  <c r="AZ551" i="3"/>
  <c r="AZ586" i="3"/>
  <c r="AZ573" i="3"/>
  <c r="AZ559" i="3"/>
  <c r="AZ557" i="3"/>
  <c r="C20" i="71"/>
  <c r="D21" i="71"/>
  <c r="AZ509" i="3"/>
  <c r="F32" i="97"/>
  <c r="F60" i="97" s="1"/>
  <c r="M18" i="97"/>
  <c r="F28" i="97"/>
  <c r="AZ506" i="3"/>
  <c r="AC40" i="37"/>
  <c r="W40" i="37"/>
  <c r="H23" i="36"/>
  <c r="F23" i="36"/>
  <c r="J25" i="36"/>
  <c r="H25" i="36"/>
  <c r="AB14" i="37"/>
  <c r="U14" i="37"/>
  <c r="H26" i="37"/>
  <c r="F26" i="37"/>
  <c r="H45" i="39"/>
  <c r="F45" i="39"/>
  <c r="BL569" i="3"/>
  <c r="AZ569" i="3" s="1"/>
  <c r="BA541" i="3"/>
  <c r="AZ541" i="3" s="1"/>
  <c r="BL520" i="3"/>
  <c r="AZ520" i="3" s="1"/>
  <c r="BL518" i="3"/>
  <c r="BA518" i="3"/>
  <c r="AZ518" i="3" s="1"/>
  <c r="BL517" i="3"/>
  <c r="BA517" i="3"/>
  <c r="AZ517" i="3" s="1"/>
  <c r="BA512" i="3"/>
  <c r="AZ512" i="3" s="1"/>
  <c r="BL511" i="3"/>
  <c r="AZ511" i="3" s="1"/>
  <c r="AZ508" i="3"/>
  <c r="BG5" i="3"/>
  <c r="BL496" i="3"/>
  <c r="AZ496" i="3" s="1"/>
  <c r="AA11" i="36"/>
  <c r="S11" i="36"/>
  <c r="S12" i="35"/>
  <c r="AA12" i="35"/>
  <c r="H40" i="37"/>
  <c r="F40" i="37"/>
  <c r="BA566" i="3"/>
  <c r="AZ566" i="3" s="1"/>
  <c r="BL547" i="3"/>
  <c r="AZ547" i="3" s="1"/>
  <c r="BA543" i="3"/>
  <c r="AZ543" i="3" s="1"/>
  <c r="BA540" i="3"/>
  <c r="BA532" i="3"/>
  <c r="AZ532" i="3" s="1"/>
  <c r="BA515" i="3"/>
  <c r="AZ515" i="3" s="1"/>
  <c r="BL505" i="3"/>
  <c r="BA505" i="3"/>
  <c r="AZ505" i="3" s="1"/>
  <c r="BL502" i="3"/>
  <c r="BA502" i="3"/>
  <c r="BJ5" i="3"/>
  <c r="E15" i="71"/>
  <c r="E14" i="71" s="1"/>
  <c r="E13" i="71" s="1"/>
  <c r="E12" i="71" s="1"/>
  <c r="V16" i="71"/>
  <c r="F28" i="15"/>
  <c r="F32" i="67"/>
  <c r="F60" i="67" s="1"/>
  <c r="F28" i="67"/>
  <c r="S30" i="40"/>
  <c r="BC5" i="3"/>
  <c r="G494" i="3"/>
  <c r="AZ341" i="3"/>
  <c r="AZ565" i="3"/>
  <c r="AZ558" i="3"/>
  <c r="AC35" i="40"/>
  <c r="W35" i="40"/>
  <c r="AB46" i="33"/>
  <c r="U46" i="33"/>
  <c r="W31" i="33"/>
  <c r="AC31" i="33"/>
  <c r="W40" i="33"/>
  <c r="G587" i="3"/>
  <c r="BL587" i="3"/>
  <c r="AZ587" i="3" s="1"/>
  <c r="B99" i="43"/>
  <c r="B76" i="43"/>
  <c r="C27" i="39"/>
  <c r="U12" i="33"/>
  <c r="AB12" i="33"/>
  <c r="F28" i="33"/>
  <c r="S28" i="33" s="1"/>
  <c r="J28" i="33"/>
  <c r="W28" i="33" s="1"/>
  <c r="AB9" i="36"/>
  <c r="U9" i="36"/>
  <c r="J26" i="37"/>
  <c r="H27" i="37"/>
  <c r="J27" i="37"/>
  <c r="H38" i="37"/>
  <c r="F38" i="37"/>
  <c r="AC9" i="39"/>
  <c r="W9" i="39"/>
  <c r="AC41" i="33"/>
  <c r="W41" i="33"/>
  <c r="U42" i="34"/>
  <c r="AB42" i="34"/>
  <c r="BL581" i="3"/>
  <c r="AZ581" i="3" s="1"/>
  <c r="BL577" i="3"/>
  <c r="BA577" i="3"/>
  <c r="AZ577" i="3" s="1"/>
  <c r="BL576" i="3"/>
  <c r="AZ576" i="3" s="1"/>
  <c r="BL575" i="3"/>
  <c r="BL574" i="3"/>
  <c r="BA574" i="3"/>
  <c r="AZ574" i="3" s="1"/>
  <c r="BL572" i="3"/>
  <c r="AZ572" i="3" s="1"/>
  <c r="BA571" i="3"/>
  <c r="AZ571" i="3" s="1"/>
  <c r="BA570" i="3"/>
  <c r="AZ570" i="3" s="1"/>
  <c r="BL561" i="3"/>
  <c r="BA561" i="3"/>
  <c r="BL560" i="3"/>
  <c r="AZ560" i="3" s="1"/>
  <c r="BL558" i="3"/>
  <c r="BL556" i="3"/>
  <c r="BA556" i="3"/>
  <c r="BL555" i="3"/>
  <c r="AZ555" i="3" s="1"/>
  <c r="BL554" i="3"/>
  <c r="AZ554" i="3" s="1"/>
  <c r="BA553" i="3"/>
  <c r="AZ553" i="3" s="1"/>
  <c r="BA552" i="3"/>
  <c r="AZ552" i="3" s="1"/>
  <c r="G552" i="3"/>
  <c r="BA549" i="3"/>
  <c r="AZ549" i="3" s="1"/>
  <c r="BA546" i="3"/>
  <c r="AZ546" i="3" s="1"/>
  <c r="BL545" i="3"/>
  <c r="AZ545" i="3" s="1"/>
  <c r="BA544" i="3"/>
  <c r="AZ544" i="3" s="1"/>
  <c r="BL540" i="3"/>
  <c r="BL539" i="3"/>
  <c r="AZ539" i="3" s="1"/>
  <c r="G539" i="3"/>
  <c r="BL538" i="3"/>
  <c r="AZ538" i="3" s="1"/>
  <c r="BA536" i="3"/>
  <c r="AZ536" i="3" s="1"/>
  <c r="BA535" i="3"/>
  <c r="AZ535" i="3" s="1"/>
  <c r="BL534" i="3"/>
  <c r="AZ534" i="3" s="1"/>
  <c r="BL531" i="3"/>
  <c r="AZ531" i="3" s="1"/>
  <c r="G530" i="3"/>
  <c r="BA528" i="3"/>
  <c r="AZ528" i="3" s="1"/>
  <c r="BA527" i="3"/>
  <c r="AZ527" i="3" s="1"/>
  <c r="AZ420" i="3"/>
  <c r="U19" i="33"/>
  <c r="W16" i="36"/>
  <c r="AC16" i="36"/>
  <c r="BL537" i="3"/>
  <c r="AZ537" i="3" s="1"/>
  <c r="BL528" i="3"/>
  <c r="BL523" i="3"/>
  <c r="AZ523" i="3" s="1"/>
  <c r="BL514" i="3"/>
  <c r="BA514" i="3"/>
  <c r="AZ514" i="3" s="1"/>
  <c r="BA499" i="3"/>
  <c r="AZ499" i="3" s="1"/>
  <c r="BL498" i="3"/>
  <c r="AZ498" i="3" s="1"/>
  <c r="BA497" i="3"/>
  <c r="AZ497" i="3" s="1"/>
  <c r="S37" i="21"/>
  <c r="U27" i="21"/>
  <c r="S32" i="33"/>
  <c r="U19" i="39"/>
  <c r="BL493" i="3"/>
  <c r="AZ493" i="3" s="1"/>
  <c r="F32" i="40"/>
  <c r="S39" i="37"/>
  <c r="AA39" i="37"/>
  <c r="S17" i="33"/>
  <c r="S23" i="33"/>
  <c r="AC19" i="37"/>
  <c r="U32" i="39"/>
  <c r="W23" i="33"/>
  <c r="U41" i="33"/>
  <c r="AC17" i="37"/>
  <c r="M18" i="15"/>
  <c r="M18" i="67"/>
  <c r="F30" i="11"/>
  <c r="C48" i="11" s="1"/>
  <c r="W30" i="40"/>
  <c r="AA29" i="21"/>
  <c r="AA16" i="35"/>
  <c r="S24" i="35"/>
  <c r="U11" i="39"/>
  <c r="U41" i="39"/>
  <c r="S33" i="40"/>
  <c r="U32" i="40"/>
  <c r="S27" i="33"/>
  <c r="S23" i="34"/>
  <c r="W38" i="37"/>
  <c r="W30" i="37"/>
  <c r="AB12" i="39"/>
  <c r="U12" i="39"/>
  <c r="AB34" i="36"/>
  <c r="AC21" i="40"/>
  <c r="S27" i="40"/>
  <c r="W29" i="35"/>
  <c r="U13" i="37"/>
  <c r="BP5" i="3"/>
  <c r="AZ338" i="3"/>
  <c r="AZ355" i="3"/>
  <c r="AZ342" i="3"/>
  <c r="AZ320" i="3"/>
  <c r="W14" i="37"/>
  <c r="W31" i="34"/>
  <c r="H14" i="39"/>
  <c r="F25" i="36"/>
  <c r="AC12" i="40"/>
  <c r="AA14" i="35"/>
  <c r="F12" i="21"/>
  <c r="J12" i="21"/>
  <c r="H12" i="21"/>
  <c r="B94" i="43"/>
  <c r="B73" i="43"/>
  <c r="J9" i="34"/>
  <c r="H9" i="34"/>
  <c r="G82" i="34"/>
  <c r="J19" i="34"/>
  <c r="AC19" i="34" s="1"/>
  <c r="E118" i="34"/>
  <c r="F118" i="34" s="1"/>
  <c r="G118" i="34" s="1"/>
  <c r="H40" i="34"/>
  <c r="U40" i="34" s="1"/>
  <c r="F30" i="33"/>
  <c r="J30" i="33"/>
  <c r="AC22" i="35"/>
  <c r="W22" i="35"/>
  <c r="H39" i="40"/>
  <c r="J39" i="40"/>
  <c r="H35" i="39"/>
  <c r="F35" i="39"/>
  <c r="BL583" i="3"/>
  <c r="BA583" i="3"/>
  <c r="AZ583" i="3" s="1"/>
  <c r="BA582" i="3"/>
  <c r="AZ582" i="3" s="1"/>
  <c r="G582" i="3"/>
  <c r="BA579" i="3"/>
  <c r="AZ579" i="3" s="1"/>
  <c r="BL578" i="3"/>
  <c r="BA578" i="3"/>
  <c r="AZ575" i="3"/>
  <c r="AB29" i="35"/>
  <c r="U29" i="35"/>
  <c r="BL585" i="3"/>
  <c r="AZ585" i="3" s="1"/>
  <c r="BA525" i="3"/>
  <c r="AZ525" i="3" s="1"/>
  <c r="AZ524" i="3"/>
  <c r="BL516" i="3"/>
  <c r="AZ516" i="3" s="1"/>
  <c r="BL500" i="3"/>
  <c r="AZ500" i="3" s="1"/>
  <c r="BN5" i="3"/>
  <c r="F54" i="9"/>
  <c r="F32" i="15"/>
  <c r="F60" i="15" s="1"/>
  <c r="F52" i="9"/>
  <c r="F30" i="68"/>
  <c r="F48" i="68" s="1"/>
  <c r="AB36" i="21"/>
  <c r="S46" i="21"/>
  <c r="AC14" i="34"/>
  <c r="S27" i="37"/>
  <c r="U32" i="36"/>
  <c r="U38" i="39"/>
  <c r="S31" i="40"/>
  <c r="W27" i="40"/>
  <c r="W23" i="40"/>
  <c r="L36" i="1"/>
  <c r="L37" i="1"/>
  <c r="N37" i="1" s="1"/>
  <c r="N36" i="1" s="1"/>
  <c r="AB29" i="33"/>
  <c r="AA35" i="33"/>
  <c r="U32" i="37"/>
  <c r="H9" i="35"/>
  <c r="U9" i="35" s="1"/>
  <c r="S22" i="35"/>
  <c r="S15" i="39"/>
  <c r="AB27" i="39"/>
  <c r="H44" i="34"/>
  <c r="U44" i="34" s="1"/>
  <c r="AC11" i="39"/>
  <c r="U43" i="21"/>
  <c r="BO5" i="3"/>
  <c r="AZ16" i="3"/>
  <c r="AZ327" i="3"/>
  <c r="S12" i="39"/>
  <c r="AA12" i="39"/>
  <c r="W23" i="35"/>
  <c r="AA36" i="39"/>
  <c r="F14" i="39"/>
  <c r="AB35" i="35"/>
  <c r="U45" i="33"/>
  <c r="AB45" i="33"/>
  <c r="U30" i="21"/>
  <c r="F44" i="34"/>
  <c r="AB33" i="37"/>
  <c r="U33" i="37"/>
  <c r="AA41" i="33"/>
  <c r="AC16" i="35"/>
  <c r="W16" i="35"/>
  <c r="W11" i="40"/>
  <c r="AC19" i="39"/>
  <c r="W19" i="39"/>
  <c r="U9" i="40"/>
  <c r="S34" i="35"/>
  <c r="AA16" i="36"/>
  <c r="S16" i="36"/>
  <c r="AC36" i="39"/>
  <c r="W36" i="39"/>
  <c r="J45" i="39"/>
  <c r="F26" i="33"/>
  <c r="H26" i="33"/>
  <c r="F9" i="34"/>
  <c r="AA9" i="34" s="1"/>
  <c r="F86" i="34"/>
  <c r="G86" i="34" s="1"/>
  <c r="H23" i="34"/>
  <c r="U23" i="34" s="1"/>
  <c r="J23" i="34"/>
  <c r="AC28" i="35"/>
  <c r="H46" i="34"/>
  <c r="U46" i="34" s="1"/>
  <c r="F46" i="34"/>
  <c r="S46" i="34" s="1"/>
  <c r="W11" i="35"/>
  <c r="AC11" i="35"/>
  <c r="J24" i="35"/>
  <c r="H24" i="35"/>
  <c r="J23" i="36"/>
  <c r="J12" i="36"/>
  <c r="H12" i="36"/>
  <c r="F12" i="36"/>
  <c r="AC31" i="37"/>
  <c r="W31" i="37"/>
  <c r="J37" i="39"/>
  <c r="F37" i="39"/>
  <c r="H37" i="39"/>
  <c r="AB38" i="40"/>
  <c r="U38" i="40"/>
  <c r="AB40" i="40"/>
  <c r="U40" i="40"/>
  <c r="J32" i="40"/>
  <c r="AZ400" i="3"/>
  <c r="AZ402" i="3"/>
  <c r="A15" i="62"/>
  <c r="B61" i="72" s="1"/>
  <c r="AZ405" i="3"/>
  <c r="AZ453" i="3"/>
  <c r="AZ459" i="3"/>
  <c r="AZ464" i="3"/>
  <c r="AZ471" i="3"/>
  <c r="AZ477" i="3"/>
  <c r="AZ483" i="3"/>
  <c r="AZ486" i="3"/>
  <c r="AZ210" i="3"/>
  <c r="AZ219" i="3"/>
  <c r="M20" i="67"/>
  <c r="F34" i="97"/>
  <c r="F62" i="97" s="1"/>
  <c r="M20" i="97"/>
  <c r="G16" i="3"/>
  <c r="BL398" i="3"/>
  <c r="AZ398" i="3" s="1"/>
  <c r="G403" i="3"/>
  <c r="BL408" i="3"/>
  <c r="AZ408" i="3" s="1"/>
  <c r="G409" i="3"/>
  <c r="BL411" i="3"/>
  <c r="AZ411" i="3" s="1"/>
  <c r="BL414" i="3"/>
  <c r="AZ414" i="3" s="1"/>
  <c r="BL415" i="3"/>
  <c r="AZ421" i="3"/>
  <c r="BL422" i="3"/>
  <c r="G428" i="3"/>
  <c r="AZ435" i="3"/>
  <c r="AZ436" i="3"/>
  <c r="AZ438" i="3"/>
  <c r="AZ439" i="3"/>
  <c r="AZ445" i="3"/>
  <c r="BA447" i="3"/>
  <c r="AZ447" i="3" s="1"/>
  <c r="BL450" i="3"/>
  <c r="AZ450" i="3" s="1"/>
  <c r="G452" i="3"/>
  <c r="BA454" i="3"/>
  <c r="AZ454" i="3" s="1"/>
  <c r="BL461" i="3"/>
  <c r="G463" i="3"/>
  <c r="BA465" i="3"/>
  <c r="AZ465" i="3" s="1"/>
  <c r="BL468" i="3"/>
  <c r="AZ468" i="3" s="1"/>
  <c r="G470" i="3"/>
  <c r="AZ472" i="3"/>
  <c r="AZ474" i="3"/>
  <c r="BA476" i="3"/>
  <c r="AZ476" i="3" s="1"/>
  <c r="BL479" i="3"/>
  <c r="AZ481" i="3"/>
  <c r="G485" i="3"/>
  <c r="BA487" i="3"/>
  <c r="AZ487" i="3" s="1"/>
  <c r="AZ492" i="3"/>
  <c r="BA315" i="3"/>
  <c r="AZ315" i="3" s="1"/>
  <c r="BL324" i="3"/>
  <c r="AZ324" i="3" s="1"/>
  <c r="BA335" i="3"/>
  <c r="AZ335" i="3" s="1"/>
  <c r="BL386" i="3"/>
  <c r="BA392" i="3"/>
  <c r="AZ392" i="3" s="1"/>
  <c r="BA395" i="3"/>
  <c r="AZ395" i="3" s="1"/>
  <c r="G212" i="3"/>
  <c r="BA216" i="3"/>
  <c r="AZ216" i="3" s="1"/>
  <c r="BA220" i="3"/>
  <c r="AZ220" i="3" s="1"/>
  <c r="BA222" i="3"/>
  <c r="AZ222" i="3" s="1"/>
  <c r="BA224" i="3"/>
  <c r="AZ224" i="3" s="1"/>
  <c r="AZ226" i="3"/>
  <c r="BL227" i="3"/>
  <c r="BA230" i="3"/>
  <c r="AZ230" i="3" s="1"/>
  <c r="BA233" i="3"/>
  <c r="AZ233" i="3" s="1"/>
  <c r="AZ246" i="3"/>
  <c r="BL401" i="3"/>
  <c r="AZ401" i="3" s="1"/>
  <c r="G407" i="3"/>
  <c r="G410" i="3"/>
  <c r="G413" i="3"/>
  <c r="G417" i="3"/>
  <c r="BL417" i="3"/>
  <c r="AZ417" i="3" s="1"/>
  <c r="BA422" i="3"/>
  <c r="BA423" i="3"/>
  <c r="AZ423" i="3" s="1"/>
  <c r="BL426" i="3"/>
  <c r="AZ426" i="3" s="1"/>
  <c r="BA430" i="3"/>
  <c r="AZ430" i="3" s="1"/>
  <c r="G434" i="3"/>
  <c r="G441" i="3"/>
  <c r="BL442" i="3"/>
  <c r="AZ442" i="3" s="1"/>
  <c r="G444" i="3"/>
  <c r="BA446" i="3"/>
  <c r="AZ446" i="3" s="1"/>
  <c r="G456" i="3"/>
  <c r="AZ475" i="3"/>
  <c r="BA480" i="3"/>
  <c r="AZ480" i="3" s="1"/>
  <c r="BL483" i="3"/>
  <c r="G489" i="3"/>
  <c r="BL316" i="3"/>
  <c r="AZ316" i="3" s="1"/>
  <c r="BA331" i="3"/>
  <c r="AZ331" i="3" s="1"/>
  <c r="BL340" i="3"/>
  <c r="AZ340" i="3" s="1"/>
  <c r="G351" i="3"/>
  <c r="BL367" i="3"/>
  <c r="BA374" i="3"/>
  <c r="AZ374" i="3" s="1"/>
  <c r="G382" i="3"/>
  <c r="BA386" i="3"/>
  <c r="G209" i="3"/>
  <c r="BL210" i="3"/>
  <c r="BL211" i="3"/>
  <c r="BA217" i="3"/>
  <c r="AZ217" i="3" s="1"/>
  <c r="G220" i="3"/>
  <c r="BA225" i="3"/>
  <c r="AZ225" i="3" s="1"/>
  <c r="BA227" i="3"/>
  <c r="AZ227" i="3" s="1"/>
  <c r="BA231" i="3"/>
  <c r="AZ231" i="3" s="1"/>
  <c r="BL234" i="3"/>
  <c r="AZ234" i="3" s="1"/>
  <c r="G238" i="3"/>
  <c r="G240" i="3"/>
  <c r="BA245" i="3"/>
  <c r="AZ245" i="3" s="1"/>
  <c r="AZ415" i="3"/>
  <c r="AZ461" i="3"/>
  <c r="AZ479" i="3"/>
  <c r="BL332" i="3"/>
  <c r="AZ332" i="3" s="1"/>
  <c r="BL350" i="3"/>
  <c r="AZ350" i="3" s="1"/>
  <c r="BL353" i="3"/>
  <c r="AZ353" i="3" s="1"/>
  <c r="BL359" i="3"/>
  <c r="AZ359" i="3" s="1"/>
  <c r="BA367" i="3"/>
  <c r="BL381" i="3"/>
  <c r="AZ381" i="3" s="1"/>
  <c r="BA385" i="3"/>
  <c r="AZ385" i="3" s="1"/>
  <c r="G396" i="3"/>
  <c r="BL397" i="3"/>
  <c r="AZ397" i="3" s="1"/>
  <c r="BL208" i="3"/>
  <c r="AZ208" i="3" s="1"/>
  <c r="BA211" i="3"/>
  <c r="BA214" i="3"/>
  <c r="AZ214" i="3" s="1"/>
  <c r="G217" i="3"/>
  <c r="BL218" i="3"/>
  <c r="AZ218" i="3" s="1"/>
  <c r="BL219" i="3"/>
  <c r="G223" i="3"/>
  <c r="G225" i="3"/>
  <c r="BA228" i="3"/>
  <c r="AZ228" i="3" s="1"/>
  <c r="G231" i="3"/>
  <c r="BL237" i="3"/>
  <c r="AZ237" i="3" s="1"/>
  <c r="AZ260" i="3"/>
  <c r="AZ264" i="3"/>
  <c r="AZ277" i="3"/>
  <c r="AZ36" i="3"/>
  <c r="BL241" i="3"/>
  <c r="AZ241" i="3" s="1"/>
  <c r="BL248" i="3"/>
  <c r="AZ248" i="3" s="1"/>
  <c r="BA279" i="3"/>
  <c r="AZ279" i="3" s="1"/>
  <c r="AZ282" i="3"/>
  <c r="BA284" i="3"/>
  <c r="AZ284" i="3" s="1"/>
  <c r="AZ118" i="3"/>
  <c r="AZ141" i="3"/>
  <c r="BL239" i="3"/>
  <c r="AZ239" i="3" s="1"/>
  <c r="BA247" i="3"/>
  <c r="AZ247" i="3" s="1"/>
  <c r="BL249" i="3"/>
  <c r="AZ249" i="3" s="1"/>
  <c r="BA253" i="3"/>
  <c r="AZ253" i="3" s="1"/>
  <c r="BA254" i="3"/>
  <c r="AZ254" i="3" s="1"/>
  <c r="G262" i="3"/>
  <c r="BA266" i="3"/>
  <c r="BL273" i="3"/>
  <c r="AZ273" i="3" s="1"/>
  <c r="BL275" i="3"/>
  <c r="AZ275" i="3" s="1"/>
  <c r="BA114" i="3"/>
  <c r="AZ114" i="3" s="1"/>
  <c r="AZ121" i="3"/>
  <c r="BA140" i="3"/>
  <c r="AZ140" i="3" s="1"/>
  <c r="BA145" i="3"/>
  <c r="AZ145" i="3" s="1"/>
  <c r="BA156" i="3"/>
  <c r="AZ156" i="3" s="1"/>
  <c r="G163" i="3"/>
  <c r="BL244" i="3"/>
  <c r="AZ244" i="3" s="1"/>
  <c r="BL251" i="3"/>
  <c r="AZ251" i="3" s="1"/>
  <c r="G257" i="3"/>
  <c r="G265" i="3"/>
  <c r="BL272" i="3"/>
  <c r="AZ272" i="3" s="1"/>
  <c r="G278" i="3"/>
  <c r="BL281" i="3"/>
  <c r="AZ281" i="3" s="1"/>
  <c r="AZ113" i="3"/>
  <c r="BL123" i="3"/>
  <c r="AZ123" i="3" s="1"/>
  <c r="G127" i="3"/>
  <c r="G130" i="3"/>
  <c r="BL130" i="3"/>
  <c r="AZ130" i="3" s="1"/>
  <c r="BL133" i="3"/>
  <c r="G134" i="3"/>
  <c r="BL135" i="3"/>
  <c r="AZ135" i="3" s="1"/>
  <c r="G136" i="3"/>
  <c r="BA242" i="3"/>
  <c r="AZ242" i="3" s="1"/>
  <c r="BA252" i="3"/>
  <c r="AZ252" i="3" s="1"/>
  <c r="BL256" i="3"/>
  <c r="AZ256" i="3" s="1"/>
  <c r="BA262" i="3"/>
  <c r="AZ262" i="3" s="1"/>
  <c r="BL266" i="3"/>
  <c r="G270" i="3"/>
  <c r="BA278" i="3"/>
  <c r="AZ278" i="3" s="1"/>
  <c r="G295" i="3"/>
  <c r="BL295" i="3"/>
  <c r="AZ295" i="3" s="1"/>
  <c r="BL113" i="3"/>
  <c r="BL115" i="3"/>
  <c r="AZ115" i="3" s="1"/>
  <c r="G116" i="3"/>
  <c r="BA124" i="3"/>
  <c r="AZ124" i="3" s="1"/>
  <c r="BA133" i="3"/>
  <c r="BA134" i="3"/>
  <c r="AZ134" i="3" s="1"/>
  <c r="BA137" i="3"/>
  <c r="AZ137" i="3" s="1"/>
  <c r="BL141" i="3"/>
  <c r="BL143" i="3"/>
  <c r="AZ143" i="3" s="1"/>
  <c r="G144" i="3"/>
  <c r="BA148" i="3"/>
  <c r="AZ148" i="3" s="1"/>
  <c r="BL155" i="3"/>
  <c r="AZ155" i="3" s="1"/>
  <c r="G158" i="3"/>
  <c r="BL158" i="3"/>
  <c r="AZ158" i="3" s="1"/>
  <c r="BA166" i="3"/>
  <c r="AZ166" i="3" s="1"/>
  <c r="BL169" i="3"/>
  <c r="BA174" i="3"/>
  <c r="AZ174" i="3" s="1"/>
  <c r="AZ23" i="3"/>
  <c r="BL26" i="3"/>
  <c r="AZ26" i="3" s="1"/>
  <c r="BA44" i="3"/>
  <c r="AZ44" i="3" s="1"/>
  <c r="AZ49" i="3"/>
  <c r="AZ64" i="3"/>
  <c r="AZ73" i="3"/>
  <c r="BL261" i="3"/>
  <c r="AZ261" i="3" s="1"/>
  <c r="BL264" i="3"/>
  <c r="BA269" i="3"/>
  <c r="AZ269" i="3" s="1"/>
  <c r="G273" i="3"/>
  <c r="BL277" i="3"/>
  <c r="G281" i="3"/>
  <c r="BL285" i="3"/>
  <c r="AZ285" i="3" s="1"/>
  <c r="BA287" i="3"/>
  <c r="AZ287" i="3" s="1"/>
  <c r="BL289" i="3"/>
  <c r="AZ289" i="3" s="1"/>
  <c r="BL290" i="3"/>
  <c r="AZ290" i="3" s="1"/>
  <c r="G291" i="3"/>
  <c r="BA293" i="3"/>
  <c r="AZ293" i="3" s="1"/>
  <c r="BA294" i="3"/>
  <c r="AZ294" i="3" s="1"/>
  <c r="G297" i="3"/>
  <c r="BL297" i="3"/>
  <c r="AZ297" i="3" s="1"/>
  <c r="BL298" i="3"/>
  <c r="AZ298" i="3" s="1"/>
  <c r="G299" i="3"/>
  <c r="BA301" i="3"/>
  <c r="AZ301" i="3" s="1"/>
  <c r="BA302" i="3"/>
  <c r="AZ302" i="3" s="1"/>
  <c r="G115" i="3"/>
  <c r="BA120" i="3"/>
  <c r="AZ120" i="3" s="1"/>
  <c r="BA122" i="3"/>
  <c r="AZ122" i="3" s="1"/>
  <c r="BL125" i="3"/>
  <c r="AZ125" i="3" s="1"/>
  <c r="G126" i="3"/>
  <c r="BL127" i="3"/>
  <c r="AZ127" i="3" s="1"/>
  <c r="G128" i="3"/>
  <c r="BA132" i="3"/>
  <c r="AZ132" i="3" s="1"/>
  <c r="G143" i="3"/>
  <c r="G146" i="3"/>
  <c r="BL146" i="3"/>
  <c r="AZ146" i="3" s="1"/>
  <c r="BL149" i="3"/>
  <c r="AZ149" i="3" s="1"/>
  <c r="G150" i="3"/>
  <c r="BL154" i="3"/>
  <c r="AZ154" i="3" s="1"/>
  <c r="G155" i="3"/>
  <c r="BA157" i="3"/>
  <c r="AZ157" i="3" s="1"/>
  <c r="BL161" i="3"/>
  <c r="AZ161" i="3" s="1"/>
  <c r="BL163" i="3"/>
  <c r="AZ163" i="3" s="1"/>
  <c r="G164" i="3"/>
  <c r="BL167" i="3"/>
  <c r="AZ167" i="3" s="1"/>
  <c r="BL186" i="3"/>
  <c r="AZ186" i="3" s="1"/>
  <c r="BA189" i="3"/>
  <c r="AZ189" i="3" s="1"/>
  <c r="AZ193" i="3"/>
  <c r="BA205" i="3"/>
  <c r="AZ205" i="3" s="1"/>
  <c r="AZ207" i="3"/>
  <c r="G20" i="3"/>
  <c r="G22" i="3"/>
  <c r="BA24" i="3"/>
  <c r="AZ24" i="3" s="1"/>
  <c r="BA27" i="3"/>
  <c r="AZ27" i="3" s="1"/>
  <c r="G35" i="3"/>
  <c r="BL36" i="3"/>
  <c r="AZ52" i="3"/>
  <c r="BL166" i="3"/>
  <c r="G167" i="3"/>
  <c r="BA169" i="3"/>
  <c r="G172" i="3"/>
  <c r="BL173" i="3"/>
  <c r="AZ173" i="3" s="1"/>
  <c r="BL175" i="3"/>
  <c r="AZ175" i="3" s="1"/>
  <c r="BA177" i="3"/>
  <c r="AZ177" i="3" s="1"/>
  <c r="BA188" i="3"/>
  <c r="AZ188" i="3" s="1"/>
  <c r="BA194" i="3"/>
  <c r="AZ194" i="3" s="1"/>
  <c r="BL198" i="3"/>
  <c r="AZ198" i="3" s="1"/>
  <c r="BL31" i="3"/>
  <c r="AZ31" i="3" s="1"/>
  <c r="AZ78" i="3"/>
  <c r="G19" i="3"/>
  <c r="G31" i="3"/>
  <c r="BL34" i="3"/>
  <c r="AZ34" i="3" s="1"/>
  <c r="BA40" i="3"/>
  <c r="AZ40" i="3" s="1"/>
  <c r="BA50" i="3"/>
  <c r="AZ50" i="3" s="1"/>
  <c r="BL52" i="3"/>
  <c r="BL55" i="3"/>
  <c r="BA58" i="3"/>
  <c r="AZ58" i="3" s="1"/>
  <c r="BL60" i="3"/>
  <c r="AZ60" i="3" s="1"/>
  <c r="BL63" i="3"/>
  <c r="AZ76" i="3"/>
  <c r="AZ81" i="3"/>
  <c r="BL88" i="3"/>
  <c r="AZ88" i="3" s="1"/>
  <c r="BA94" i="3"/>
  <c r="AZ94" i="3" s="1"/>
  <c r="AZ95" i="3"/>
  <c r="BA97" i="3"/>
  <c r="AZ97" i="3" s="1"/>
  <c r="AZ98" i="3"/>
  <c r="BA103" i="3"/>
  <c r="AZ103" i="3" s="1"/>
  <c r="AZ104" i="3"/>
  <c r="AZ112" i="3"/>
  <c r="G18" i="3"/>
  <c r="BL18" i="3"/>
  <c r="BL5" i="3" s="1"/>
  <c r="BA19" i="3"/>
  <c r="AZ19" i="3" s="1"/>
  <c r="BA30" i="3"/>
  <c r="AZ30" i="3" s="1"/>
  <c r="BL39" i="3"/>
  <c r="AZ39" i="3" s="1"/>
  <c r="G43" i="3"/>
  <c r="G48" i="3"/>
  <c r="BA55" i="3"/>
  <c r="AZ55" i="3" s="1"/>
  <c r="BA63" i="3"/>
  <c r="AZ63" i="3" s="1"/>
  <c r="BA71" i="3"/>
  <c r="AZ71" i="3" s="1"/>
  <c r="BL73" i="3"/>
  <c r="BA86" i="3"/>
  <c r="AZ86" i="3" s="1"/>
  <c r="AZ87" i="3"/>
  <c r="BA92" i="3"/>
  <c r="AZ92" i="3" s="1"/>
  <c r="AZ96" i="3"/>
  <c r="AZ99" i="3"/>
  <c r="AZ100" i="3"/>
  <c r="BA106" i="3"/>
  <c r="AZ106" i="3" s="1"/>
  <c r="AZ108" i="3"/>
  <c r="AB29" i="39"/>
  <c r="U29" i="39"/>
  <c r="T28" i="71"/>
  <c r="C27" i="71"/>
  <c r="D28" i="71"/>
  <c r="U28" i="71" s="1"/>
  <c r="W18" i="35"/>
  <c r="C43" i="71"/>
  <c r="D42" i="71"/>
  <c r="D58" i="71"/>
  <c r="C59" i="71"/>
  <c r="AC21" i="37"/>
  <c r="C55" i="71"/>
  <c r="D54" i="71"/>
  <c r="U18" i="36"/>
  <c r="AA21" i="21"/>
  <c r="D64" i="71"/>
  <c r="C86" i="71"/>
  <c r="D86" i="71" s="1"/>
  <c r="AA25" i="71"/>
  <c r="AB25" i="71"/>
  <c r="S28" i="71"/>
  <c r="X25" i="71"/>
  <c r="Y28" i="71"/>
  <c r="Z28" i="71" s="1"/>
  <c r="Y25" i="71"/>
  <c r="Z25" i="71" s="1"/>
  <c r="C34" i="71"/>
  <c r="E35" i="71"/>
  <c r="E36" i="71" s="1"/>
  <c r="U36" i="71" s="1"/>
  <c r="B34" i="71"/>
  <c r="B35" i="71" s="1"/>
  <c r="B36" i="71" s="1"/>
  <c r="S36" i="71" s="1"/>
  <c r="E30" i="71"/>
  <c r="E31" i="71" s="1"/>
  <c r="E32" i="71" s="1"/>
  <c r="U32" i="71" s="1"/>
  <c r="AB31" i="71"/>
  <c r="Y32" i="71"/>
  <c r="Z32" i="71" s="1"/>
  <c r="AB37" i="71"/>
  <c r="AB38" i="71"/>
  <c r="Y9" i="71"/>
  <c r="Z9" i="71" s="1"/>
  <c r="Y10" i="71"/>
  <c r="Z10" i="71" s="1"/>
  <c r="X22" i="71"/>
  <c r="X21" i="71"/>
  <c r="X18" i="71"/>
  <c r="X17" i="71"/>
  <c r="AA17" i="71"/>
  <c r="Y14" i="71"/>
  <c r="Z14" i="71" s="1"/>
  <c r="S18" i="36"/>
  <c r="AB28" i="71"/>
  <c r="X28" i="71"/>
  <c r="Y27" i="71"/>
  <c r="Z27" i="71" s="1"/>
  <c r="AB33" i="71"/>
  <c r="AB29" i="71"/>
  <c r="X29" i="71"/>
  <c r="AA34" i="71"/>
  <c r="B38" i="71"/>
  <c r="B39" i="71" s="1"/>
  <c r="B40" i="71" s="1"/>
  <c r="S40" i="71" s="1"/>
  <c r="X37" i="71"/>
  <c r="Y18" i="71"/>
  <c r="Z18" i="71" s="1"/>
  <c r="S25" i="40"/>
  <c r="B57" i="43"/>
  <c r="Y31" i="71"/>
  <c r="Z31" i="71" s="1"/>
  <c r="AA36" i="71"/>
  <c r="X10" i="71"/>
  <c r="X9" i="71"/>
  <c r="AA10" i="71"/>
  <c r="X24" i="71"/>
  <c r="AA22" i="71"/>
  <c r="AA18" i="71"/>
  <c r="Y17" i="71"/>
  <c r="Z17" i="71" s="1"/>
  <c r="AB18" i="71"/>
  <c r="AB14" i="71"/>
  <c r="AB9" i="71"/>
  <c r="AB10" i="71"/>
  <c r="AA24" i="71"/>
  <c r="AB24" i="71"/>
  <c r="Y21" i="71"/>
  <c r="Z21" i="71" s="1"/>
  <c r="AB21" i="71"/>
  <c r="X14" i="71"/>
  <c r="AB17" i="71"/>
  <c r="Y24" i="71"/>
  <c r="Z24" i="71" s="1"/>
  <c r="AA21" i="71"/>
  <c r="AB11" i="71"/>
  <c r="X13" i="71"/>
  <c r="Y13" i="71"/>
  <c r="Z13" i="71" s="1"/>
  <c r="Y23" i="71"/>
  <c r="Z23" i="71" s="1"/>
  <c r="AA23" i="71"/>
  <c r="AA15" i="71"/>
  <c r="AB12" i="71"/>
  <c r="AA13" i="71"/>
  <c r="X11" i="71"/>
  <c r="AA9" i="71"/>
  <c r="N56" i="9"/>
  <c r="AB15" i="71"/>
  <c r="AB13" i="71"/>
  <c r="AA12" i="71"/>
  <c r="AA14" i="71"/>
  <c r="Y11" i="71"/>
  <c r="Z11" i="71" s="1"/>
  <c r="X15" i="71"/>
  <c r="AA11" i="71"/>
  <c r="X12" i="71"/>
  <c r="Y12" i="71"/>
  <c r="Z12" i="71" s="1"/>
  <c r="B7" i="1"/>
  <c r="E7" i="1" s="1"/>
  <c r="G1" i="97"/>
  <c r="G1" i="82"/>
  <c r="C28" i="97"/>
  <c r="C7" i="34"/>
  <c r="I7" i="34" s="1"/>
  <c r="J51" i="97"/>
  <c r="F34" i="68"/>
  <c r="C36" i="68" s="1"/>
  <c r="O7" i="1"/>
  <c r="P7" i="1" s="1"/>
  <c r="BL15" i="3"/>
  <c r="S8" i="34"/>
  <c r="AB8" i="34"/>
  <c r="F9" i="1"/>
  <c r="G9" i="1" s="1"/>
  <c r="M85" i="43"/>
  <c r="N85" i="43" s="1"/>
  <c r="AB23" i="34"/>
  <c r="K6" i="1"/>
  <c r="D3" i="89"/>
  <c r="E7" i="34"/>
  <c r="G7" i="34"/>
  <c r="C7" i="36"/>
  <c r="C46" i="36" s="1"/>
  <c r="D46" i="36" s="1"/>
  <c r="E46" i="36" s="1"/>
  <c r="F46" i="36" s="1"/>
  <c r="G46" i="36" s="1"/>
  <c r="H46" i="36" s="1"/>
  <c r="I46" i="36" s="1"/>
  <c r="J46" i="36" s="1"/>
  <c r="K46" i="36" s="1"/>
  <c r="L46" i="36" s="1"/>
  <c r="M46" i="36" s="1"/>
  <c r="N46" i="36" s="1"/>
  <c r="O46" i="36" s="1"/>
  <c r="G23" i="43"/>
  <c r="C7" i="33"/>
  <c r="G7" i="33" s="1"/>
  <c r="J51" i="82"/>
  <c r="C7" i="89"/>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22" i="69"/>
  <c r="G22" i="11"/>
  <c r="E1" i="73"/>
  <c r="G26" i="12"/>
  <c r="J51" i="15"/>
  <c r="L59" i="15" s="1"/>
  <c r="C18" i="9"/>
  <c r="D18" i="9" s="1"/>
  <c r="AC11" i="33"/>
  <c r="M20" i="15"/>
  <c r="F34" i="82"/>
  <c r="F62" i="82" s="1"/>
  <c r="M20" i="82"/>
  <c r="F48" i="9"/>
  <c r="O52" i="9" s="1"/>
  <c r="F32" i="82"/>
  <c r="F60" i="82" s="1"/>
  <c r="M18" i="82"/>
  <c r="F28" i="82"/>
  <c r="C28" i="82" s="1"/>
  <c r="BA17" i="3"/>
  <c r="AZ17" i="3" s="1"/>
  <c r="H50" i="43"/>
  <c r="G50" i="43" s="1"/>
  <c r="M50" i="43" s="1"/>
  <c r="N50" i="43" s="1"/>
  <c r="K54" i="43"/>
  <c r="J54" i="43" s="1"/>
  <c r="C24" i="12"/>
  <c r="F7" i="1"/>
  <c r="C36" i="77"/>
  <c r="F6" i="1"/>
  <c r="F31" i="82"/>
  <c r="AP6" i="1"/>
  <c r="C36" i="69" s="1"/>
  <c r="C40" i="68"/>
  <c r="C40" i="69"/>
  <c r="C21" i="68"/>
  <c r="BA18" i="3"/>
  <c r="AZ18" i="3" s="1"/>
  <c r="BB5" i="3"/>
  <c r="E8" i="6" s="1"/>
  <c r="F27" i="6" s="1"/>
  <c r="AZ15" i="3"/>
  <c r="H5" i="3"/>
  <c r="G14" i="3"/>
  <c r="G5" i="3" s="1"/>
  <c r="B3" i="3" s="1"/>
  <c r="BA13" i="3"/>
  <c r="BA5" i="3" s="1"/>
  <c r="F29" i="6"/>
  <c r="F30" i="6" s="1"/>
  <c r="G28" i="6"/>
  <c r="A2" i="9"/>
  <c r="A4" i="52"/>
  <c r="B41" i="72" s="1"/>
  <c r="A118" i="9"/>
  <c r="D19" i="53"/>
  <c r="B38" i="72" s="1"/>
  <c r="C28" i="67"/>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C31" i="12" s="1"/>
  <c r="I4"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G58" i="43" s="1"/>
  <c r="H51" i="43"/>
  <c r="G51" i="43" s="1"/>
  <c r="H56" i="43"/>
  <c r="G56" i="43" s="1"/>
  <c r="H65" i="43"/>
  <c r="D72" i="43"/>
  <c r="D76" i="43"/>
  <c r="D80" i="43"/>
  <c r="D61" i="43"/>
  <c r="P61" i="15"/>
  <c r="C94" i="9"/>
  <c r="C92" i="9"/>
  <c r="C48" i="69"/>
  <c r="C48" i="68"/>
  <c r="C30" i="68"/>
  <c r="C77" i="9"/>
  <c r="C74" i="9" s="1"/>
  <c r="C30" i="11"/>
  <c r="C21" i="69"/>
  <c r="J85" i="43"/>
  <c r="D83"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K1" i="73"/>
  <c r="B20" i="31"/>
  <c r="B21" i="31" s="1"/>
  <c r="I1" i="73"/>
  <c r="B39" i="1" s="1"/>
  <c r="F65" i="67"/>
  <c r="F51" i="15"/>
  <c r="N59" i="15"/>
  <c r="M59" i="15"/>
  <c r="F66" i="15"/>
  <c r="F64" i="15"/>
  <c r="C27" i="67"/>
  <c r="C27" i="15"/>
  <c r="F65" i="15"/>
  <c r="N59" i="67"/>
  <c r="L59" i="67"/>
  <c r="M59" i="67"/>
  <c r="B13" i="70"/>
  <c r="F68" i="67"/>
  <c r="F68" i="15"/>
  <c r="D9" i="69"/>
  <c r="D9" i="68"/>
  <c r="M26" i="67"/>
  <c r="M8" i="97"/>
  <c r="F36" i="97"/>
  <c r="M28" i="82"/>
  <c r="M6" i="82"/>
  <c r="L48" i="97"/>
  <c r="F16" i="82"/>
  <c r="F13" i="82"/>
  <c r="F13" i="67"/>
  <c r="F38" i="97"/>
  <c r="M23" i="97"/>
  <c r="M26" i="82"/>
  <c r="F8" i="82"/>
  <c r="M22" i="67"/>
  <c r="M24" i="82"/>
  <c r="F6" i="67"/>
  <c r="F16" i="97"/>
  <c r="F26" i="97"/>
  <c r="J15" i="82"/>
  <c r="F37" i="82"/>
  <c r="M29" i="82"/>
  <c r="M29" i="15"/>
  <c r="F43" i="15"/>
  <c r="M8" i="82"/>
  <c r="F36" i="67"/>
  <c r="L47" i="97"/>
  <c r="M22" i="97"/>
  <c r="M28" i="67"/>
  <c r="M9" i="97"/>
  <c r="C76" i="82"/>
  <c r="M23" i="82"/>
  <c r="M6" i="97"/>
  <c r="F40" i="97"/>
  <c r="L48" i="15"/>
  <c r="F6" i="82"/>
  <c r="F37" i="97"/>
  <c r="C76" i="97"/>
  <c r="F40" i="82"/>
  <c r="F38" i="67"/>
  <c r="C76" i="67"/>
  <c r="M24" i="97"/>
  <c r="L47" i="82"/>
  <c r="M24" i="67"/>
  <c r="F43" i="67"/>
  <c r="F26" i="82"/>
  <c r="F7" i="67"/>
  <c r="F6" i="97"/>
  <c r="M29" i="67"/>
  <c r="F7" i="15"/>
  <c r="M26" i="97"/>
  <c r="F43" i="97"/>
  <c r="F7" i="82"/>
  <c r="F42" i="82"/>
  <c r="M28" i="97"/>
  <c r="F42" i="67"/>
  <c r="M22" i="82"/>
  <c r="L48" i="67"/>
  <c r="F7" i="97"/>
  <c r="J15" i="97"/>
  <c r="M8" i="67"/>
  <c r="F8" i="97"/>
  <c r="F16" i="67"/>
  <c r="M9" i="82"/>
  <c r="F9" i="82"/>
  <c r="F9" i="67"/>
  <c r="F8" i="67"/>
  <c r="M27" i="82"/>
  <c r="L48" i="82"/>
  <c r="M29" i="97"/>
  <c r="F38" i="82"/>
  <c r="F9" i="97"/>
  <c r="F36" i="82"/>
  <c r="F42" i="97"/>
  <c r="F13" i="97"/>
  <c r="F43" i="82"/>
  <c r="G1" i="73"/>
  <c r="E85" i="3" l="1"/>
  <c r="B18" i="3"/>
  <c r="AW18" i="3" s="1"/>
  <c r="G29" i="6"/>
  <c r="E29" i="6"/>
  <c r="K15" i="1" s="1"/>
  <c r="G30" i="6"/>
  <c r="G31" i="6" s="1"/>
  <c r="F66" i="67"/>
  <c r="F64" i="67"/>
  <c r="Q71" i="67"/>
  <c r="F51" i="67"/>
  <c r="AA37" i="39"/>
  <c r="S37" i="39"/>
  <c r="S12" i="36"/>
  <c r="AA12" i="36"/>
  <c r="AB24" i="35"/>
  <c r="U24" i="35"/>
  <c r="S26" i="33"/>
  <c r="AA26" i="33"/>
  <c r="AA44" i="34"/>
  <c r="S44" i="34"/>
  <c r="L40" i="1"/>
  <c r="N40" i="1" s="1"/>
  <c r="L42" i="1"/>
  <c r="L39" i="1"/>
  <c r="N39" i="1" s="1"/>
  <c r="AC39" i="40"/>
  <c r="W39" i="40"/>
  <c r="AC30" i="33"/>
  <c r="W30" i="33"/>
  <c r="S12" i="21"/>
  <c r="AA12" i="21"/>
  <c r="AB14" i="39"/>
  <c r="U14" i="39"/>
  <c r="U27" i="37"/>
  <c r="AB27" i="37"/>
  <c r="AB40" i="37"/>
  <c r="U40" i="37"/>
  <c r="U26" i="37"/>
  <c r="AB26" i="37"/>
  <c r="W25" i="36"/>
  <c r="AC25" i="36"/>
  <c r="C19" i="71"/>
  <c r="D20" i="71"/>
  <c r="U20" i="71" s="1"/>
  <c r="T20" i="71"/>
  <c r="F15" i="71"/>
  <c r="F14" i="71" s="1"/>
  <c r="F13" i="71" s="1"/>
  <c r="F12" i="71" s="1"/>
  <c r="F11" i="71" s="1"/>
  <c r="F10" i="71" s="1"/>
  <c r="F9" i="71" s="1"/>
  <c r="F8" i="71" s="1"/>
  <c r="F7" i="71" s="1"/>
  <c r="F6" i="71" s="1"/>
  <c r="F5" i="71" s="1"/>
  <c r="M23" i="43"/>
  <c r="C35" i="71"/>
  <c r="D34" i="71"/>
  <c r="C56" i="71"/>
  <c r="D55" i="71"/>
  <c r="D27" i="71"/>
  <c r="C26" i="71"/>
  <c r="D26" i="71" s="1"/>
  <c r="AZ169" i="3"/>
  <c r="AZ266" i="3"/>
  <c r="AZ211" i="3"/>
  <c r="AZ386" i="3"/>
  <c r="W37" i="39"/>
  <c r="AC37" i="39"/>
  <c r="U12" i="36"/>
  <c r="AB12" i="36"/>
  <c r="AC24" i="35"/>
  <c r="W24" i="35"/>
  <c r="W45" i="39"/>
  <c r="AC45" i="39"/>
  <c r="S14" i="39"/>
  <c r="AA14" i="39"/>
  <c r="U39" i="40"/>
  <c r="AB39" i="40"/>
  <c r="AA30" i="33"/>
  <c r="S30" i="33"/>
  <c r="AA32" i="40"/>
  <c r="S32" i="40"/>
  <c r="S38" i="37"/>
  <c r="AA38" i="37"/>
  <c r="AC26" i="37"/>
  <c r="W26" i="37"/>
  <c r="AZ502" i="3"/>
  <c r="AA45" i="39"/>
  <c r="S45" i="39"/>
  <c r="AA23" i="36"/>
  <c r="S23" i="36"/>
  <c r="B15" i="71"/>
  <c r="B14" i="71" s="1"/>
  <c r="B13" i="71" s="1"/>
  <c r="B12" i="71" s="1"/>
  <c r="S16" i="71"/>
  <c r="D43" i="71"/>
  <c r="C44" i="71"/>
  <c r="AZ133" i="3"/>
  <c r="AZ422" i="3"/>
  <c r="AC32" i="40"/>
  <c r="W32" i="40"/>
  <c r="W12" i="36"/>
  <c r="AC12" i="36"/>
  <c r="S35" i="39"/>
  <c r="AA35" i="39"/>
  <c r="U9" i="34"/>
  <c r="AB9" i="34"/>
  <c r="AB12" i="21"/>
  <c r="U12" i="21"/>
  <c r="AB38" i="37"/>
  <c r="U38" i="37"/>
  <c r="E11" i="71"/>
  <c r="E10" i="71" s="1"/>
  <c r="E9" i="71" s="1"/>
  <c r="E8" i="71" s="1"/>
  <c r="E7" i="71" s="1"/>
  <c r="E6" i="71" s="1"/>
  <c r="E5" i="71" s="1"/>
  <c r="V12" i="71"/>
  <c r="AB45" i="39"/>
  <c r="U45" i="39"/>
  <c r="AB23" i="36"/>
  <c r="U23" i="36"/>
  <c r="D59" i="71"/>
  <c r="C60" i="71"/>
  <c r="AZ367" i="3"/>
  <c r="AB37" i="39"/>
  <c r="U37" i="39"/>
  <c r="W23" i="36"/>
  <c r="AC23" i="36"/>
  <c r="AC23" i="34"/>
  <c r="W23" i="34"/>
  <c r="U26" i="33"/>
  <c r="AB26" i="33"/>
  <c r="M36" i="1"/>
  <c r="M35" i="1" s="1"/>
  <c r="M41" i="1" s="1"/>
  <c r="N41" i="1" s="1"/>
  <c r="AZ578" i="3"/>
  <c r="AB35" i="39"/>
  <c r="U35" i="39"/>
  <c r="AC9" i="34"/>
  <c r="W9" i="34"/>
  <c r="AC12" i="21"/>
  <c r="W12" i="21"/>
  <c r="AA25" i="36"/>
  <c r="S25" i="36"/>
  <c r="AZ556" i="3"/>
  <c r="AZ561" i="3"/>
  <c r="AC27" i="37"/>
  <c r="W27" i="37"/>
  <c r="AZ540" i="3"/>
  <c r="AA40" i="37"/>
  <c r="S40" i="37"/>
  <c r="AA26" i="37"/>
  <c r="S26" i="37"/>
  <c r="AB25" i="36"/>
  <c r="U25" i="36"/>
  <c r="W37" i="34"/>
  <c r="F68" i="82"/>
  <c r="F51" i="82"/>
  <c r="F71" i="82"/>
  <c r="Q71" i="82"/>
  <c r="C27" i="82"/>
  <c r="M7" i="82"/>
  <c r="M17" i="82" s="1"/>
  <c r="F50" i="82"/>
  <c r="C6" i="82"/>
  <c r="C32" i="82" s="1"/>
  <c r="L58" i="82"/>
  <c r="Q73" i="82" s="1"/>
  <c r="F65" i="82"/>
  <c r="F66" i="82"/>
  <c r="F64" i="82"/>
  <c r="Q71" i="97"/>
  <c r="F68" i="97"/>
  <c r="F51" i="97"/>
  <c r="F65" i="97"/>
  <c r="C6" i="97"/>
  <c r="F64" i="97"/>
  <c r="C27" i="97"/>
  <c r="F66" i="97"/>
  <c r="F71" i="97"/>
  <c r="M7" i="97"/>
  <c r="J6" i="97" s="1"/>
  <c r="F50" i="97"/>
  <c r="C49" i="97" s="1"/>
  <c r="C61" i="97" s="1"/>
  <c r="M59" i="82"/>
  <c r="H16" i="1"/>
  <c r="L26" i="1"/>
  <c r="L56" i="97"/>
  <c r="L60" i="97"/>
  <c r="L58" i="97"/>
  <c r="L57" i="97"/>
  <c r="G7" i="1"/>
  <c r="L59" i="97"/>
  <c r="J53" i="97"/>
  <c r="N59" i="97"/>
  <c r="J57" i="97"/>
  <c r="J55" i="97" s="1"/>
  <c r="J58" i="97" s="1"/>
  <c r="Q50" i="97" s="1"/>
  <c r="I54" i="97"/>
  <c r="M59" i="97"/>
  <c r="F11" i="97"/>
  <c r="M11" i="97"/>
  <c r="J10" i="97" s="1"/>
  <c r="Q16" i="1"/>
  <c r="Q17" i="1" s="1"/>
  <c r="F50" i="15"/>
  <c r="C49" i="15" s="1"/>
  <c r="M7" i="15"/>
  <c r="J6" i="15" s="1"/>
  <c r="J18" i="15" s="1"/>
  <c r="C6" i="15"/>
  <c r="C32" i="15" s="1"/>
  <c r="F71" i="15"/>
  <c r="L27" i="1"/>
  <c r="N27" i="1" s="1"/>
  <c r="N26" i="1" s="1"/>
  <c r="H7" i="36"/>
  <c r="F7" i="36"/>
  <c r="L57" i="82"/>
  <c r="J7" i="36"/>
  <c r="AC7" i="36" s="1"/>
  <c r="V36" i="36" s="1"/>
  <c r="I36" i="36" s="1"/>
  <c r="C44" i="43"/>
  <c r="E7" i="33"/>
  <c r="N59" i="82"/>
  <c r="I54" i="82"/>
  <c r="AB36" i="33"/>
  <c r="J57" i="82"/>
  <c r="J55" i="82" s="1"/>
  <c r="J58" i="82" s="1"/>
  <c r="Q50" i="82" s="1"/>
  <c r="L59" i="82"/>
  <c r="Q61" i="82" s="1"/>
  <c r="L60" i="82"/>
  <c r="Q57" i="82" s="1"/>
  <c r="L56" i="82"/>
  <c r="J53" i="82"/>
  <c r="F1" i="82" s="1"/>
  <c r="I7" i="33"/>
  <c r="M84" i="43"/>
  <c r="N84" i="43" s="1"/>
  <c r="K84" i="43"/>
  <c r="M86" i="43"/>
  <c r="N86" i="43" s="1"/>
  <c r="K86" i="43"/>
  <c r="K87" i="43"/>
  <c r="M87" i="43"/>
  <c r="N87" i="43" s="1"/>
  <c r="M88" i="43"/>
  <c r="N88" i="43" s="1"/>
  <c r="K88" i="43"/>
  <c r="K89" i="43"/>
  <c r="M89" i="43"/>
  <c r="N89" i="43" s="1"/>
  <c r="M90" i="43"/>
  <c r="N90" i="43" s="1"/>
  <c r="K90" i="43"/>
  <c r="K83" i="43"/>
  <c r="J83" i="43" s="1"/>
  <c r="M83" i="43"/>
  <c r="N83" i="43" s="1"/>
  <c r="C6" i="67"/>
  <c r="C32" i="67" s="1"/>
  <c r="F50" i="67"/>
  <c r="M7" i="67"/>
  <c r="J6" i="67" s="1"/>
  <c r="J18" i="67" s="1"/>
  <c r="F71" i="67"/>
  <c r="C59" i="89"/>
  <c r="D59" i="89" s="1"/>
  <c r="E59" i="89" s="1"/>
  <c r="F59" i="89" s="1"/>
  <c r="G59" i="89" s="1"/>
  <c r="H59" i="89" s="1"/>
  <c r="I59" i="89" s="1"/>
  <c r="J59" i="89" s="1"/>
  <c r="K59" i="89" s="1"/>
  <c r="L59" i="89" s="1"/>
  <c r="M59" i="89" s="1"/>
  <c r="N59" i="89" s="1"/>
  <c r="O59" i="89" s="1"/>
  <c r="G7" i="89"/>
  <c r="H7" i="89" s="1"/>
  <c r="E7" i="89"/>
  <c r="I7" i="89"/>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F8" i="99" s="1"/>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F7" i="99" s="1"/>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F6" i="99" s="1"/>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F4" i="99" s="1"/>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F9" i="99" s="1"/>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F5" i="99" s="1"/>
  <c r="E59" i="40"/>
  <c r="D18" i="53"/>
  <c r="B35" i="72" s="1"/>
  <c r="J7" i="37"/>
  <c r="AC7" i="37" s="1"/>
  <c r="V42" i="37" s="1"/>
  <c r="I42" i="37" s="1"/>
  <c r="E61" i="43"/>
  <c r="B59" i="43" s="1"/>
  <c r="E56" i="39"/>
  <c r="H7" i="34"/>
  <c r="AB7" i="34" s="1"/>
  <c r="E67" i="39"/>
  <c r="E69" i="39" s="1"/>
  <c r="J7" i="34"/>
  <c r="W7" i="34" s="1"/>
  <c r="F7" i="34"/>
  <c r="S7" i="34" s="1"/>
  <c r="AA26" i="35"/>
  <c r="S26" i="35"/>
  <c r="AC26" i="35"/>
  <c r="W26" i="35"/>
  <c r="AB26" i="35"/>
  <c r="U26" i="35"/>
  <c r="C9" i="69"/>
  <c r="C9" i="68"/>
  <c r="E72" i="43"/>
  <c r="B70" i="43" s="1"/>
  <c r="E60" i="40"/>
  <c r="E27" i="6"/>
  <c r="K26" i="6" s="1"/>
  <c r="M26" i="6" s="1"/>
  <c r="I26" i="6" s="1"/>
  <c r="S26" i="6" s="1"/>
  <c r="F31" i="6"/>
  <c r="E51" i="40"/>
  <c r="E58" i="40"/>
  <c r="E62" i="39"/>
  <c r="D5" i="43"/>
  <c r="C7" i="43"/>
  <c r="C5" i="43" s="1"/>
  <c r="D10" i="52"/>
  <c r="D125" i="9"/>
  <c r="D11" i="52" s="1"/>
  <c r="B7" i="74"/>
  <c r="C7" i="74" s="1"/>
  <c r="F67" i="39"/>
  <c r="F59" i="67"/>
  <c r="H7" i="37"/>
  <c r="AB7" i="37" s="1"/>
  <c r="T42" i="37" s="1"/>
  <c r="G42" i="37" s="1"/>
  <c r="B40" i="1"/>
  <c r="F24" i="97" s="1"/>
  <c r="H7" i="33"/>
  <c r="J7" i="33"/>
  <c r="D65" i="40"/>
  <c r="E63" i="40"/>
  <c r="F48" i="35"/>
  <c r="S7" i="36"/>
  <c r="AA7" i="36"/>
  <c r="R36" i="36" s="1"/>
  <c r="AB7" i="36"/>
  <c r="T36" i="36" s="1"/>
  <c r="G36" i="36" s="1"/>
  <c r="U7" i="36"/>
  <c r="F7" i="33"/>
  <c r="E58" i="21"/>
  <c r="F7" i="37"/>
  <c r="M17" i="67"/>
  <c r="M17" i="15"/>
  <c r="F59" i="15"/>
  <c r="P28" i="43"/>
  <c r="B66" i="40" s="1"/>
  <c r="P25" i="43"/>
  <c r="P29" i="43"/>
  <c r="P27" i="43"/>
  <c r="B70" i="39" s="1"/>
  <c r="M11" i="67"/>
  <c r="J10" i="67" s="1"/>
  <c r="F11" i="15"/>
  <c r="M11" i="15"/>
  <c r="J10" i="15" s="1"/>
  <c r="F11" i="67"/>
  <c r="Q61" i="67"/>
  <c r="Q74" i="67"/>
  <c r="Q74" i="15"/>
  <c r="Q61" i="15"/>
  <c r="AE11" i="1"/>
  <c r="AE9" i="1"/>
  <c r="AE8" i="1"/>
  <c r="AE12" i="1"/>
  <c r="AE10" i="1"/>
  <c r="F27" i="68"/>
  <c r="C16" i="82"/>
  <c r="C16" i="67"/>
  <c r="E56" i="40" l="1"/>
  <c r="K16" i="1"/>
  <c r="F10" i="99"/>
  <c r="E3" i="6"/>
  <c r="C34" i="89" s="1"/>
  <c r="F28" i="12"/>
  <c r="C29" i="12" s="1"/>
  <c r="D28" i="12" s="1"/>
  <c r="F27" i="11"/>
  <c r="C29" i="11" s="1"/>
  <c r="D27" i="11" s="1"/>
  <c r="E30" i="6"/>
  <c r="N42" i="1"/>
  <c r="M42" i="1" s="1"/>
  <c r="L7" i="1" s="1"/>
  <c r="M7" i="1" s="1"/>
  <c r="J6" i="82"/>
  <c r="J18" i="82" s="1"/>
  <c r="C49" i="67"/>
  <c r="T60" i="71"/>
  <c r="D60" i="71"/>
  <c r="D35" i="71"/>
  <c r="C36" i="71"/>
  <c r="B11" i="71"/>
  <c r="B10" i="71" s="1"/>
  <c r="B9" i="71" s="1"/>
  <c r="B8" i="71" s="1"/>
  <c r="B7" i="71" s="1"/>
  <c r="B6" i="71" s="1"/>
  <c r="B5" i="71" s="1"/>
  <c r="S12" i="71"/>
  <c r="C18" i="71"/>
  <c r="D19" i="71"/>
  <c r="T44" i="71"/>
  <c r="D44" i="71"/>
  <c r="T56" i="71"/>
  <c r="D56" i="71"/>
  <c r="Q60" i="82"/>
  <c r="C33" i="82"/>
  <c r="J5" i="97"/>
  <c r="J26" i="97" s="1"/>
  <c r="C49" i="82"/>
  <c r="C61" i="82" s="1"/>
  <c r="J18" i="97"/>
  <c r="J19" i="97"/>
  <c r="C32" i="97"/>
  <c r="C33" i="97"/>
  <c r="F27" i="69"/>
  <c r="F45" i="69" s="1"/>
  <c r="Q52" i="97"/>
  <c r="F1" i="97"/>
  <c r="Q60" i="97"/>
  <c r="Q73" i="97"/>
  <c r="Q74" i="97"/>
  <c r="Q61" i="97"/>
  <c r="Q66" i="97"/>
  <c r="Q57" i="97"/>
  <c r="F7" i="89"/>
  <c r="AA7" i="89" s="1"/>
  <c r="J5" i="15"/>
  <c r="J24" i="15" s="1"/>
  <c r="C24" i="97"/>
  <c r="C53" i="97"/>
  <c r="C48" i="97" s="1"/>
  <c r="C10" i="97"/>
  <c r="C5" i="97" s="1"/>
  <c r="W7" i="36"/>
  <c r="Q52" i="82"/>
  <c r="Q66" i="82"/>
  <c r="O6" i="1"/>
  <c r="Q74" i="82"/>
  <c r="D86" i="43"/>
  <c r="J86" i="43"/>
  <c r="D89" i="43"/>
  <c r="J89" i="43"/>
  <c r="D87" i="43"/>
  <c r="J87" i="43"/>
  <c r="D84" i="43"/>
  <c r="J84" i="43"/>
  <c r="D90" i="43"/>
  <c r="J90" i="43"/>
  <c r="D88" i="43"/>
  <c r="J88" i="43"/>
  <c r="J5" i="67"/>
  <c r="J24" i="67" s="1"/>
  <c r="J7" i="89"/>
  <c r="U7" i="89"/>
  <c r="AB7" i="89"/>
  <c r="Q52" i="67"/>
  <c r="U25" i="33"/>
  <c r="AB25" i="33"/>
  <c r="N58" i="43"/>
  <c r="D58" i="43"/>
  <c r="M14" i="1"/>
  <c r="Q73" i="67"/>
  <c r="Q60" i="15"/>
  <c r="E16" i="6"/>
  <c r="E61" i="39"/>
  <c r="E65" i="39" s="1"/>
  <c r="F10" i="39"/>
  <c r="H10" i="39"/>
  <c r="U10" i="39" s="1"/>
  <c r="J10" i="40"/>
  <c r="AC10" i="40" s="1"/>
  <c r="F10" i="40"/>
  <c r="S10" i="40" s="1"/>
  <c r="H10" i="40"/>
  <c r="AB10" i="40" s="1"/>
  <c r="J10" i="39"/>
  <c r="W10" i="39" s="1"/>
  <c r="Q52" i="15"/>
  <c r="F1" i="15"/>
  <c r="B14" i="74"/>
  <c r="F7" i="74" s="1"/>
  <c r="J55" i="43"/>
  <c r="D55" i="43"/>
  <c r="J56" i="43"/>
  <c r="D56" i="43"/>
  <c r="J51" i="43"/>
  <c r="D51" i="43"/>
  <c r="J52" i="43"/>
  <c r="D52" i="43"/>
  <c r="J53" i="43"/>
  <c r="D53" i="43"/>
  <c r="W7" i="37"/>
  <c r="L36" i="43"/>
  <c r="N36" i="43" s="1"/>
  <c r="F24" i="82"/>
  <c r="C10" i="82"/>
  <c r="C5" i="82" s="1"/>
  <c r="C53" i="82"/>
  <c r="L29" i="1"/>
  <c r="N29" i="1" s="1"/>
  <c r="L32" i="1"/>
  <c r="L30" i="1"/>
  <c r="N30" i="1" s="1"/>
  <c r="M26" i="1"/>
  <c r="M25" i="1" s="1"/>
  <c r="M31" i="1" s="1"/>
  <c r="N31" i="1" s="1"/>
  <c r="H6" i="3"/>
  <c r="AC6" i="3"/>
  <c r="AC7" i="34"/>
  <c r="U7" i="34"/>
  <c r="AA7" i="34"/>
  <c r="AG11" i="1"/>
  <c r="AG9" i="1"/>
  <c r="AG10" i="1"/>
  <c r="AG8" i="1"/>
  <c r="AG12" i="1"/>
  <c r="AG7" i="1"/>
  <c r="AG6" i="1"/>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48" i="67" s="1"/>
  <c r="C10" i="67"/>
  <c r="C5" i="67" s="1"/>
  <c r="C38" i="67" s="1"/>
  <c r="C53" i="15"/>
  <c r="C48" i="15" s="1"/>
  <c r="C66" i="15" s="1"/>
  <c r="C10" i="15"/>
  <c r="C5" i="15" s="1"/>
  <c r="C38" i="15" s="1"/>
  <c r="F25" i="12"/>
  <c r="F22" i="69"/>
  <c r="F41" i="69" s="1"/>
  <c r="F24" i="67"/>
  <c r="C24" i="67" s="1"/>
  <c r="F22" i="11"/>
  <c r="F22" i="68"/>
  <c r="F24" i="15"/>
  <c r="C24" i="15" s="1"/>
  <c r="M27" i="67"/>
  <c r="M27" i="97"/>
  <c r="C16" i="97"/>
  <c r="M27" i="15"/>
  <c r="AE6" i="1"/>
  <c r="C47" i="11" l="1"/>
  <c r="D45" i="11" s="1"/>
  <c r="C33" i="33"/>
  <c r="H33" i="33" s="1"/>
  <c r="AB33" i="33" s="1"/>
  <c r="T48" i="33" s="1"/>
  <c r="C34" i="34"/>
  <c r="F34" i="34" s="1"/>
  <c r="J5" i="82"/>
  <c r="J24" i="82" s="1"/>
  <c r="J19" i="82"/>
  <c r="T36" i="71"/>
  <c r="D36" i="71"/>
  <c r="C17" i="71"/>
  <c r="D18" i="71"/>
  <c r="S7" i="89"/>
  <c r="J24" i="97"/>
  <c r="C29" i="69"/>
  <c r="D27" i="69" s="1"/>
  <c r="C48" i="82"/>
  <c r="C66" i="82" s="1"/>
  <c r="C47" i="69"/>
  <c r="D45" i="69" s="1"/>
  <c r="C14" i="74"/>
  <c r="Y29" i="1"/>
  <c r="D1" i="43"/>
  <c r="C38" i="97"/>
  <c r="C66" i="97"/>
  <c r="C60" i="97"/>
  <c r="O16" i="1"/>
  <c r="J33" i="33"/>
  <c r="AC33" i="33" s="1"/>
  <c r="V48" i="33" s="1"/>
  <c r="I48" i="33" s="1"/>
  <c r="I52" i="33" s="1"/>
  <c r="J52" i="33" s="1"/>
  <c r="U10" i="40"/>
  <c r="W10" i="40"/>
  <c r="E83" i="43"/>
  <c r="B81" i="43" s="1"/>
  <c r="H34" i="89"/>
  <c r="F34" i="89"/>
  <c r="J34" i="89"/>
  <c r="AB10" i="39"/>
  <c r="W7" i="89"/>
  <c r="AC7" i="89"/>
  <c r="AC10" i="39"/>
  <c r="AA10" i="40"/>
  <c r="S10" i="39"/>
  <c r="AA10" i="39"/>
  <c r="E6" i="3"/>
  <c r="E50" i="43"/>
  <c r="B48" i="43" s="1"/>
  <c r="C28" i="43" s="1"/>
  <c r="Q36" i="43"/>
  <c r="M36" i="43"/>
  <c r="P36" i="43"/>
  <c r="O36" i="43"/>
  <c r="L37" i="43"/>
  <c r="P37" i="43" s="1"/>
  <c r="C38" i="82"/>
  <c r="C24" i="82"/>
  <c r="N32" i="1"/>
  <c r="M32" i="1" s="1"/>
  <c r="L6" i="1" s="1"/>
  <c r="M6" i="1" s="1"/>
  <c r="M21" i="6"/>
  <c r="I21" i="6" s="1"/>
  <c r="S21" i="6" s="1"/>
  <c r="E6" i="70"/>
  <c r="J6" i="70"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4" i="6"/>
  <c r="D19" i="6"/>
  <c r="C18" i="4"/>
  <c r="D23" i="6"/>
  <c r="D5" i="6"/>
  <c r="D12" i="6"/>
  <c r="D11" i="6"/>
  <c r="D13" i="6"/>
  <c r="D28" i="6"/>
  <c r="E61" i="40"/>
  <c r="H26" i="6"/>
  <c r="P14" i="1"/>
  <c r="P16" i="1" s="1"/>
  <c r="C11" i="12" s="1"/>
  <c r="H67" i="39"/>
  <c r="G69" i="39"/>
  <c r="E40" i="36"/>
  <c r="F40" i="36" s="1"/>
  <c r="E41" i="36"/>
  <c r="F41" i="36"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D10" i="68"/>
  <c r="C17" i="15"/>
  <c r="F41" i="15"/>
  <c r="C17" i="82"/>
  <c r="C14" i="67"/>
  <c r="C17" i="67"/>
  <c r="C17" i="97"/>
  <c r="C16" i="15"/>
  <c r="J34" i="34" l="1"/>
  <c r="AC34" i="34" s="1"/>
  <c r="V49" i="34" s="1"/>
  <c r="I49" i="34" s="1"/>
  <c r="J26" i="82"/>
  <c r="F33" i="33"/>
  <c r="AA33" i="33" s="1"/>
  <c r="R48" i="33" s="1"/>
  <c r="E48" i="33" s="1"/>
  <c r="I53" i="33" s="1"/>
  <c r="J53" i="33" s="1"/>
  <c r="B2" i="74"/>
  <c r="U33" i="33"/>
  <c r="H34" i="34"/>
  <c r="AB34" i="34" s="1"/>
  <c r="C34" i="69"/>
  <c r="C38" i="69" s="1"/>
  <c r="C16" i="71"/>
  <c r="D17" i="71"/>
  <c r="M16" i="1"/>
  <c r="C60" i="82"/>
  <c r="W33" i="33"/>
  <c r="F69" i="15"/>
  <c r="AB34" i="89"/>
  <c r="T49" i="89" s="1"/>
  <c r="G49" i="89" s="1"/>
  <c r="U34" i="89"/>
  <c r="W34" i="34"/>
  <c r="AC34" i="89"/>
  <c r="V49" i="89" s="1"/>
  <c r="I49" i="89" s="1"/>
  <c r="I53" i="89" s="1"/>
  <c r="J53" i="89" s="1"/>
  <c r="W34" i="89"/>
  <c r="AA34" i="89"/>
  <c r="R49" i="89" s="1"/>
  <c r="S34" i="89"/>
  <c r="AA34" i="34"/>
  <c r="R49" i="34" s="1"/>
  <c r="E49" i="34" s="1"/>
  <c r="E53" i="34" s="1"/>
  <c r="F53" i="34" s="1"/>
  <c r="S34" i="34"/>
  <c r="G48" i="33"/>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J7" i="70" s="1"/>
  <c r="J8" i="70" s="1"/>
  <c r="Q37" i="43"/>
  <c r="M37" i="43"/>
  <c r="O37" i="43"/>
  <c r="N37" i="43"/>
  <c r="C18" i="67"/>
  <c r="C15" i="67"/>
  <c r="H23" i="6"/>
  <c r="R23" i="6" s="1"/>
  <c r="R10" i="1" s="1"/>
  <c r="H20" i="6"/>
  <c r="R20" i="6" s="1"/>
  <c r="R7" i="1" s="1"/>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8" i="74"/>
  <c r="D7" i="74"/>
  <c r="C10" i="69"/>
  <c r="C8" i="69" s="1"/>
  <c r="D19" i="69"/>
  <c r="C4" i="52"/>
  <c r="B45" i="72" s="1"/>
  <c r="A10" i="51"/>
  <c r="B9" i="72" s="1"/>
  <c r="A7" i="51"/>
  <c r="B7" i="72" s="1"/>
  <c r="C10" i="68"/>
  <c r="B29" i="1" s="1"/>
  <c r="D19" i="68"/>
  <c r="H69" i="39"/>
  <c r="I67" i="39"/>
  <c r="G65" i="40"/>
  <c r="H63" i="40"/>
  <c r="C43" i="37"/>
  <c r="C42" i="37"/>
  <c r="I48" i="35"/>
  <c r="H58" i="21"/>
  <c r="E47" i="37"/>
  <c r="F47" i="37" s="1"/>
  <c r="E46" i="37"/>
  <c r="F46" i="37" s="1"/>
  <c r="I47" i="37"/>
  <c r="J47" i="37" s="1"/>
  <c r="E52" i="33"/>
  <c r="F52" i="33" s="1"/>
  <c r="C33" i="15"/>
  <c r="C33" i="67"/>
  <c r="J19" i="67"/>
  <c r="C34" i="68"/>
  <c r="F35" i="82"/>
  <c r="M21" i="82"/>
  <c r="C14" i="15"/>
  <c r="C14" i="97"/>
  <c r="C14" i="82"/>
  <c r="S33" i="33" l="1"/>
  <c r="R49" i="33"/>
  <c r="E53" i="33"/>
  <c r="F53" i="33" s="1"/>
  <c r="U34" i="34"/>
  <c r="C35" i="69"/>
  <c r="L16" i="1"/>
  <c r="N16" i="1"/>
  <c r="C15" i="71"/>
  <c r="T16" i="71"/>
  <c r="D16" i="71"/>
  <c r="U16" i="71" s="1"/>
  <c r="C18" i="97"/>
  <c r="C15" i="97"/>
  <c r="D31" i="6"/>
  <c r="I6" i="6" s="1"/>
  <c r="G3" i="43" s="1"/>
  <c r="C8" i="68"/>
  <c r="E49" i="89"/>
  <c r="R50" i="89"/>
  <c r="I53" i="34"/>
  <c r="J53" i="34" s="1"/>
  <c r="I54" i="34"/>
  <c r="J54" i="34" s="1"/>
  <c r="G53" i="89"/>
  <c r="H53" i="89" s="1"/>
  <c r="G54" i="89"/>
  <c r="H54" i="89"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I69" i="39"/>
  <c r="J67" i="39"/>
  <c r="I63" i="40"/>
  <c r="H65" i="40"/>
  <c r="I58" i="21"/>
  <c r="J58" i="21" s="1"/>
  <c r="K58" i="21" s="1"/>
  <c r="L58" i="21" s="1"/>
  <c r="M58" i="21" s="1"/>
  <c r="N58" i="21" s="1"/>
  <c r="O58" i="21" s="1"/>
  <c r="H7" i="21" s="1"/>
  <c r="J48" i="35"/>
  <c r="C33" i="69" l="1"/>
  <c r="C49" i="33"/>
  <c r="C48" i="33"/>
  <c r="I5" i="6"/>
  <c r="C14" i="71"/>
  <c r="D15" i="71"/>
  <c r="F50" i="11"/>
  <c r="F50" i="68"/>
  <c r="F50" i="69"/>
  <c r="C19" i="97"/>
  <c r="C20" i="97" s="1"/>
  <c r="C26" i="97" s="1"/>
  <c r="C18" i="12"/>
  <c r="C21" i="12" s="1"/>
  <c r="C22" i="12" s="1"/>
  <c r="C27" i="12" s="1"/>
  <c r="C25" i="12" s="1"/>
  <c r="C49" i="89"/>
  <c r="C50" i="89"/>
  <c r="I54" i="89"/>
  <c r="J54" i="89" s="1"/>
  <c r="E53" i="89"/>
  <c r="F53" i="89" s="1"/>
  <c r="E54" i="89"/>
  <c r="F54" i="89" s="1"/>
  <c r="C6" i="69"/>
  <c r="C20" i="82"/>
  <c r="C26" i="82" s="1"/>
  <c r="F26" i="43"/>
  <c r="G26" i="43"/>
  <c r="N370" i="46"/>
  <c r="E26" i="43"/>
  <c r="J26" i="43"/>
  <c r="N94" i="46"/>
  <c r="H26" i="43"/>
  <c r="B116" i="43"/>
  <c r="Z7" i="43"/>
  <c r="F7" i="21"/>
  <c r="S7" i="21" s="1"/>
  <c r="J7" i="21"/>
  <c r="W7"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D14" i="71" l="1"/>
  <c r="C13" i="71"/>
  <c r="C23" i="97"/>
  <c r="C29" i="97" s="1"/>
  <c r="B2" i="89"/>
  <c r="B3" i="89"/>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G52" i="21"/>
  <c r="H52" i="21" s="1"/>
  <c r="F7" i="35"/>
  <c r="M21" i="97"/>
  <c r="F35" i="15"/>
  <c r="F35" i="97"/>
  <c r="M21" i="15"/>
  <c r="M21" i="67"/>
  <c r="F35" i="67"/>
  <c r="C12" i="71" l="1"/>
  <c r="D13" i="71"/>
  <c r="C13" i="97"/>
  <c r="Q49" i="97"/>
  <c r="C36" i="97"/>
  <c r="J59" i="97"/>
  <c r="J60" i="97" s="1"/>
  <c r="C57" i="97"/>
  <c r="C64" i="97" s="1"/>
  <c r="J14" i="97"/>
  <c r="J20" i="97"/>
  <c r="J17" i="97" s="1"/>
  <c r="C34" i="97"/>
  <c r="C31" i="97" s="1"/>
  <c r="F63" i="97"/>
  <c r="C62" i="97" s="1"/>
  <c r="C59" i="97" s="1"/>
  <c r="H37" i="34"/>
  <c r="U37"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1" i="71" l="1"/>
  <c r="T12" i="71"/>
  <c r="D12" i="71"/>
  <c r="U12" i="71" s="1"/>
  <c r="J22" i="97"/>
  <c r="J13" i="97"/>
  <c r="J23" i="97" s="1"/>
  <c r="C75" i="97"/>
  <c r="Q70" i="97"/>
  <c r="C37" i="97"/>
  <c r="C30" i="97" s="1"/>
  <c r="C39" i="97" s="1"/>
  <c r="C56" i="97"/>
  <c r="C65" i="97" s="1"/>
  <c r="C58" i="97" s="1"/>
  <c r="C67" i="97" s="1"/>
  <c r="L46" i="97"/>
  <c r="Q48" i="97"/>
  <c r="AB37" i="34"/>
  <c r="T49" i="34" s="1"/>
  <c r="G49" i="34" s="1"/>
  <c r="G54" i="34" s="1"/>
  <c r="H54" i="34" s="1"/>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30" i="67"/>
  <c r="C39" i="67" s="1"/>
  <c r="H41"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97"/>
  <c r="E6" i="76"/>
  <c r="C10" i="71" l="1"/>
  <c r="D11" i="71"/>
  <c r="J16" i="97"/>
  <c r="J25" i="97" s="1"/>
  <c r="R50" i="34"/>
  <c r="C49" i="34" s="1"/>
  <c r="I37" i="97"/>
  <c r="Q69" i="97"/>
  <c r="Q68" i="97" s="1"/>
  <c r="C80" i="97"/>
  <c r="C79" i="97" s="1"/>
  <c r="Q67" i="97"/>
  <c r="Q69" i="67"/>
  <c r="Q68" i="67" s="1"/>
  <c r="E54" i="34"/>
  <c r="F54" i="34" s="1"/>
  <c r="G53" i="34"/>
  <c r="H53" i="34" s="1"/>
  <c r="C28" i="69"/>
  <c r="C27" i="69" s="1"/>
  <c r="C25" i="69"/>
  <c r="C22" i="69" s="1"/>
  <c r="Q69" i="82"/>
  <c r="Q68" i="82" s="1"/>
  <c r="E2" i="76"/>
  <c r="B2" i="43"/>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H38" i="15" s="1"/>
  <c r="O67" i="39"/>
  <c r="O69" i="39" s="1"/>
  <c r="N69" i="39"/>
  <c r="F7" i="39"/>
  <c r="C39" i="35"/>
  <c r="C38" i="35"/>
  <c r="N63" i="40"/>
  <c r="M65" i="40"/>
  <c r="E43" i="35"/>
  <c r="F43" i="35" s="1"/>
  <c r="E42" i="35"/>
  <c r="F42" i="35" s="1"/>
  <c r="I43" i="35"/>
  <c r="J43" i="35" s="1"/>
  <c r="L51" i="82"/>
  <c r="L51" i="67"/>
  <c r="D2" i="33"/>
  <c r="B6" i="76"/>
  <c r="C50" i="34" l="1"/>
  <c r="D10" i="71"/>
  <c r="C9" i="71"/>
  <c r="C6" i="68"/>
  <c r="C7" i="68" s="1"/>
  <c r="C5" i="68" s="1"/>
  <c r="Q67" i="82"/>
  <c r="C31" i="69"/>
  <c r="C52" i="69" s="1"/>
  <c r="C57" i="69" s="1"/>
  <c r="C56" i="69" s="1"/>
  <c r="Q69" i="15"/>
  <c r="Q68" i="15" s="1"/>
  <c r="B2" i="76"/>
  <c r="B3" i="76" s="1"/>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D2" i="37"/>
  <c r="AE7" i="1"/>
  <c r="L51" i="15"/>
  <c r="D2" i="36"/>
  <c r="D2" i="35"/>
  <c r="D2" i="34"/>
  <c r="F41" i="67"/>
  <c r="C8" i="71" l="1"/>
  <c r="D9" i="71"/>
  <c r="C23" i="68"/>
  <c r="C20" i="68"/>
  <c r="C25" i="68" s="1"/>
  <c r="F69" i="67"/>
  <c r="C68" i="67" s="1"/>
  <c r="C71" i="67" s="1"/>
  <c r="J29" i="67"/>
  <c r="C40" i="67"/>
  <c r="B2" i="69"/>
  <c r="B3" i="69" s="1"/>
  <c r="C27" i="77"/>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F41" i="82"/>
  <c r="AO12" i="1"/>
  <c r="F41" i="97"/>
  <c r="AO10" i="1"/>
  <c r="AO11" i="1"/>
  <c r="AO9" i="1"/>
  <c r="AO8" i="1"/>
  <c r="C7" i="71" l="1"/>
  <c r="D8" i="71"/>
  <c r="F69" i="97"/>
  <c r="C68" i="97" s="1"/>
  <c r="C71" i="97" s="1"/>
  <c r="J29" i="97"/>
  <c r="C40" i="97"/>
  <c r="C22" i="68"/>
  <c r="C28" i="68"/>
  <c r="C27" i="68" s="1"/>
  <c r="D2" i="67"/>
  <c r="B2" i="67" s="1"/>
  <c r="C45" i="67"/>
  <c r="C46" i="67" s="1"/>
  <c r="C83" i="67"/>
  <c r="C82" i="67" s="1"/>
  <c r="C43" i="67"/>
  <c r="Q47" i="67"/>
  <c r="Q53" i="67" s="1"/>
  <c r="Q65" i="67"/>
  <c r="Q75" i="67" s="1"/>
  <c r="Q56" i="67"/>
  <c r="Q62" i="67" s="1"/>
  <c r="C40" i="82"/>
  <c r="C43" i="82" s="1"/>
  <c r="F69" i="82"/>
  <c r="C68" i="82" s="1"/>
  <c r="C71" i="82" s="1"/>
  <c r="J29" i="82"/>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7" i="71" l="1"/>
  <c r="C6" i="71"/>
  <c r="B2" i="97"/>
  <c r="B3" i="97" s="1"/>
  <c r="Q47" i="97"/>
  <c r="Q53" i="97" s="1"/>
  <c r="C46" i="97"/>
  <c r="C83" i="97"/>
  <c r="C82" i="97" s="1"/>
  <c r="Q65" i="97"/>
  <c r="Q75" i="97" s="1"/>
  <c r="Q56" i="97"/>
  <c r="Q62" i="97" s="1"/>
  <c r="C43" i="97"/>
  <c r="C31" i="68"/>
  <c r="C52" i="68" s="1"/>
  <c r="B2" i="68" s="1"/>
  <c r="B3" i="67"/>
  <c r="Q47" i="82"/>
  <c r="Q53" i="82" s="1"/>
  <c r="C83" i="82"/>
  <c r="C82" i="82" s="1"/>
  <c r="Q65" i="82"/>
  <c r="Q75" i="82" s="1"/>
  <c r="B2" i="82"/>
  <c r="B3" i="82" s="1"/>
  <c r="Q56" i="82"/>
  <c r="Q62" i="82" s="1"/>
  <c r="C46" i="82"/>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AO7" i="1"/>
  <c r="L6" i="70" l="1"/>
  <c r="M6" i="70" s="1"/>
  <c r="G4" i="99" s="1"/>
  <c r="G6" i="99" s="1"/>
  <c r="H6" i="99" s="1"/>
  <c r="D6" i="71"/>
  <c r="C5" i="71"/>
  <c r="D5" i="71" s="1"/>
  <c r="M24" i="43" s="1"/>
  <c r="C102" i="9"/>
  <c r="C21" i="9"/>
  <c r="C57" i="68"/>
  <c r="C56" i="68" s="1"/>
  <c r="B7" i="70"/>
  <c r="B3" i="77"/>
  <c r="C42" i="40"/>
  <c r="C43" i="40"/>
  <c r="E47" i="40"/>
  <c r="F47" i="40" s="1"/>
  <c r="E46" i="40"/>
  <c r="F46" i="40" s="1"/>
  <c r="I47" i="40"/>
  <c r="J47" i="40" s="1"/>
  <c r="B3" i="68"/>
  <c r="D34" i="9"/>
  <c r="C20" i="9"/>
  <c r="D35" i="9"/>
  <c r="H4" i="99" l="1"/>
  <c r="G5" i="99"/>
  <c r="H5" i="99" s="1"/>
  <c r="G7" i="99"/>
  <c r="H7" i="99" s="1"/>
  <c r="B2" i="70"/>
  <c r="L7" i="70"/>
  <c r="C103" i="9"/>
  <c r="B58" i="40"/>
  <c r="F58" i="40" s="1"/>
  <c r="B54" i="40"/>
  <c r="F54" i="40" s="1"/>
  <c r="B53" i="40"/>
  <c r="F53" i="40" s="1"/>
  <c r="B59" i="40"/>
  <c r="F59" i="40" s="1"/>
  <c r="B52" i="40"/>
  <c r="F52" i="40" s="1"/>
  <c r="B56" i="40"/>
  <c r="F56" i="40" s="1"/>
  <c r="B60" i="40"/>
  <c r="F60" i="40" s="1"/>
  <c r="B57" i="40"/>
  <c r="F57" i="40" s="1"/>
  <c r="B51" i="40"/>
  <c r="F51" i="40" s="1"/>
  <c r="F61" i="40"/>
  <c r="B2" i="40" s="1"/>
  <c r="B3" i="40" s="1"/>
  <c r="D19" i="9"/>
  <c r="B3" i="70" l="1"/>
  <c r="L8" i="70"/>
  <c r="M7" i="70"/>
  <c r="G8" i="99" s="1"/>
  <c r="G19" i="9"/>
  <c r="D102" i="9"/>
  <c r="D21" i="9"/>
  <c r="D22" i="9"/>
  <c r="D20" i="9"/>
  <c r="G21" i="9" l="1"/>
  <c r="D103" i="9"/>
  <c r="G20" i="9"/>
  <c r="C32" i="9" s="1"/>
  <c r="C35" i="9" s="1"/>
  <c r="C34" i="9" s="1"/>
  <c r="G9" i="99"/>
  <c r="H8" i="99"/>
  <c r="H9" i="99" s="1"/>
  <c r="F118" i="9" l="1"/>
  <c r="H10" i="99"/>
  <c r="D118" i="9"/>
  <c r="K10" i="99" s="1"/>
  <c r="K4" i="99" l="1"/>
  <c r="K5" i="99"/>
  <c r="K7" i="99"/>
  <c r="K8" i="99"/>
  <c r="K6" i="99"/>
  <c r="G118" i="9"/>
  <c r="G4" i="52" s="1"/>
  <c r="B52" i="72" s="1"/>
  <c r="L10" i="99"/>
  <c r="M10" i="99" s="1"/>
  <c r="N10" i="99" s="1"/>
  <c r="F4" i="52"/>
  <c r="B51" i="72" s="1"/>
  <c r="F119" i="9"/>
  <c r="F5" i="52" s="1"/>
  <c r="B53" i="72" s="1"/>
  <c r="D119" i="9"/>
  <c r="D5" i="52" s="1"/>
  <c r="B49" i="72" s="1"/>
  <c r="D4" i="52"/>
  <c r="B47" i="72" s="1"/>
  <c r="H118" i="9"/>
  <c r="H4" i="52" s="1"/>
  <c r="O4" i="99" l="1"/>
  <c r="L7" i="99" s="1"/>
  <c r="M7" i="99" s="1"/>
  <c r="N7" i="99" s="1"/>
  <c r="K9" i="99"/>
  <c r="H119" i="9"/>
  <c r="H5" i="52" s="1"/>
  <c r="C104" i="9"/>
  <c r="I118" i="9"/>
  <c r="H101" i="9"/>
  <c r="L4" i="99" l="1"/>
  <c r="M4" i="99" s="1"/>
  <c r="N4" i="99" s="1"/>
  <c r="L5" i="99"/>
  <c r="M5" i="99" s="1"/>
  <c r="N5" i="99" s="1"/>
  <c r="L6" i="99"/>
  <c r="M6" i="99" s="1"/>
  <c r="N6" i="99" s="1"/>
  <c r="O8" i="99"/>
  <c r="D45" i="9"/>
  <c r="D14" i="74"/>
  <c r="D5" i="53"/>
  <c r="H107" i="9"/>
  <c r="M48" i="9"/>
  <c r="H102" i="9"/>
  <c r="D7" i="53" s="1"/>
  <c r="B21" i="72" s="1"/>
  <c r="E118" i="9"/>
  <c r="E4" i="52" s="1"/>
  <c r="B48" i="72" s="1"/>
  <c r="C105" i="9"/>
  <c r="I4" i="52"/>
  <c r="L8" i="99" l="1"/>
  <c r="M8" i="99" s="1"/>
  <c r="N8" i="99" s="1"/>
  <c r="G14" i="74"/>
  <c r="B6" i="74" s="1"/>
  <c r="D13" i="53"/>
  <c r="H108" i="9"/>
  <c r="D15" i="53" s="1"/>
  <c r="B31" i="72" s="1"/>
  <c r="M49" i="9"/>
  <c r="D122" i="9"/>
  <c r="D6" i="53"/>
  <c r="B22" i="72" s="1"/>
  <c r="B20" i="72"/>
  <c r="E14" i="74"/>
  <c r="B5" i="74"/>
  <c r="F14" i="74"/>
  <c r="C93" i="9"/>
  <c r="C86" i="9" s="1"/>
  <c r="C64" i="9"/>
  <c r="C63" i="9" s="1"/>
  <c r="C67" i="9" s="1"/>
  <c r="D52" i="9"/>
  <c r="D53" i="9"/>
  <c r="D55" i="9"/>
  <c r="M53" i="9" s="1"/>
  <c r="C72" i="9"/>
  <c r="C78" i="9"/>
  <c r="C73" i="9" s="1"/>
  <c r="C85" i="9"/>
  <c r="L9" i="99" l="1"/>
  <c r="M9" i="99" s="1"/>
  <c r="N9" i="99" s="1"/>
  <c r="C79" i="9"/>
  <c r="C80" i="9" s="1"/>
  <c r="E80" i="9" s="1"/>
  <c r="E81" i="9" s="1"/>
  <c r="C68" i="9"/>
  <c r="D54" i="9" s="1"/>
  <c r="D59" i="9"/>
  <c r="M55" i="9" s="1"/>
  <c r="L65" i="9"/>
  <c r="M65" i="9" s="1"/>
  <c r="L63" i="9"/>
  <c r="M63" i="9" s="1"/>
  <c r="L67" i="9"/>
  <c r="M67" i="9" s="1"/>
  <c r="L64" i="9"/>
  <c r="M64" i="9" s="1"/>
  <c r="L66" i="9"/>
  <c r="M66" i="9" s="1"/>
  <c r="L68" i="9"/>
  <c r="M68" i="9" s="1"/>
  <c r="D14" i="53"/>
  <c r="B32" i="72" s="1"/>
  <c r="B30" i="72"/>
  <c r="C95" i="9"/>
  <c r="C5" i="74"/>
  <c r="D5" i="74"/>
  <c r="D8" i="52"/>
  <c r="D123" i="9"/>
  <c r="D9" i="52" s="1"/>
  <c r="D6" i="74"/>
  <c r="C6" i="74"/>
  <c r="C81" i="9" l="1"/>
  <c r="C96" i="9"/>
  <c r="E96" i="9" s="1"/>
  <c r="E97" i="9" s="1"/>
  <c r="M69" i="9"/>
  <c r="N69"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<sst xmlns="http://schemas.openxmlformats.org/spreadsheetml/2006/main" count="9236" uniqueCount="3577">
  <si>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</si>
  <si>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</si>
  <si>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</si>
  <si>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</si>
  <si>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</si>
  <si>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</si>
  <si>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</si>
  <si>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</si>
  <si>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</si>
  <si>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</si>
  <si>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</si>
  <si>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</si>
  <si>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</si>
  <si>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</si>
  <si>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</si>
  <si>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</si>
  <si>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</si>
  <si>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</si>
  <si>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</si>
  <si>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</si>
  <si>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</si>
  <si>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</si>
  <si>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</si>
  <si>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</si>
  <si>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</si>
  <si>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</si>
  <si>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</si>
  <si>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</si>
  <si>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</si>
  <si>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</si>
  <si>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</si>
  <si>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</si>
  <si>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</si>
  <si>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</si>
  <si>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</si>
  <si>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</si>
  <si>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</si>
  <si>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</si>
  <si>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</si>
  <si>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</si>
  <si>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</si>
  <si>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</si>
  <si>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</si>
  <si>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</si>
  <si>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</si>
  <si>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</si>
  <si>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</si>
  <si>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</si>
  <si>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</si>
  <si>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</si>
  <si>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</si>
  <si>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</si>
  <si>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</si>
  <si>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</si>
  <si>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</si>
  <si>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</si>
  <si>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</si>
  <si>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</si>
  <si>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</si>
  <si>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</si>
  <si>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</si>
  <si>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</si>
  <si>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</si>
  <si>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</si>
  <si>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</si>
  <si>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</si>
  <si>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</si>
  <si>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</si>
  <si>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</si>
  <si>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</si>
  <si>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</si>
  <si>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</si>
  <si>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</si>
  <si>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</si>
  <si>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</si>
  <si>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</si>
  <si>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</si>
  <si>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</si>
  <si>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</si>
  <si>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</si>
  <si>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</si>
  <si>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</si>
  <si>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</si>
  <si>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</si>
  <si>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</si>
  <si>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</si>
  <si>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</si>
  <si>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</si>
  <si>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</si>
  <si>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</si>
  <si>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</si>
  <si>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</si>
  <si>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</si>
  <si>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</si>
  <si>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</si>
  <si>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</si>
  <si>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</si>
  <si>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</si>
  <si>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</si>
  <si>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</si>
  <si>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</si>
  <si>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</si>
  <si>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</si>
  <si>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</si>
  <si>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</si>
  <si>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</si>
  <si>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</si>
  <si>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</si>
  <si>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</si>
  <si>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</si>
  <si>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</si>
  <si>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</si>
  <si>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</si>
  <si>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</si>
  <si>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</si>
  <si>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</si>
  <si>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</si>
  <si>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</si>
  <si>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</si>
  <si>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</si>
  <si>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</si>
  <si>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</si>
  <si>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</si>
  <si>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</si>
  <si>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</si>
  <si>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</si>
  <si>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</si>
  <si>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</si>
  <si>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</si>
  <si>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</si>
  <si>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</si>
  <si>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</si>
  <si>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</si>
  <si>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</si>
  <si>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</si>
  <si>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</si>
  <si>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</si>
  <si>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</si>
  <si>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</si>
  <si>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</si>
  <si>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</si>
  <si>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</si>
  <si>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</si>
  <si>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</si>
  <si>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</si>
  <si>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</si>
  <si>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</si>
  <si>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</si>
  <si>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</si>
  <si>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</si>
  <si>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</si>
  <si>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</si>
  <si>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</si>
  <si>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</si>
  <si>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</si>
  <si>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</si>
  <si>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</si>
  <si>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</si>
  <si>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</si>
  <si>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</si>
  <si>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</si>
  <si>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</si>
  <si>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</si>
  <si>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</si>
  <si>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</si>
  <si>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</si>
  <si>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</si>
  <si>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</si>
  <si>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</si>
  <si>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</si>
  <si>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</si>
  <si>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</si>
  <si>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</si>
  <si>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</si>
  <si>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</si>
  <si>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</si>
  <si>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</si>
  <si>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</si>
  <si>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</si>
  <si>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</si>
  <si>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</si>
  <si>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</si>
  <si>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</si>
  <si>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</si>
  <si>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</si>
  <si>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</si>
  <si>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</si>
  <si>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</si>
  <si>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</si>
  <si>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</si>
  <si>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</si>
  <si>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</si>
  <si>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</si>
  <si>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</si>
  <si>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</si>
  <si>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</si>
  <si>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</si>
  <si>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</si>
  <si>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</si>
  <si>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</si>
  <si>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</si>
  <si>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</si>
  <si>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</si>
  <si>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</si>
  <si>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</si>
  <si>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</si>
  <si>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</si>
  <si>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</si>
  <si>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</si>
  <si>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</si>
  <si>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</si>
  <si>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</si>
  <si>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</si>
  <si>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</si>
  <si>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</si>
  <si>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</si>
  <si>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</si>
  <si>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</si>
  <si>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</si>
  <si>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</si>
  <si>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</si>
  <si>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</si>
  <si>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</si>
  <si>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</si>
  <si>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</si>
  <si>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</si>
  <si>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</si>
  <si>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</si>
  <si>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</si>
  <si>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</si>
  <si>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</si>
  <si>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</si>
  <si>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</si>
  <si>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</si>
  <si>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</si>
  <si>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</si>
  <si>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</si>
  <si>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</si>
  <si>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</si>
  <si>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</si>
  <si>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</si>
  <si>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</si>
  <si>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</si>
  <si>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</si>
  <si>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</si>
  <si>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</si>
  <si>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</si>
  <si>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</si>
  <si>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</si>
  <si>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</si>
  <si>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</si>
  <si>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</si>
  <si>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</si>
  <si>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</si>
  <si>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</si>
  <si>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</si>
  <si>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</si>
  <si>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</si>
  <si>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</si>
  <si>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</si>
  <si>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</si>
  <si>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</si>
  <si>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</si>
  <si>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</si>
  <si>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</si>
  <si>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</si>
  <si>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</si>
  <si>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</si>
  <si>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</si>
  <si>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</si>
  <si>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</si>
  <si>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</si>
  <si>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</si>
  <si>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</si>
  <si>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</si>
  <si>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</si>
  <si>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</si>
  <si>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</si>
  <si>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</si>
  <si>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</si>
  <si>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</si>
  <si>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</si>
  <si>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</si>
  <si>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</si>
  <si>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</si>
  <si>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</si>
  <si>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</si>
  <si>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</si>
  <si>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</si>
  <si>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</si>
  <si>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</si>
  <si>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</si>
  <si>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</si>
  <si>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</si>
  <si>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</si>
  <si>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</si>
  <si>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</si>
  <si>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</si>
  <si>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</si>
  <si>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</si>
  <si>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</si>
  <si>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</si>
  <si>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</si>
  <si>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</si>
  <si>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</si>
  <si>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</si>
  <si>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</si>
  <si>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</si>
  <si>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</si>
  <si>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</si>
  <si>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</si>
  <si>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</si>
  <si>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</si>
  <si>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</si>
  <si>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</si>
  <si>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</si>
  <si>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</si>
  <si>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</si>
  <si>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</si>
  <si>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</si>
  <si>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</si>
  <si>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</si>
  <si>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</si>
  <si>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</si>
  <si>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</si>
  <si>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</si>
  <si>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</si>
  <si>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</si>
  <si>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</si>
  <si>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</si>
  <si>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</si>
  <si>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</si>
  <si>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</si>
  <si>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</si>
  <si>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</si>
  <si>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</si>
  <si>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</si>
  <si>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</si>
  <si>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</si>
  <si>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</si>
  <si>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</si>
  <si>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</si>
  <si>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</si>
  <si>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</si>
  <si>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</si>
  <si>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</si>
  <si>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</si>
  <si>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</si>
  <si>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</si>
  <si>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</si>
  <si>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</si>
  <si>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</si>
  <si>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</si>
  <si>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</si>
  <si>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</si>
  <si>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</si>
  <si>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</si>
  <si>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</si>
  <si>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</si>
  <si>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</si>
  <si>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</si>
  <si>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</si>
  <si>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</si>
  <si>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</si>
  <si>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</si>
  <si>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</si>
  <si>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</si>
  <si>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</si>
  <si>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</si>
  <si>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</si>
  <si>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</si>
  <si>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</si>
  <si>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</si>
  <si>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</si>
  <si>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</si>
  <si>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</si>
  <si>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</si>
  <si>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</si>
  <si>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</si>
  <si>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</si>
  <si>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</si>
  <si>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</si>
  <si>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</si>
  <si>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</si>
  <si>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</si>
  <si>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</si>
  <si>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</si>
  <si>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</si>
  <si>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</si>
  <si>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</si>
  <si>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</si>
  <si>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</si>
  <si>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</si>
  <si>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</si>
  <si>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</si>
  <si>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</si>
  <si>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</si>
  <si>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</si>
  <si>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</si>
  <si>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</si>
  <si>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</si>
  <si>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</si>
  <si>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</si>
  <si>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</si>
  <si>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</si>
  <si>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</si>
  <si>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</si>
  <si>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</si>
  <si>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</si>
  <si>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</si>
  <si>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</si>
  <si>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</si>
  <si>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</si>
  <si>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</si>
  <si>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</si>
  <si>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</si>
  <si>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</si>
  <si>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</si>
  <si>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</si>
  <si>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</si>
  <si>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</si>
  <si>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</si>
  <si>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</si>
  <si>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</si>
  <si>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</si>
  <si>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</si>
  <si>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</si>
  <si>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</si>
  <si>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</si>
  <si>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</si>
  <si>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</si>
  <si>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</si>
  <si>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</si>
  <si>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</si>
  <si>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</si>
  <si>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</si>
  <si>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</si>
  <si>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</si>
  <si>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</si>
  <si>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</si>
  <si>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</si>
  <si>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</si>
  <si>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</si>
  <si>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</si>
  <si>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</si>
  <si>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</si>
  <si>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</si>
  <si>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</si>
  <si>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</si>
  <si>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</si>
  <si>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</si>
  <si>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</si>
  <si>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</si>
  <si>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</si>
  <si>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</si>
  <si>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</si>
  <si>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</si>
  <si>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</si>
  <si>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</si>
  <si>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</si>
  <si>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</si>
  <si>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</si>
  <si>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</si>
  <si>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</si>
  <si>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</si>
  <si>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</si>
  <si>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</si>
  <si>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</si>
  <si>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</si>
  <si>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</si>
  <si>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</si>
  <si>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</si>
  <si>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</si>
  <si>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</si>
  <si>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</si>
  <si>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</si>
  <si>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</si>
  <si>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</si>
  <si>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</si>
  <si>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</si>
  <si>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</si>
  <si>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</si>
  <si>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</si>
  <si>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</si>
  <si>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</si>
  <si>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</si>
  <si>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</si>
  <si>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</si>
  <si>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</si>
  <si>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</si>
  <si>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</si>
  <si>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</si>
  <si>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</si>
  <si>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</si>
  <si>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</si>
  <si>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</si>
  <si>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</si>
  <si>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</si>
  <si>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</si>
  <si>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</si>
  <si>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</si>
  <si>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</si>
  <si>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</si>
  <si>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</si>
  <si>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</si>
  <si>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</si>
  <si>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</si>
  <si>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</si>
  <si>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</si>
  <si>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</si>
  <si>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</si>
  <si>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</si>
  <si>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</si>
  <si>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</si>
  <si>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</si>
  <si>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</si>
  <si>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</si>
  <si>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</si>
  <si>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</si>
  <si>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</si>
  <si>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</si>
  <si>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</si>
  <si>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</si>
  <si>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</si>
  <si>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</si>
  <si>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</si>
  <si>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</si>
  <si>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</si>
  <si>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</si>
  <si>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</si>
  <si>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</si>
  <si>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</si>
  <si>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</si>
  <si>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</si>
  <si>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</si>
  <si>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</si>
  <si>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</si>
  <si>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</si>
  <si>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</si>
  <si>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</si>
  <si>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</si>
  <si>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</si>
  <si>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</si>
  <si>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</si>
  <si>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</si>
  <si>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</si>
  <si>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</si>
  <si>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</si>
  <si>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</si>
  <si>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</si>
  <si>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</si>
  <si>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</si>
  <si>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</si>
  <si>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</si>
  <si>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</si>
  <si>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</si>
  <si>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</si>
  <si>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</si>
  <si>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</si>
  <si>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</si>
  <si>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</si>
  <si>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</si>
  <si>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</si>
  <si>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</si>
  <si>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</si>
  <si>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</si>
  <si>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</si>
  <si>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</si>
  <si>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</si>
  <si>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</si>
  <si>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</si>
  <si>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</si>
  <si>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</si>
  <si>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</si>
  <si>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</si>
  <si>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</si>
  <si>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</si>
  <si>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</si>
  <si>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</si>
  <si>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</si>
  <si>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</si>
  <si>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</si>
  <si>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</si>
  <si>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</si>
  <si>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</si>
  <si>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</si>
  <si>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</si>
  <si>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</si>
  <si>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</si>
  <si>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</si>
  <si>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</si>
  <si>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</si>
  <si>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</si>
  <si>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</si>
  <si>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</si>
  <si>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</si>
  <si>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</si>
  <si>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</si>
  <si>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</si>
  <si>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</si>
  <si>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</si>
  <si>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</si>
  <si>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</si>
  <si>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</si>
  <si>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</si>
  <si>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</si>
  <si>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</si>
  <si>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</si>
  <si>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</si>
  <si>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</si>
  <si>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</si>
  <si>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</si>
  <si>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</si>
  <si>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</si>
  <si>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</si>
  <si>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</si>
  <si>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</si>
  <si>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</si>
  <si>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</si>
  <si>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</si>
  <si>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</si>
  <si>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</si>
  <si>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</si>
  <si>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</si>
  <si>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</si>
  <si>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</si>
  <si>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</si>
  <si>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</si>
  <si>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</si>
  <si>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</si>
  <si>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</si>
  <si>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</si>
  <si>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</si>
  <si>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</si>
  <si>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</si>
  <si>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</si>
  <si>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</si>
  <si>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</si>
  <si>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</si>
  <si>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</si>
  <si>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</si>
  <si>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</si>
  <si>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</si>
  <si>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</si>
  <si>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</si>
  <si>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</si>
  <si>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</si>
  <si>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</si>
  <si>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</si>
  <si>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</si>
  <si>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</si>
  <si>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</si>
  <si>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</si>
  <si>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</si>
  <si>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</si>
  <si>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</si>
  <si>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</si>
  <si>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</si>
  <si>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</si>
  <si>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</si>
  <si>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</si>
  <si>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</si>
  <si>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</si>
  <si>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</si>
  <si>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</si>
  <si>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</si>
  <si>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</si>
  <si>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</si>
  <si>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</si>
  <si>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</si>
  <si>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</si>
  <si>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</si>
  <si>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</si>
  <si>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</si>
  <si>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</si>
  <si>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</si>
  <si>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</si>
  <si>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</si>
  <si>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</si>
  <si>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</si>
  <si>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</si>
  <si>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</si>
  <si>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</si>
  <si>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</si>
  <si>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</si>
  <si>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</si>
  <si>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</si>
  <si>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</si>
  <si>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</si>
  <si>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</si>
  <si>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</si>
  <si>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</si>
  <si>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</si>
  <si>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</si>
  <si>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</si>
  <si>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</si>
  <si>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</si>
  <si>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</si>
  <si>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</si>
  <si>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</si>
  <si>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</si>
  <si>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</si>
  <si>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</si>
  <si>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</si>
  <si>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</si>
  <si>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</si>
  <si>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</si>
  <si>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</si>
  <si>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</si>
  <si>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</si>
  <si>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</si>
  <si>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</si>
  <si>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</si>
  <si>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</si>
  <si>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</si>
  <si>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</si>
  <si>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</si>
  <si>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</si>
  <si>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</si>
  <si>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</si>
  <si>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</si>
  <si>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</si>
  <si>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</si>
  <si>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</si>
  <si>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</si>
  <si>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</si>
  <si>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</si>
  <si>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</si>
  <si>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</si>
  <si>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</si>
  <si>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</si>
  <si>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</si>
  <si>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</si>
  <si>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</si>
  <si>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</si>
  <si>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</si>
  <si>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</si>
  <si>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</si>
  <si>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</si>
  <si>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</si>
  <si>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</si>
  <si>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</si>
  <si>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</si>
  <si>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</si>
  <si>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</si>
  <si>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</si>
  <si>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</si>
  <si>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</si>
  <si>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</si>
  <si>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</si>
  <si>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</si>
  <si>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</si>
  <si>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</si>
  <si>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</si>
  <si>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</si>
  <si>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</si>
  <si>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</si>
  <si>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</si>
  <si>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</si>
  <si>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</si>
  <si>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</si>
  <si>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</si>
  <si>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</si>
  <si>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</si>
  <si>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</si>
  <si>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</si>
  <si>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</si>
  <si>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</si>
  <si>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</si>
  <si>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</si>
  <si>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</si>
  <si>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</si>
  <si>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</si>
  <si>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</si>
  <si>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</si>
  <si>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</si>
  <si>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</si>
  <si>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</si>
  <si>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</si>
  <si>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</si>
  <si>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</si>
  <si>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</si>
  <si>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</si>
  <si>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</si>
  <si>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</si>
  <si>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</si>
  <si>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</si>
  <si>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</si>
  <si>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</si>
  <si>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</si>
  <si>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</si>
  <si>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</si>
  <si>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</si>
  <si>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</si>
  <si>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</si>
  <si>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</si>
  <si>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</si>
  <si>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</si>
  <si>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</si>
  <si>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</si>
  <si>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</si>
  <si>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</si>
  <si>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</si>
  <si>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</si>
  <si>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</si>
  <si>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</si>
  <si>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</si>
  <si>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</si>
  <si>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</si>
  <si>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</si>
  <si>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</si>
  <si>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</si>
  <si>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</si>
  <si>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</si>
  <si>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</si>
  <si>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</si>
  <si>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</si>
  <si>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</si>
  <si>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</si>
  <si>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</si>
  <si>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</si>
  <si>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</si>
  <si>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</si>
  <si>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</si>
  <si>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</si>
  <si>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</si>
  <si>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</si>
  <si>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</si>
  <si>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</si>
  <si>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</si>
  <si>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</si>
  <si>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</si>
  <si>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</si>
  <si>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</si>
  <si>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</si>
  <si>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</si>
  <si>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</si>
  <si>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</si>
  <si>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</si>
  <si>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</si>
  <si>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</si>
  <si>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</si>
  <si>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</si>
  <si>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</si>
  <si>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</si>
  <si>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</si>
  <si>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</si>
  <si>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</si>
  <si>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</si>
  <si>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</si>
  <si>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</si>
  <si>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</si>
  <si>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</si>
  <si>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</si>
  <si>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</si>
  <si>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</si>
  <si>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</si>
  <si>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</si>
  <si>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</si>
  <si>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</si>
  <si>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</si>
  <si>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</si>
  <si>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</si>
  <si>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</si>
  <si>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</si>
  <si>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</si>
  <si>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</si>
  <si>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</si>
  <si>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</si>
  <si>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</si>
  <si>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</si>
  <si>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</si>
  <si>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</si>
  <si>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</si>
  <si>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</si>
  <si>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</si>
  <si>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</si>
  <si>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</si>
  <si>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</si>
  <si>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</si>
  <si>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</si>
  <si>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</si>
  <si>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</si>
  <si>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</si>
  <si>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</si>
  <si>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</si>
  <si>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</si>
  <si>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</si>
  <si>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</si>
  <si>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</si>
  <si>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</si>
  <si>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</si>
  <si>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</si>
  <si>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</si>
  <si>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</si>
  <si>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</si>
  <si>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</si>
  <si>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</si>
  <si>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</si>
  <si>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</si>
  <si>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</si>
  <si>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</si>
  <si>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</si>
  <si>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</si>
  <si>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</si>
  <si>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</si>
  <si>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</si>
  <si>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</si>
  <si>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</si>
  <si>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</si>
  <si>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</si>
  <si>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</si>
  <si>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</si>
  <si>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</si>
  <si>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</si>
  <si>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</si>
  <si>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</si>
  <si>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</si>
  <si>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</si>
  <si>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</si>
  <si>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</si>
  <si>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</si>
  <si>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</si>
  <si>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</si>
  <si>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</si>
  <si>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</si>
  <si>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</si>
  <si>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</si>
  <si>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</si>
  <si>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</si>
  <si>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</si>
  <si>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</si>
  <si>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</si>
  <si>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</si>
  <si>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</si>
  <si>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</si>
  <si>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</si>
  <si>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</si>
  <si>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</si>
  <si>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</si>
  <si>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</si>
  <si>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</si>
  <si>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</si>
  <si>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</si>
  <si>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</si>
  <si>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</si>
  <si>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</si>
  <si>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</si>
  <si>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</si>
  <si>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</si>
  <si>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</si>
  <si>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</si>
  <si>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</si>
  <si>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</si>
  <si>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</si>
  <si>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</si>
  <si>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</si>
  <si>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</si>
  <si>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</si>
  <si>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</si>
  <si>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</si>
  <si>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</si>
  <si>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</si>
  <si>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</si>
  <si>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</si>
  <si>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</si>
  <si>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</si>
  <si>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</si>
  <si>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</si>
  <si>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</si>
  <si>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</si>
  <si>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</si>
  <si>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</si>
  <si>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</si>
  <si>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</si>
  <si>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</si>
  <si>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</si>
  <si>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</si>
  <si>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</si>
  <si>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</si>
  <si>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</si>
  <si>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</si>
  <si>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</si>
  <si>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</si>
  <si>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</si>
  <si>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</si>
  <si>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</si>
  <si>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</si>
  <si>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</si>
  <si>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</si>
  <si>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</si>
  <si>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</si>
  <si>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</si>
  <si>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</si>
  <si>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</si>
  <si>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</si>
  <si>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</si>
  <si>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</si>
  <si>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</si>
  <si>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</si>
  <si>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</si>
  <si>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</si>
  <si>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</si>
  <si>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</si>
  <si>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</si>
  <si>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</si>
  <si>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</si>
  <si>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</si>
  <si>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</si>
  <si>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</si>
  <si>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</si>
  <si>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</si>
  <si>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</si>
  <si>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</si>
  <si>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</si>
  <si>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</si>
  <si>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</si>
  <si>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</si>
  <si>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</si>
  <si>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</si>
  <si>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</si>
  <si>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</si>
  <si>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</si>
  <si>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</si>
  <si>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</si>
  <si>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</si>
  <si>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</si>
  <si>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</si>
  <si>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</si>
  <si>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</si>
  <si>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</si>
  <si>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</si>
  <si>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</si>
  <si>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</si>
  <si>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</si>
  <si>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</si>
  <si>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</si>
  <si>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</si>
  <si>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</si>
  <si>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</si>
  <si>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</si>
  <si>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</si>
  <si>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</si>
  <si>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</si>
  <si>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</si>
  <si>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</si>
  <si>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</si>
  <si>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</si>
  <si>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</si>
  <si>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</si>
  <si>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</si>
  <si>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</si>
  <si>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</si>
  <si>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</si>
  <si>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</si>
  <si>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</si>
  <si>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</si>
  <si>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</si>
  <si>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</si>
  <si>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</si>
  <si>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</si>
  <si>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</si>
  <si>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</si>
  <si>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</si>
  <si>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</si>
  <si>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</si>
  <si>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</si>
  <si>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</si>
  <si>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</si>
  <si>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</si>
  <si>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</si>
  <si>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</si>
  <si>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</si>
  <si>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</si>
  <si>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</si>
  <si>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</si>
  <si>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</si>
  <si>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</si>
  <si>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</si>
  <si>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</si>
  <si>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</si>
  <si>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</si>
  <si>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</si>
  <si>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</si>
  <si>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</si>
  <si>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</si>
  <si>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</si>
  <si>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</si>
  <si>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</si>
  <si>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</si>
  <si>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</si>
  <si>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</si>
  <si>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</si>
  <si>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</si>
  <si>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</si>
  <si>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</si>
  <si>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</si>
  <si>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</si>
  <si>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</si>
  <si>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</si>
  <si>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</si>
  <si>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</si>
  <si>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</si>
  <si>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</si>
  <si>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</si>
  <si>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</si>
  <si>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</si>
  <si>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</si>
  <si>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</si>
  <si>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</si>
  <si>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</si>
  <si>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</si>
  <si>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</si>
  <si>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</si>
  <si>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</si>
  <si>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</si>
  <si>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</si>
  <si>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</si>
  <si>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</si>
  <si>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</si>
  <si>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</si>
  <si>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</si>
  <si>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</si>
  <si>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</si>
  <si>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</si>
  <si>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</si>
  <si>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</si>
  <si>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</si>
  <si>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</si>
  <si>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</si>
  <si>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</si>
  <si>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</si>
  <si>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</si>
  <si>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</si>
  <si>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</si>
  <si>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</si>
  <si>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</si>
  <si>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</si>
  <si>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</si>
  <si>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</si>
  <si>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</si>
  <si>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</si>
  <si>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</si>
  <si>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</si>
  <si>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</si>
  <si>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</si>
  <si>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</si>
  <si>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</si>
  <si>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</si>
  <si>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</si>
  <si>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</si>
  <si>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</si>
  <si>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</si>
  <si>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</si>
  <si>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</si>
  <si>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</si>
  <si>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</si>
  <si>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</si>
  <si>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</si>
  <si>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</si>
  <si>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</si>
  <si>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</si>
  <si>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</si>
  <si>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</si>
  <si>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</si>
  <si>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</si>
  <si>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</si>
  <si>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</si>
  <si>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</si>
  <si>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</si>
  <si>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</si>
  <si>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</si>
  <si>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</si>
  <si>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</si>
  <si>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</si>
  <si>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</si>
  <si>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</si>
  <si>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</si>
  <si>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</si>
  <si>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</si>
  <si>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</si>
  <si>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</si>
  <si>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</si>
  <si>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</si>
  <si>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</si>
  <si>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</si>
  <si>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</si>
  <si>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</si>
  <si>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</si>
  <si>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</si>
  <si>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</si>
  <si>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</si>
  <si>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</si>
  <si>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</si>
  <si>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</si>
  <si>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</si>
  <si>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</si>
  <si>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</si>
  <si>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</si>
  <si>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</si>
  <si>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</si>
  <si>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</si>
  <si>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</si>
  <si>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</si>
  <si>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</si>
  <si>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</si>
  <si>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</si>
  <si>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</si>
  <si>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</si>
  <si>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</si>
  <si>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</si>
  <si>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</si>
  <si>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</si>
  <si>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</si>
  <si>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</si>
  <si>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</si>
  <si>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</si>
  <si>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</si>
  <si>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</si>
  <si>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</si>
  <si>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</si>
  <si>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</si>
  <si>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</si>
  <si>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</si>
  <si>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</si>
  <si>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</si>
  <si>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</si>
  <si>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</si>
  <si>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</si>
  <si>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</si>
  <si>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</si>
  <si>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</si>
  <si>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</si>
  <si>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</si>
  <si>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</si>
  <si>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</si>
  <si>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</si>
  <si>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</si>
  <si>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</si>
  <si>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</si>
  <si>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</si>
  <si>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</si>
  <si>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</si>
  <si>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</si>
  <si>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</si>
  <si>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</si>
  <si>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</si>
  <si>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</si>
  <si>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</si>
  <si>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</si>
  <si>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</si>
  <si>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</si>
  <si>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</si>
  <si>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</si>
  <si>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</si>
  <si>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</si>
  <si>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</si>
  <si>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</si>
  <si>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</si>
  <si>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</si>
  <si>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</si>
  <si>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</si>
  <si>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</si>
  <si>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</si>
  <si>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</si>
  <si>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</si>
  <si>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</si>
  <si>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</si>
  <si>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</si>
  <si>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</si>
  <si>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</si>
  <si>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</si>
  <si>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</si>
  <si>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</si>
  <si>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</si>
  <si>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</si>
  <si>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</si>
  <si>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</si>
  <si>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</si>
  <si>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</si>
  <si>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</si>
  <si>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</si>
  <si>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</si>
  <si>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</si>
  <si>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</si>
  <si>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</si>
  <si>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</si>
  <si>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</si>
  <si>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</si>
  <si>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</si>
  <si>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</si>
  <si>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</si>
  <si>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</si>
  <si>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</si>
  <si>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</si>
  <si>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</si>
  <si>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</si>
  <si>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</si>
  <si>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</si>
  <si>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</si>
  <si>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</si>
  <si>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</si>
  <si>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</si>
  <si>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</si>
  <si>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</si>
  <si>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</si>
  <si>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</si>
  <si>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</si>
  <si>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</si>
  <si>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</si>
  <si>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</si>
  <si>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</si>
  <si>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</si>
  <si>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</si>
  <si>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</si>
  <si>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</si>
  <si>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</si>
  <si>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</si>
  <si>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</si>
  <si>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</si>
  <si>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</si>
  <si>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</si>
  <si>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</si>
  <si>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</si>
  <si>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</si>
  <si>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</si>
  <si>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</si>
  <si>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</si>
  <si>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</si>
  <si>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</si>
  <si>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</si>
  <si>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</si>
  <si>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</si>
  <si>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</si>
  <si>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</si>
  <si>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</si>
  <si>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</si>
  <si>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</si>
  <si>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</si>
  <si>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</si>
  <si>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</si>
  <si>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</si>
  <si>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</si>
  <si>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</si>
  <si>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</si>
  <si>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</si>
  <si>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</si>
  <si>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</si>
  <si>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</si>
  <si>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</si>
  <si>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</si>
  <si>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</si>
  <si>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</si>
  <si>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</si>
  <si>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</si>
  <si>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</si>
  <si>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</si>
  <si>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</si>
  <si>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</si>
  <si>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</si>
  <si>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</si>
  <si>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</si>
  <si>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</si>
  <si>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</si>
  <si>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</si>
  <si>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</si>
  <si>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</si>
  <si>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</si>
  <si>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</si>
  <si>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</si>
  <si>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</si>
  <si>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</si>
  <si>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</si>
  <si>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</si>
  <si>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</si>
  <si>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</si>
  <si>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</si>
  <si>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</si>
  <si>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</si>
  <si>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</si>
  <si>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</si>
  <si>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</si>
  <si>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</si>
  <si>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</si>
  <si>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</si>
  <si>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</si>
  <si>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</si>
  <si>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</si>
  <si>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</si>
  <si>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</si>
  <si>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</si>
  <si>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</si>
  <si>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</si>
  <si>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</si>
  <si>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</si>
  <si>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</si>
  <si>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</si>
  <si>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</si>
  <si>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</si>
  <si>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</si>
  <si>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</si>
  <si>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</si>
  <si>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</si>
  <si>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</si>
  <si>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</si>
  <si>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</si>
  <si>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</si>
  <si>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</si>
  <si>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</si>
  <si>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</si>
  <si>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</si>
  <si>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</si>
  <si>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</si>
  <si>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</si>
  <si>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</si>
  <si>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</si>
  <si>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</si>
  <si>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</si>
  <si>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</si>
  <si>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</si>
  <si>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</si>
  <si>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</si>
  <si>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</si>
  <si>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</si>
  <si>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</si>
  <si>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</si>
  <si>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</si>
  <si>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</si>
  <si>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</si>
  <si>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</si>
  <si>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</si>
  <si>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</si>
  <si>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</si>
  <si>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</si>
  <si>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</si>
  <si>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</si>
  <si>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</si>
  <si>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</si>
  <si>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</si>
  <si>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</si>
  <si>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</si>
  <si>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</si>
  <si>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</si>
  <si>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</si>
  <si>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</si>
  <si>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</si>
  <si>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</si>
  <si>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</si>
  <si>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</si>
  <si>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</si>
  <si>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</si>
  <si>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</si>
  <si>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</si>
  <si>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</si>
  <si>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</si>
  <si>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</si>
  <si>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</si>
  <si>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</si>
  <si>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</si>
  <si>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</si>
  <si>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</si>
  <si>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</si>
  <si>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</si>
  <si>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</si>
  <si>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</si>
  <si>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</si>
  <si>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</si>
  <si>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</si>
  <si>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</si>
  <si>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</si>
  <si>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</si>
  <si>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</si>
  <si>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</si>
  <si>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</si>
  <si>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</si>
  <si>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</si>
  <si>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</si>
  <si>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</si>
  <si>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</si>
  <si>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</si>
  <si>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</si>
  <si>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</si>
  <si>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</si>
  <si>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</si>
  <si>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</si>
  <si>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</si>
  <si>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</si>
  <si>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</si>
  <si>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</si>
  <si>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</si>
  <si>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</si>
  <si>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</si>
  <si>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</si>
  <si>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</si>
  <si>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</si>
  <si>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</si>
  <si>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</si>
  <si>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</si>
  <si>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</si>
  <si>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</si>
  <si>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</si>
  <si>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</si>
  <si>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</si>
  <si>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</si>
  <si>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</si>
  <si>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</si>
  <si>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</si>
  <si>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</si>
  <si>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</si>
  <si>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</si>
  <si>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</si>
  <si>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</si>
  <si>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</si>
  <si>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</si>
  <si>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</si>
  <si>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</si>
  <si>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</si>
  <si>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</si>
  <si>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</si>
  <si>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</si>
  <si>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</si>
  <si>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</si>
  <si>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</si>
  <si>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</si>
  <si>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</si>
  <si>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</si>
  <si>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</si>
  <si>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</si>
  <si>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</si>
  <si>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</si>
  <si>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</si>
  <si>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</si>
  <si>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</si>
  <si>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</si>
  <si>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</si>
  <si>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</si>
  <si>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</si>
  <si>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</si>
  <si>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</si>
  <si>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</si>
  <si>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</si>
  <si>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</si>
  <si>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</si>
  <si>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</si>
  <si>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</si>
  <si>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</si>
  <si>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</si>
  <si>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</si>
  <si>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</si>
  <si>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</si>
  <si>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</si>
  <si>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</si>
  <si>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</si>
  <si>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</si>
  <si>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</si>
  <si>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</si>
  <si>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</si>
  <si>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</si>
  <si>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</si>
  <si>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</si>
  <si>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</si>
  <si>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</si>
  <si>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</si>
  <si>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</si>
  <si>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</si>
  <si>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</si>
  <si>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</si>
  <si>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</si>
  <si>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</si>
  <si>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</si>
  <si>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</si>
  <si>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</si>
  <si>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</si>
  <si>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</si>
  <si>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</si>
  <si>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</si>
  <si>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</si>
  <si>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</si>
  <si>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</si>
  <si>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</si>
  <si>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</si>
  <si>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</si>
  <si>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</si>
  <si>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</si>
  <si>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</si>
  <si>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</si>
  <si>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</si>
  <si>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</si>
  <si>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</si>
  <si>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</si>
  <si>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</si>
  <si>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</si>
  <si>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</si>
  <si>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</si>
  <si>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</si>
  <si>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</si>
  <si>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</si>
  <si>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</si>
  <si>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</si>
  <si>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</si>
  <si>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</si>
  <si>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</si>
  <si>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</si>
  <si>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</si>
  <si>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</si>
  <si>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</si>
  <si>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</si>
  <si>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</si>
  <si>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</si>
  <si>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</si>
  <si>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</si>
  <si>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</si>
  <si>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</si>
  <si>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</si>
  <si>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</si>
  <si>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</si>
  <si>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</si>
  <si>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</si>
  <si>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</si>
  <si>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</si>
  <si>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</si>
  <si>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</si>
  <si>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</si>
  <si>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</si>
  <si>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</si>
  <si>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</si>
  <si>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</si>
  <si>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</si>
  <si>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</si>
  <si>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</si>
  <si>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</si>
  <si>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</si>
  <si>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</si>
  <si>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</si>
  <si>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</si>
  <si>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</si>
  <si>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</si>
  <si>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</si>
  <si>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</si>
  <si>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</si>
  <si>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</si>
  <si>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</si>
  <si>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</si>
  <si>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</si>
  <si>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</si>
  <si>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</si>
  <si>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</si>
  <si>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</si>
  <si>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</si>
  <si>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</si>
  <si>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</si>
  <si>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</si>
  <si>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</si>
  <si>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</si>
  <si>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</si>
  <si>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</si>
  <si>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</si>
  <si>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</si>
  <si>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</si>
  <si>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</si>
  <si>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</si>
  <si>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</si>
  <si>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</si>
  <si>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</si>
  <si>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</si>
  <si>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</si>
  <si>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</si>
  <si>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</si>
  <si>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</si>
  <si>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</si>
  <si>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</si>
  <si>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</si>
  <si>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</si>
  <si>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</si>
  <si>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</si>
  <si>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</si>
  <si>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</si>
  <si>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</si>
  <si>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</si>
  <si>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</si>
  <si>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</si>
  <si>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</si>
  <si>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</si>
  <si>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</si>
  <si>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</si>
  <si>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</si>
  <si>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</si>
  <si>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</si>
  <si>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</si>
  <si>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</si>
  <si>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</si>
  <si>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</si>
  <si>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</si>
  <si>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</si>
  <si>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</si>
  <si>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</si>
  <si>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</si>
  <si>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</si>
  <si>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</si>
  <si>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</si>
  <si>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</si>
  <si>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</si>
  <si>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</si>
  <si>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</si>
  <si>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</si>
  <si>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</si>
  <si>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</si>
  <si>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</si>
  <si>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</si>
  <si>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</si>
  <si>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</si>
  <si>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</si>
  <si>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</si>
  <si>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</si>
  <si>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</si>
  <si>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</si>
  <si>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</si>
  <si>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</si>
  <si>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</si>
  <si>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</si>
  <si>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</si>
  <si>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</si>
  <si>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</si>
  <si>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</si>
  <si>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</si>
  <si>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</si>
  <si>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</si>
  <si>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</si>
  <si>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</si>
  <si>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</si>
  <si>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</si>
  <si>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</si>
  <si>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</si>
  <si>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</si>
  <si>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</si>
  <si>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</si>
  <si>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</si>
  <si>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</si>
  <si>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</si>
  <si>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</si>
  <si>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</si>
  <si>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</si>
  <si>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</si>
  <si>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</si>
  <si>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</si>
  <si>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</si>
  <si>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</si>
  <si>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</si>
  <si>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</si>
  <si>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</si>
  <si>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</si>
  <si>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</si>
  <si>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</si>
  <si>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</si>
  <si>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</si>
  <si>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</si>
  <si>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</si>
  <si>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</si>
  <si>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</si>
  <si>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</si>
  <si>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</si>
  <si>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</si>
  <si>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</si>
  <si>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</si>
  <si>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</si>
  <si>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</si>
  <si>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</si>
  <si>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</si>
  <si>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</si>
  <si>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</si>
  <si>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</si>
  <si>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</si>
  <si>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</si>
  <si>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</si>
  <si>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</si>
  <si>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</si>
  <si>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</si>
  <si>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</si>
  <si>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</si>
  <si>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</si>
  <si>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</si>
  <si>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</si>
  <si>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</si>
  <si>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</si>
  <si>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</si>
  <si>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</si>
  <si>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</si>
  <si>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</si>
  <si>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</si>
  <si>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</si>
  <si>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</si>
  <si>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</si>
  <si>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</si>
  <si>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</si>
  <si>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</si>
  <si>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</si>
  <si>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</si>
  <si>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</si>
  <si>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</si>
  <si>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</si>
  <si>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</si>
  <si>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</si>
  <si>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</si>
  <si>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</si>
  <si>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</si>
  <si>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</si>
  <si>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</si>
  <si>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</si>
  <si>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</si>
  <si>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</si>
  <si>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</si>
  <si>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</si>
  <si>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</si>
  <si>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</si>
  <si>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</si>
  <si>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</si>
  <si>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</si>
  <si>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</si>
  <si>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</si>
  <si>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</si>
  <si>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</si>
  <si>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</si>
  <si>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</si>
  <si>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</si>
  <si>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</si>
  <si>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</si>
  <si>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</si>
  <si>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</si>
  <si>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</si>
  <si>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</si>
  <si>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</si>
  <si>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</si>
  <si>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</si>
  <si>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</si>
  <si>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</si>
  <si>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</si>
  <si>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</si>
  <si>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</si>
  <si>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</si>
  <si>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</si>
  <si>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</si>
  <si>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</si>
  <si>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</si>
  <si>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</si>
  <si>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</si>
  <si>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</si>
  <si>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</si>
  <si>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</si>
  <si>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</si>
  <si>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</si>
  <si>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</si>
  <si>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</si>
  <si>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</si>
  <si>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</si>
  <si>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</si>
  <si>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</si>
  <si>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</si>
  <si>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</si>
  <si>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</si>
  <si>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</si>
  <si>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</si>
  <si>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</si>
  <si>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</si>
  <si>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</si>
  <si>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</si>
  <si>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</si>
  <si>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</si>
  <si>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</si>
  <si>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</si>
  <si>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</si>
  <si>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</si>
  <si>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</si>
  <si>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</si>
  <si>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</si>
  <si>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</si>
  <si>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</si>
  <si>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</si>
  <si>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</si>
  <si>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</si>
  <si>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</si>
  <si>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</si>
  <si>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</si>
  <si>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</si>
  <si>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</si>
  <si>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</si>
  <si>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</si>
  <si>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</si>
  <si>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</si>
  <si>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</si>
  <si>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</si>
  <si>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</si>
  <si>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</si>
  <si>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</si>
  <si>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</si>
  <si>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</si>
  <si>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</si>
  <si>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</si>
  <si>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</si>
  <si>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</si>
  <si>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</si>
  <si>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</si>
  <si>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</si>
  <si>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</si>
  <si>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</si>
  <si>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</si>
  <si>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</si>
  <si>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</si>
  <si>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</si>
  <si>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</si>
  <si>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</si>
  <si>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</si>
  <si>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</si>
  <si>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</si>
  <si>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</si>
  <si>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</si>
  <si>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</si>
  <si>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</si>
  <si>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</si>
  <si>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</si>
  <si>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</si>
  <si>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</si>
  <si>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</si>
  <si>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</si>
  <si>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</si>
  <si>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</si>
  <si>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</si>
  <si>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</si>
  <si>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</si>
  <si>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</si>
  <si>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</si>
  <si>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</si>
  <si>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</si>
  <si>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</si>
  <si>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</si>
  <si>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</si>
  <si>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</si>
  <si>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</si>
  <si>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</si>
  <si>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</si>
  <si>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</si>
  <si>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</si>
  <si>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</si>
  <si>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</si>
  <si>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</si>
  <si>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</si>
  <si>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</si>
  <si>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</si>
  <si>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</si>
  <si>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</si>
  <si>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</si>
  <si>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</si>
  <si>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</si>
  <si>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</si>
  <si>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</si>
  <si>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</si>
  <si>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</si>
  <si>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</si>
  <si>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</si>
  <si>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</si>
  <si>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</si>
  <si>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</si>
  <si>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</si>
  <si>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</si>
  <si>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</si>
  <si>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</si>
  <si>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</si>
  <si>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</si>
  <si>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</si>
  <si>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</si>
  <si>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</si>
  <si>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</si>
  <si>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</si>
  <si>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</si>
  <si>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</si>
  <si>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</si>
  <si>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</si>
  <si>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</si>
  <si>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</si>
  <si>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</si>
  <si>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</si>
  <si>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</si>
  <si>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</si>
  <si>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</si>
  <si>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</si>
  <si>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</si>
  <si>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</si>
  <si>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</si>
  <si>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</si>
  <si>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</si>
  <si>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</si>
  <si>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</si>
  <si>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</si>
  <si>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</si>
  <si>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</si>
  <si>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</si>
  <si>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</si>
  <si>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</si>
  <si>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</si>
  <si>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</si>
  <si>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</si>
  <si>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</si>
  <si>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</si>
  <si>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</si>
  <si>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</si>
  <si>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</si>
  <si>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</si>
  <si>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</si>
  <si>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</si>
  <si>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</si>
  <si>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</si>
  <si>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</si>
  <si>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</si>
  <si>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</si>
  <si>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</si>
  <si>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</si>
  <si>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</si>
  <si>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</si>
  <si>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</si>
  <si>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</si>
  <si>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</si>
  <si>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</si>
  <si>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</si>
  <si>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</si>
  <si>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</si>
  <si>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</si>
  <si>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</si>
  <si>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</si>
  <si>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</si>
  <si>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</si>
  <si>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</si>
  <si>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</si>
  <si>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</si>
  <si>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</si>
  <si>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</si>
  <si>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</si>
  <si>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</si>
  <si>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</si>
  <si>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</si>
  <si>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</si>
  <si>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</si>
  <si>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</si>
  <si>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</si>
  <si>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</si>
  <si>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</si>
  <si>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</si>
  <si>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</si>
  <si>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</si>
  <si>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</si>
  <si>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</si>
  <si>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</si>
  <si>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</si>
  <si>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</si>
  <si>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</si>
  <si>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</si>
  <si>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</si>
  <si>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</si>
  <si>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</si>
  <si>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</si>
  <si>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</si>
  <si>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</si>
  <si>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</si>
  <si>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</si>
  <si>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</si>
  <si>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</si>
  <si>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</si>
  <si>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</si>
  <si>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</si>
  <si>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</si>
  <si>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</si>
  <si>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</si>
  <si>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</si>
  <si>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</si>
  <si>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</si>
  <si>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</si>
  <si>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</si>
  <si>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</si>
  <si>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</si>
  <si>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</si>
  <si>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</si>
  <si>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</si>
  <si>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</si>
  <si>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</si>
  <si>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</si>
  <si>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</si>
  <si>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</si>
  <si>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</si>
  <si>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</si>
  <si>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</si>
  <si>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</si>
  <si>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</si>
  <si>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</si>
  <si>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</si>
  <si>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</si>
  <si>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</si>
  <si>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</si>
  <si>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</si>
  <si>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</si>
  <si>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</si>
  <si>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</si>
  <si>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</si>
  <si>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</si>
  <si>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</si>
  <si>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</si>
  <si>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</si>
  <si>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</si>
  <si>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</si>
  <si>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</si>
  <si>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</si>
  <si>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</si>
  <si>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</si>
  <si>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</si>
  <si>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</si>
  <si>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</si>
  <si>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</si>
  <si>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</si>
  <si>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</si>
  <si>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</si>
  <si>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</si>
  <si>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</si>
  <si>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</si>
  <si>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</si>
  <si>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</si>
  <si>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</si>
  <si>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</si>
  <si>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</si>
  <si>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</si>
  <si>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</si>
  <si>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</si>
  <si>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</si>
  <si>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</si>
  <si>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</si>
  <si>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</si>
  <si>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</si>
  <si>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</si>
  <si>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</si>
  <si>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</si>
  <si>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</si>
  <si>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</si>
  <si>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</si>
  <si>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</si>
  <si>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</si>
  <si>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</si>
  <si>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</si>
  <si>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</si>
  <si>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</si>
  <si>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</si>
  <si>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</si>
  <si>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</si>
  <si>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</si>
  <si>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</si>
  <si>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</si>
  <si>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</si>
  <si>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</si>
  <si>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</si>
  <si>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</si>
  <si>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</si>
  <si>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</si>
  <si>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</si>
  <si>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</si>
  <si>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</si>
  <si>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</si>
  <si>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</si>
  <si>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</si>
  <si>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</si>
  <si>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</si>
  <si>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</si>
  <si>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</si>
  <si>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</si>
  <si>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</si>
  <si>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</si>
  <si>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</si>
  <si>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</si>
  <si>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</si>
  <si>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</si>
  <si>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</si>
  <si>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</si>
  <si>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</si>
  <si>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</si>
  <si>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</si>
  <si>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</si>
  <si>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</si>
  <si>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</si>
  <si>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</si>
  <si>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</si>
  <si>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</si>
  <si>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</si>
  <si>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</si>
  <si>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</si>
  <si>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</si>
  <si>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</si>
  <si>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</si>
  <si>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</si>
  <si>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</si>
  <si>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</si>
  <si>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</si>
  <si>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</si>
  <si>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</si>
  <si>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</si>
  <si>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</si>
  <si>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</si>
  <si>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</si>
  <si>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</si>
  <si>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</si>
  <si>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</si>
  <si>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</si>
  <si>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</si>
  <si>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</si>
  <si>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</si>
  <si>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</si>
  <si>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</si>
  <si>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</si>
  <si>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</si>
  <si>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</si>
  <si>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</si>
  <si>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</si>
  <si>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</si>
  <si>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</si>
  <si>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</si>
  <si>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</si>
  <si>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</si>
  <si>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</si>
  <si>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</si>
  <si>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</si>
  <si>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</si>
  <si>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</si>
  <si>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</si>
  <si>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</si>
  <si>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</si>
  <si>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</si>
  <si>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</si>
  <si>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</si>
  <si>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</si>
  <si>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</si>
  <si>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</si>
  <si>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</si>
  <si>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</si>
  <si>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</si>
  <si>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</si>
  <si>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</si>
  <si>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</si>
  <si>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</si>
  <si>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</si>
  <si>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</si>
  <si>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</si>
  <si>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</si>
  <si>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</si>
  <si>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</si>
  <si>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</si>
  <si>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</si>
  <si>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</si>
  <si>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</si>
  <si>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</si>
  <si>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</si>
  <si>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</si>
  <si>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</si>
  <si>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</si>
  <si>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</si>
  <si>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</si>
  <si>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</si>
  <si>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</si>
  <si>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</si>
  <si>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</si>
  <si>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</si>
  <si>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</si>
  <si>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</si>
  <si>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</si>
  <si>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</si>
  <si>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</si>
  <si>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</si>
  <si>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</si>
  <si>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</si>
  <si>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</si>
  <si>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</si>
  <si>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</si>
  <si>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</si>
  <si>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</si>
  <si>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</si>
  <si>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</si>
  <si>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</si>
  <si>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</si>
  <si>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</si>
  <si>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</si>
  <si>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</si>
  <si>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</si>
  <si>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</si>
  <si>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</si>
  <si>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</si>
  <si>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</si>
  <si>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</si>
  <si>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</si>
  <si>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</si>
  <si>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</si>
  <si>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</si>
  <si>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</si>
  <si>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</si>
  <si>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</si>
  <si>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</si>
  <si>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</si>
  <si>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</si>
  <si>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</si>
  <si>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</si>
  <si>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</si>
  <si>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</si>
  <si>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</si>
  <si>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</si>
  <si>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</si>
  <si>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</si>
  <si>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</si>
  <si>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</si>
  <si>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</si>
  <si>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</si>
  <si>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</si>
  <si>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</si>
  <si>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</si>
  <si>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</si>
  <si>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</si>
  <si>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</si>
  <si>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</si>
  <si>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</si>
  <si>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</si>
  <si>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</si>
  <si>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</si>
  <si>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</si>
  <si>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</si>
  <si>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</si>
  <si>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</si>
  <si>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</si>
  <si>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</si>
  <si>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</si>
  <si>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</si>
  <si>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</si>
  <si>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</si>
  <si>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</si>
  <si>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</si>
  <si>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</si>
  <si>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</si>
  <si>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</si>
  <si>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</si>
  <si>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</si>
  <si>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</si>
  <si>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</si>
  <si>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</si>
  <si>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</si>
  <si>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</si>
  <si>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</si>
  <si>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</si>
  <si>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</si>
  <si>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</si>
  <si>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</si>
  <si>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</si>
  <si>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</si>
  <si>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</si>
  <si>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</si>
  <si>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</si>
  <si>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</si>
  <si>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</si>
  <si>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</si>
  <si>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</si>
  <si>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</si>
  <si>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</si>
  <si>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</si>
  <si>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</si>
  <si>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</si>
  <si>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</si>
  <si>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</si>
  <si>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</si>
  <si>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</si>
  <si>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</si>
  <si>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</si>
  <si>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</si>
  <si>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</si>
  <si>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</si>
  <si>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</si>
  <si>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</si>
  <si>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</si>
  <si>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</si>
  <si>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</si>
  <si>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</si>
  <si>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</si>
  <si>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</si>
  <si>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</si>
  <si>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</si>
  <si>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</si>
  <si>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</si>
  <si>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</si>
  <si>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</si>
  <si>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</si>
  <si>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</si>
  <si>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</si>
  <si>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</si>
  <si>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</si>
  <si>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</si>
  <si>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</si>
  <si>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</si>
  <si>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</si>
  <si>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</si>
  <si>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</si>
  <si>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</si>
  <si>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</si>
  <si>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</si>
  <si>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</si>
  <si>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</si>
  <si>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</si>
  <si>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</si>
  <si>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</si>
  <si>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</si>
  <si>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</si>
  <si>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</si>
  <si>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</si>
  <si>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</si>
  <si>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</si>
  <si>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</si>
  <si>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</si>
  <si>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</si>
  <si>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</si>
  <si>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</si>
  <si>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</si>
  <si>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</si>
  <si>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</si>
  <si>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</si>
  <si>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</si>
  <si>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</si>
  <si>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</si>
  <si>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</si>
  <si>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</si>
  <si>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</si>
  <si>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</si>
  <si>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</si>
  <si>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</si>
  <si>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</si>
  <si>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</si>
  <si>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</si>
  <si>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</si>
  <si>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</si>
  <si>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</si>
  <si>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</si>
  <si>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</si>
  <si>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</si>
  <si>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</si>
  <si>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</si>
  <si>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</si>
  <si>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</si>
  <si>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</si>
  <si>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</si>
  <si>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</si>
  <si>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</si>
  <si>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</si>
  <si>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</si>
  <si>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</si>
  <si>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</si>
  <si>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</si>
  <si>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</si>
  <si>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</si>
  <si>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</si>
  <si>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</si>
  <si>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</si>
  <si>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</si>
  <si>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</si>
  <si>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</si>
  <si>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</si>
  <si>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</si>
  <si>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</si>
  <si>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</si>
  <si>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</si>
  <si>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</si>
  <si>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</si>
  <si>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</si>
  <si>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</si>
  <si>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</si>
  <si>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</si>
  <si>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</si>
  <si>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</si>
  <si>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</si>
  <si>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</si>
  <si>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</si>
  <si>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</si>
  <si>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</si>
  <si>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</si>
  <si>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</si>
  <si>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</si>
  <si>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</si>
  <si>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</si>
  <si>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</si>
  <si>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</si>
  <si>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</si>
  <si>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</si>
  <si>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</si>
  <si>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</si>
  <si>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</si>
  <si>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</si>
  <si>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</si>
  <si>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</si>
  <si>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</si>
  <si>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</si>
  <si>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</si>
  <si>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</si>
  <si>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</si>
  <si>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</si>
  <si>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</si>
  <si>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</si>
  <si>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</si>
  <si>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</si>
  <si>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</si>
  <si>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</si>
  <si>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</si>
  <si>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</si>
  <si>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</si>
  <si>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</si>
  <si>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</si>
  <si>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</si>
  <si>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</si>
  <si>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</si>
  <si>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</si>
  <si>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</si>
  <si>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</si>
  <si>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</si>
  <si>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</si>
  <si>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</si>
  <si>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</si>
  <si>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</si>
  <si>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</si>
  <si>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</si>
  <si>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</si>
  <si>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</si>
  <si>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</si>
  <si>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</si>
  <si>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</si>
  <si>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</si>
  <si>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</si>
  <si>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</si>
  <si>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</si>
  <si>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</si>
  <si>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</si>
  <si>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</si>
  <si>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</si>
  <si>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</si>
  <si>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</si>
  <si>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</si>
  <si>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</si>
  <si>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</si>
  <si>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</si>
  <si>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</si>
  <si>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</si>
  <si>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</si>
  <si>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</si>
  <si>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</si>
  <si>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</si>
  <si>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</si>
  <si>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</si>
  <si>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</si>
  <si>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</si>
  <si>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</si>
  <si>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</si>
  <si>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</si>
  <si>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</si>
  <si>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</si>
  <si>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</si>
  <si>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</si>
  <si>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</si>
  <si>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</si>
  <si>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</si>
  <si>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</si>
  <si>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</si>
  <si>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</si>
  <si>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</si>
  <si>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</si>
  <si>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</si>
  <si>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</si>
  <si>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</si>
  <si>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</si>
  <si>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</si>
  <si>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</si>
  <si>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</si>
  <si>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</si>
  <si>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</si>
  <si>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</si>
  <si>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</si>
  <si>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</si>
  <si>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</si>
  <si>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</si>
  <si>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</si>
  <si>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</si>
  <si>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</si>
  <si>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</si>
  <si>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</si>
  <si>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</si>
  <si>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</si>
  <si>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</si>
  <si>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</si>
  <si>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</si>
  <si>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</si>
  <si>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</si>
  <si>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</si>
  <si>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</si>
  <si>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</si>
  <si>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</si>
  <si>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</si>
  <si>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</si>
  <si>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</si>
  <si>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</si>
  <si>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</si>
  <si>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</si>
  <si>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</si>
  <si>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</si>
  <si>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</si>
  <si>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</si>
  <si>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</si>
  <si>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</si>
  <si>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</si>
  <si>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</si>
  <si>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</si>
  <si>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</si>
  <si>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</si>
  <si>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</si>
  <si>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</si>
  <si>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</si>
  <si>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</si>
  <si>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</si>
  <si>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</si>
  <si>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</si>
  <si>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</si>
  <si>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</si>
  <si>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</si>
  <si>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</si>
  <si>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</si>
  <si>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</si>
  <si>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</si>
  <si>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</si>
  <si>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</si>
  <si>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</si>
  <si>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</si>
  <si>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</si>
  <si>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</si>
  <si>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</si>
  <si>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</si>
  <si>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</si>
  <si>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</si>
  <si>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</si>
  <si>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</si>
  <si>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</si>
  <si>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</si>
  <si>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</si>
  <si>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</si>
  <si>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</si>
  <si>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</si>
  <si>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</si>
  <si>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</si>
  <si>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</si>
  <si>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</si>
  <si>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</si>
  <si>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</si>
  <si>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</si>
  <si>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</si>
  <si>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</si>
  <si>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</si>
  <si>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</si>
  <si>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</si>
  <si>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</si>
  <si>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</si>
  <si>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</si>
  <si>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</si>
  <si>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</si>
  <si>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</si>
  <si>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</si>
  <si>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</si>
  <si>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</si>
  <si>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</si>
  <si>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</si>
  <si>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</si>
  <si>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</si>
  <si>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</si>
  <si>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</si>
  <si>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</si>
  <si>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</si>
  <si>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</si>
  <si>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</si>
  <si>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</si>
  <si>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</si>
  <si>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</si>
  <si>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</si>
  <si>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</si>
  <si>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</si>
  <si>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</si>
  <si>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</si>
  <si>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</si>
  <si>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</si>
  <si>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</si>
  <si>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</si>
  <si>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</si>
  <si>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</si>
  <si>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</si>
  <si>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</si>
  <si>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</si>
  <si>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</si>
  <si>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</si>
  <si>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</si>
  <si>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</si>
  <si>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</si>
  <si>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</si>
  <si>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</si>
  <si>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</si>
  <si>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</si>
  <si>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</si>
  <si>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</si>
  <si>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</si>
  <si>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</si>
  <si>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</si>
  <si>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</si>
  <si>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</si>
  <si>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</si>
  <si>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</si>
  <si>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</si>
  <si>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</si>
  <si>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</si>
  <si>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</si>
  <si>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</si>
  <si>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</si>
  <si>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</si>
  <si>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</si>
  <si>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</si>
  <si>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</si>
  <si>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</si>
  <si>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</si>
  <si>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</si>
  <si>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</si>
  <si>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</si>
  <si>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</si>
  <si>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</si>
  <si>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</si>
  <si>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</si>
  <si>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</si>
  <si>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</si>
  <si>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</si>
  <si>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</si>
  <si>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</si>
  <si>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</si>
  <si>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</si>
  <si>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</si>
  <si>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</si>
  <si>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</si>
  <si>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</si>
  <si>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</si>
  <si>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</si>
  <si>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</si>
  <si>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</si>
  <si>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</si>
  <si>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</si>
  <si>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</si>
  <si>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</si>
  <si>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</si>
  <si>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</si>
  <si>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</si>
  <si>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</si>
  <si>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</si>
  <si>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</si>
  <si>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</si>
  <si>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</si>
  <si>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</si>
  <si>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</si>
  <si>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</si>
  <si>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</si>
  <si>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</si>
  <si>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</si>
  <si>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</si>
  <si>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</si>
  <si>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</si>
  <si>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</si>
  <si>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</si>
  <si>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</si>
  <si>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</si>
  <si>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</si>
  <si>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</si>
  <si>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</si>
  <si>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</si>
  <si>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</si>
  <si>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</si>
  <si>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</si>
  <si>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</si>
  <si>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</si>
  <si>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</si>
  <si>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</si>
  <si>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</si>
  <si>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</si>
  <si>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</si>
  <si>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</si>
  <si>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</si>
  <si>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</si>
  <si>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</si>
  <si>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</si>
  <si>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</si>
  <si>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</si>
  <si>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</si>
  <si>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</si>
  <si>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</si>
  <si>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</si>
  <si>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</si>
  <si>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</si>
  <si>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</si>
  <si>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</si>
  <si>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</si>
  <si>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</si>
  <si>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</si>
  <si>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</si>
  <si>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</si>
  <si>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</si>
  <si>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</si>
  <si>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</si>
  <si>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</si>
  <si>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</si>
  <si>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</si>
  <si>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</si>
  <si>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</si>
  <si>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</si>
  <si>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</si>
  <si>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</si>
  <si>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</si>
  <si>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</si>
  <si>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</si>
  <si>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</si>
  <si>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</si>
  <si>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</si>
  <si>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</si>
  <si>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</si>
  <si>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</si>
  <si>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</si>
  <si>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</si>
  <si>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</si>
  <si>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</si>
  <si>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</si>
  <si>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</si>
  <si>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</si>
  <si>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</si>
  <si>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</si>
  <si>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</si>
  <si>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</si>
  <si>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</si>
  <si>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</si>
  <si>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</si>
  <si>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</si>
  <si>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</si>
  <si>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</si>
  <si>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</si>
  <si>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</si>
  <si>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</si>
  <si>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</si>
  <si>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</si>
  <si>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</si>
  <si>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</si>
  <si>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</si>
  <si>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</si>
  <si>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</si>
  <si>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</si>
  <si>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</si>
  <si>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</si>
  <si>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</si>
  <si>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</si>
  <si>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</si>
  <si>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</si>
  <si>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</si>
  <si>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</si>
  <si>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</si>
  <si>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</si>
  <si>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</si>
  <si>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</si>
  <si>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</si>
  <si>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</si>
  <si>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</si>
  <si>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</si>
  <si>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</si>
  <si>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</si>
  <si>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</si>
  <si>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</si>
  <si>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</si>
  <si>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</si>
  <si>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</si>
  <si>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</si>
  <si>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</si>
  <si>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</si>
  <si>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</si>
  <si>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</si>
  <si>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</si>
  <si>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</si>
  <si>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</si>
  <si>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</si>
  <si>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</si>
  <si>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</si>
  <si>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</si>
  <si>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</si>
  <si>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</si>
  <si>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</si>
  <si>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</si>
  <si>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</si>
  <si>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</si>
  <si>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</si>
  <si>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</si>
  <si>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</si>
  <si>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</si>
  <si>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</si>
  <si>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</si>
  <si>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</si>
  <si>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</si>
  <si>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</si>
  <si>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</si>
  <si>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</si>
  <si>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</si>
  <si>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</si>
  <si>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</si>
  <si>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</si>
  <si>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</si>
  <si>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</si>
  <si>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</si>
  <si>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</si>
  <si>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</si>
  <si>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</si>
  <si>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</si>
  <si>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</si>
  <si>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</si>
  <si>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</si>
  <si>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</si>
  <si>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</si>
  <si>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</si>
  <si>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</si>
  <si>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</si>
  <si>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</si>
  <si>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</si>
  <si>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</si>
  <si>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</si>
  <si>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</si>
  <si>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</si>
  <si>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</si>
  <si>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</si>
  <si>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</si>
  <si>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</si>
  <si>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</si>
  <si>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</si>
  <si>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</si>
  <si>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</si>
  <si>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</si>
  <si>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</si>
  <si>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</si>
  <si>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</si>
  <si>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</si>
  <si>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</si>
  <si>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</si>
  <si>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</si>
  <si>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</si>
  <si>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</si>
  <si>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</si>
  <si>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</si>
  <si>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</si>
  <si>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</si>
  <si>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</si>
  <si>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</si>
  <si>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</si>
  <si>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</si>
  <si>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</si>
  <si>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</si>
  <si>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</si>
  <si>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</si>
  <si>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</si>
  <si>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</si>
  <si>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</si>
  <si>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</si>
  <si>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</si>
  <si>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</si>
  <si>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</si>
  <si>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</si>
  <si>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</si>
  <si>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</si>
  <si>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</si>
  <si>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</si>
  <si>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</si>
  <si>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</si>
  <si>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</si>
  <si>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</si>
  <si>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</si>
  <si>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</si>
  <si>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</si>
  <si>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</si>
  <si>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</si>
  <si>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</si>
  <si>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</si>
  <si>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</si>
  <si>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</si>
  <si>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</si>
  <si>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</si>
  <si>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</si>
  <si>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</si>
  <si>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</si>
  <si>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</si>
  <si>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</si>
  <si>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</si>
  <si>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</si>
  <si>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</si>
  <si>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</si>
  <si>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</si>
  <si>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</si>
  <si>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</si>
  <si>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</si>
  <si>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</si>
  <si>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</si>
  <si>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</si>
  <si>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</si>
  <si>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</si>
  <si>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</si>
  <si>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</si>
  <si>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</si>
  <si>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</si>
  <si>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</si>
  <si>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</si>
  <si>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</si>
  <si>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</si>
  <si>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</si>
  <si>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</si>
  <si>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</si>
  <si>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</si>
  <si>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</si>
  <si>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</si>
  <si>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</si>
  <si>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</si>
  <si>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</si>
  <si>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</si>
  <si>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</si>
  <si>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</si>
  <si>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</si>
  <si>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</si>
  <si>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</si>
  <si>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</si>
  <si>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</si>
  <si>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</si>
  <si>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</si>
  <si>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</si>
  <si>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</si>
  <si>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</si>
  <si>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</si>
  <si>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</si>
  <si>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</si>
  <si>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</si>
  <si>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</si>
  <si>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</si>
  <si>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</si>
  <si>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</si>
  <si>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</si>
  <si>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</si>
  <si>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</si>
  <si>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</si>
  <si>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</si>
  <si>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</si>
  <si>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</si>
  <si>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</si>
  <si>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</si>
  <si>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</si>
  <si>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</si>
  <si>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</si>
  <si>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</si>
  <si>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</si>
  <si>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</si>
  <si>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</si>
  <si>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</si>
  <si>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</si>
  <si>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</si>
  <si>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</si>
  <si>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</si>
  <si>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</si>
  <si>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</si>
  <si>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</si>
  <si>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</si>
  <si>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</si>
  <si>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</si>
  <si>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</si>
  <si>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</si>
  <si>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</si>
  <si>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</si>
  <si>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</si>
  <si>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</si>
  <si>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</si>
  <si>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</si>
  <si>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</si>
  <si>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</si>
  <si>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</si>
  <si>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</si>
  <si>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</si>
  <si>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</si>
  <si>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</si>
  <si>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</si>
  <si>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</si>
  <si>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</si>
  <si>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</si>
  <si>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</si>
  <si>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</si>
  <si>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</si>
  <si>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</si>
  <si>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</si>
  <si>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</si>
  <si>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</si>
  <si>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</si>
  <si>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</si>
  <si>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</si>
  <si>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</si>
  <si>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</si>
  <si>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</si>
  <si>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</si>
  <si>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</si>
  <si>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</si>
  <si>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</si>
  <si>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</si>
  <si>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</si>
  <si>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</si>
  <si>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</si>
  <si>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</si>
  <si>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</si>
  <si>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</si>
  <si>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</si>
  <si>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</si>
  <si>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</si>
  <si>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</si>
  <si>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</si>
  <si>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</si>
  <si>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</si>
  <si>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</si>
  <si>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</si>
  <si>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</si>
  <si>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</si>
  <si>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</si>
  <si>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</si>
  <si>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</si>
  <si>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</si>
  <si>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</si>
  <si>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</si>
  <si>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</si>
  <si>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</si>
  <si>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</si>
  <si>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</si>
  <si>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</si>
  <si>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</si>
  <si>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</si>
  <si>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</si>
  <si>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</si>
  <si>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</si>
  <si>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</si>
  <si>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</si>
  <si>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</si>
  <si>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</si>
  <si>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</si>
  <si>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</si>
  <si>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</si>
  <si>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</si>
  <si>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</si>
  <si>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</si>
  <si>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</si>
  <si>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</si>
  <si>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</si>
  <si>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</si>
  <si>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</si>
  <si>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</si>
  <si>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</si>
  <si>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</si>
  <si>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</si>
  <si>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</si>
  <si>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</si>
  <si>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</si>
  <si>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</si>
  <si>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</si>
  <si>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</si>
  <si>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</si>
  <si>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</si>
  <si>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</si>
  <si>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</si>
  <si>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</si>
  <si>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</si>
  <si>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</si>
  <si>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</si>
  <si>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</si>
  <si>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</si>
  <si>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</si>
  <si>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</si>
  <si>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</si>
  <si>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</si>
  <si>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</si>
  <si>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</si>
  <si>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</si>
  <si>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</si>
  <si>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</si>
  <si>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</si>
  <si>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</si>
  <si>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</si>
  <si>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</si>
  <si>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</si>
  <si>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</si>
  <si>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</si>
  <si>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</si>
  <si>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</si>
  <si>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</si>
  <si>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</si>
  <si>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</si>
  <si>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</si>
  <si>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</si>
  <si>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</si>
  <si>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</si>
  <si>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</si>
  <si>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</si>
  <si>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</si>
  <si>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</si>
  <si>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</si>
  <si>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</si>
  <si>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</si>
  <si>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</si>
  <si>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</si>
  <si>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</si>
  <si>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</si>
  <si>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</si>
  <si>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</si>
  <si>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</si>
  <si>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</si>
  <si>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</si>
  <si>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</si>
  <si>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</si>
  <si>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</si>
  <si>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</si>
  <si>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</si>
  <si>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</si>
  <si>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</si>
  <si>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</si>
  <si>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</si>
  <si>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</si>
  <si>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</si>
  <si>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</si>
  <si>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</si>
  <si>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</si>
  <si>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</si>
  <si>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</si>
  <si>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</si>
  <si>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</si>
  <si>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</si>
  <si>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</si>
  <si>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</si>
  <si>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</si>
  <si>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</si>
  <si>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</si>
  <si>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</si>
  <si>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</si>
  <si>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</si>
  <si>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</si>
  <si>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</si>
  <si>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</si>
  <si>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</si>
  <si>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</si>
  <si>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</si>
  <si>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</si>
  <si>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</si>
  <si>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</si>
  <si>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</si>
  <si>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</si>
  <si>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</si>
  <si>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</si>
  <si>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</si>
  <si>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</si>
  <si>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</si>
  <si>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</si>
  <si>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</si>
  <si>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</si>
  <si>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</si>
  <si>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</si>
  <si>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</si>
  <si>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</si>
  <si>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</si>
  <si>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</si>
  <si>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</si>
  <si>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</si>
  <si>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</si>
  <si>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</si>
  <si>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</si>
  <si>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</si>
  <si>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</si>
  <si>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</si>
  <si>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</si>
  <si>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</si>
  <si>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</si>
  <si>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</si>
  <si>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</si>
  <si>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</si>
  <si>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</si>
  <si>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</si>
  <si>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</si>
  <si>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</si>
  <si>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</si>
  <si>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</si>
  <si>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</si>
  <si>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</si>
  <si>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</si>
  <si>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</si>
  <si>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</si>
  <si>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</si>
  <si>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</si>
  <si>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</si>
  <si>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</si>
  <si>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</si>
  <si>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</si>
  <si>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</si>
  <si>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</si>
  <si>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</si>
  <si>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</si>
  <si>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</si>
  <si>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</si>
  <si>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</si>
  <si>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</si>
  <si>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</si>
  <si>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</si>
  <si>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</si>
  <si>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</si>
  <si>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</si>
  <si>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</si>
  <si>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</si>
  <si>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</si>
  <si>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</si>
  <si>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</si>
  <si>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</si>
  <si>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</si>
  <si>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</si>
  <si>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</si>
  <si>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</si>
  <si>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</si>
  <si>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</si>
  <si>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</si>
  <si>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</si>
  <si>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</si>
  <si>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</si>
  <si>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</si>
  <si>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</si>
  <si>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</si>
  <si>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</si>
  <si>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</si>
  <si>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</si>
  <si>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</si>
  <si>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</si>
  <si>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</si>
  <si>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</si>
  <si>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</si>
  <si>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</si>
  <si>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</si>
  <si>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</si>
  <si>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</si>
  <si>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</si>
  <si>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</si>
  <si>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</si>
  <si>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</si>
  <si>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</si>
  <si>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</si>
  <si>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</si>
  <si>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</si>
  <si>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</si>
  <si>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</si>
  <si>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</si>
  <si>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</si>
  <si>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</si>
  <si>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</si>
  <si>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</si>
  <si>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</si>
  <si>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</si>
  <si>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</si>
  <si>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</si>
  <si>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</si>
  <si>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</si>
  <si>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</si>
  <si>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</si>
  <si>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</si>
  <si>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</si>
  <si>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</si>
  <si>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</si>
  <si>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</si>
  <si>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</si>
  <si>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</si>
  <si>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</si>
  <si>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</si>
  <si>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</si>
  <si>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</si>
  <si>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</si>
  <si>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</si>
  <si>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</si>
  <si>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</si>
  <si>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</si>
  <si>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</si>
  <si>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</si>
  <si>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</si>
  <si>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</si>
  <si>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</si>
  <si>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</si>
  <si>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</si>
  <si>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</si>
  <si>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</si>
  <si>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</si>
  <si>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</si>
  <si>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</si>
  <si>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</si>
  <si>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</si>
  <si>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</si>
  <si>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</si>
  <si>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</si>
  <si>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</si>
  <si>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</si>
  <si>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</si>
  <si>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</si>
  <si>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</si>
  <si>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</si>
  <si>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</si>
  <si>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</si>
  <si>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</si>
  <si>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</si>
  <si>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</si>
  <si>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</si>
  <si>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未包含在土地购买价格中</t>
  </si>
  <si>
    <t>全部缴纳</t>
  </si>
  <si>
    <t>已包含在土地取得成本中</t>
  </si>
  <si>
    <t>收益法-残值</t>
    <phoneticPr fontId="16" type="noConversion"/>
  </si>
  <si>
    <t>押一</t>
  </si>
  <si>
    <t>与级别开发程度不一致</t>
  </si>
  <si>
    <t>中心城区</t>
  </si>
  <si>
    <t>售价</t>
  </si>
  <si>
    <t>自定义容积率</t>
  </si>
  <si>
    <t>平整</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</si>
  <si>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</si>
  <si>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</si>
  <si>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</si>
  <si>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</si>
  <si>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</si>
  <si>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建成年代</t>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</si>
  <si>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</si>
  <si>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</si>
  <si>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</si>
  <si>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</si>
  <si>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</si>
  <si>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</si>
  <si>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</si>
  <si>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</si>
  <si>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商业1-2层</t>
  </si>
  <si>
    <t>钢混</t>
  </si>
  <si>
    <t>1-2层</t>
  </si>
  <si>
    <t>钢混</t>
    <phoneticPr fontId="30" type="noConversion"/>
  </si>
  <si>
    <t>2层</t>
  </si>
  <si>
    <r>
      <rPr>
        <sz val="11"/>
        <color indexed="8"/>
        <rFont val="宋体"/>
        <family val="3"/>
        <charset val="134"/>
      </rPr>
      <t>负</t>
    </r>
    <r>
      <rPr>
        <sz val="11"/>
        <color indexed="8"/>
        <rFont val="Arial"/>
        <family val="2"/>
      </rPr>
      <t>1</t>
    </r>
    <r>
      <rPr>
        <sz val="11"/>
        <color indexed="8"/>
        <rFont val="宋体"/>
        <family val="3"/>
        <charset val="134"/>
      </rPr>
      <t>层</t>
    </r>
    <r>
      <rPr>
        <sz val="11"/>
        <color indexed="8"/>
        <rFont val="Arial"/>
        <family val="2"/>
      </rPr>
      <t>-2</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</si>
  <si>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</si>
  <si>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多面临街</t>
    <phoneticPr fontId="30" type="noConversion"/>
  </si>
  <si>
    <t>双面临街</t>
    <phoneticPr fontId="30" type="noConversion"/>
  </si>
  <si>
    <t>单面临街</t>
  </si>
  <si>
    <t>单面临街</t>
    <phoneticPr fontId="30" type="noConversion"/>
  </si>
  <si>
    <t>不临街</t>
  </si>
  <si>
    <t>不临街</t>
    <phoneticPr fontId="30" type="noConversion"/>
  </si>
  <si>
    <t>负1层-2层</t>
  </si>
  <si>
    <t>企业</t>
  </si>
  <si>
    <t>挂牌</t>
    <phoneticPr fontId="31" type="noConversion"/>
  </si>
  <si>
    <t>办公</t>
    <phoneticPr fontId="31" type="noConversion"/>
  </si>
  <si>
    <t>商业</t>
    <phoneticPr fontId="30" type="noConversion"/>
  </si>
  <si>
    <t>低层</t>
    <phoneticPr fontId="31" type="noConversion"/>
  </si>
  <si>
    <t>中层</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</si>
  <si>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</si>
  <si>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</si>
  <si>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</si>
  <si>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</si>
  <si>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</si>
  <si>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</si>
  <si>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</si>
  <si>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</si>
  <si>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</si>
  <si>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</si>
  <si>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</si>
  <si>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</si>
  <si>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</si>
  <si>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</si>
  <si>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</si>
  <si>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</si>
  <si>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</si>
  <si>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</si>
  <si>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</si>
  <si>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</si>
  <si>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</si>
  <si>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</si>
  <si>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</si>
  <si>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</si>
  <si>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</si>
  <si>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</si>
  <si>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租金</t>
  </si>
  <si>
    <t>较低层高</t>
    <phoneticPr fontId="31" type="noConversion"/>
  </si>
  <si>
    <t>户型</t>
    <phoneticPr fontId="134" type="noConversion"/>
  </si>
  <si>
    <t>工业项目</t>
  </si>
  <si>
    <t>容积率修正</t>
  </si>
  <si>
    <t>较差</t>
  </si>
  <si>
    <t>土地面积</t>
    <phoneticPr fontId="3" type="noConversion"/>
  </si>
  <si>
    <t>总价</t>
  </si>
  <si>
    <t>成本比率</t>
  </si>
  <si>
    <t>成本法</t>
  </si>
  <si>
    <t>台铭国际企业花园</t>
    <phoneticPr fontId="3" type="noConversion"/>
  </si>
  <si>
    <t>台铭国际企业花园</t>
    <phoneticPr fontId="3" type="noConversion"/>
  </si>
  <si>
    <t>台铭国际企业花园</t>
    <phoneticPr fontId="3" type="noConversion"/>
  </si>
  <si>
    <t>项目模式</t>
  </si>
  <si>
    <t>独栋</t>
  </si>
  <si>
    <t>独栋</t>
    <phoneticPr fontId="31" type="noConversion"/>
  </si>
  <si>
    <r>
      <t>1</t>
    </r>
    <r>
      <rPr>
        <sz val="10"/>
        <color indexed="8"/>
        <rFont val="宋体"/>
        <family val="3"/>
        <charset val="134"/>
      </rPr>
      <t>幢</t>
    </r>
    <r>
      <rPr>
        <sz val="10"/>
        <color indexed="8"/>
        <rFont val="Arial"/>
        <family val="2"/>
      </rPr>
      <t>-</t>
    </r>
    <r>
      <rPr>
        <sz val="10"/>
        <color indexed="8"/>
        <rFont val="宋体"/>
        <family val="3"/>
        <charset val="134"/>
      </rPr>
      <t>组装车间</t>
    </r>
    <phoneticPr fontId="3" type="noConversion"/>
  </si>
  <si>
    <r>
      <t>2</t>
    </r>
    <r>
      <rPr>
        <sz val="10"/>
        <color indexed="8"/>
        <rFont val="宋体"/>
        <family val="3"/>
        <charset val="134"/>
      </rPr>
      <t>幢</t>
    </r>
    <r>
      <rPr>
        <sz val="10"/>
        <color indexed="8"/>
        <rFont val="Arial"/>
        <family val="2"/>
      </rPr>
      <t>-</t>
    </r>
    <r>
      <rPr>
        <sz val="10"/>
        <color indexed="8"/>
        <rFont val="宋体"/>
        <family val="3"/>
        <charset val="134"/>
      </rPr>
      <t>机工车间</t>
    </r>
    <phoneticPr fontId="3" type="noConversion"/>
  </si>
  <si>
    <r>
      <t>1</t>
    </r>
    <r>
      <rPr>
        <sz val="10"/>
        <color indexed="8"/>
        <rFont val="宋体"/>
        <family val="3"/>
        <charset val="134"/>
      </rPr>
      <t>层</t>
    </r>
    <phoneticPr fontId="3" type="noConversion"/>
  </si>
  <si>
    <r>
      <t>3</t>
    </r>
    <r>
      <rPr>
        <sz val="10"/>
        <color indexed="8"/>
        <rFont val="宋体"/>
        <family val="3"/>
        <charset val="134"/>
      </rPr>
      <t>幢</t>
    </r>
    <r>
      <rPr>
        <sz val="10"/>
        <color indexed="8"/>
        <rFont val="Arial"/>
        <family val="2"/>
      </rPr>
      <t>-</t>
    </r>
    <r>
      <rPr>
        <sz val="10"/>
        <color indexed="8"/>
        <rFont val="宋体"/>
        <family val="3"/>
        <charset val="134"/>
      </rPr>
      <t>钳工车间</t>
    </r>
    <phoneticPr fontId="3" type="noConversion"/>
  </si>
  <si>
    <r>
      <t>3</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</si>
  <si>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t>
    </r>
    <r>
      <rPr>
        <sz val="10"/>
        <color indexed="8"/>
        <rFont val="宋体"/>
        <family val="3"/>
        <charset val="134"/>
      </rPr>
      <t>办公楼</t>
    </r>
    <phoneticPr fontId="3" type="noConversion"/>
  </si>
  <si>
    <r>
      <t>2</t>
    </r>
    <r>
      <rPr>
        <sz val="11"/>
        <color indexed="8"/>
        <rFont val="宋体"/>
        <family val="3"/>
        <charset val="134"/>
      </rPr>
      <t>层</t>
    </r>
    <phoneticPr fontId="3" type="noConversion"/>
  </si>
  <si>
    <r>
      <t>6</t>
    </r>
    <r>
      <rPr>
        <sz val="10"/>
        <color indexed="8"/>
        <rFont val="宋体"/>
        <family val="3"/>
        <charset val="134"/>
      </rPr>
      <t>幢</t>
    </r>
    <r>
      <rPr>
        <sz val="10"/>
        <color indexed="8"/>
        <rFont val="Arial"/>
        <family val="2"/>
      </rPr>
      <t>-</t>
    </r>
    <r>
      <rPr>
        <sz val="10"/>
        <color indexed="8"/>
        <rFont val="宋体"/>
        <family val="3"/>
        <charset val="134"/>
      </rPr>
      <t>辅助用房</t>
    </r>
    <phoneticPr fontId="3" type="noConversion"/>
  </si>
  <si>
    <r>
      <t>4</t>
    </r>
    <r>
      <rPr>
        <sz val="10"/>
        <color indexed="8"/>
        <rFont val="宋体"/>
        <family val="3"/>
        <charset val="134"/>
      </rPr>
      <t>幢</t>
    </r>
    <r>
      <rPr>
        <sz val="10"/>
        <color indexed="8"/>
        <rFont val="Arial"/>
        <family val="2"/>
      </rPr>
      <t>-</t>
    </r>
    <r>
      <rPr>
        <sz val="10"/>
        <color indexed="8"/>
        <rFont val="宋体"/>
        <family val="3"/>
        <charset val="134"/>
      </rPr>
      <t>喷漆车间</t>
    </r>
    <phoneticPr fontId="3" type="noConversion"/>
  </si>
  <si>
    <t>楼栋</t>
    <phoneticPr fontId="3" type="noConversion"/>
  </si>
  <si>
    <t>楼层</t>
    <phoneticPr fontId="3" type="noConversion"/>
  </si>
  <si>
    <t>用途</t>
    <phoneticPr fontId="3" type="noConversion"/>
  </si>
  <si>
    <t>面积</t>
    <phoneticPr fontId="3" type="noConversion"/>
  </si>
  <si>
    <t>1幢</t>
    <phoneticPr fontId="3" type="noConversion"/>
  </si>
  <si>
    <t>组装车间</t>
    <phoneticPr fontId="3" type="noConversion"/>
  </si>
  <si>
    <r>
      <t>2</t>
    </r>
    <r>
      <rPr>
        <sz val="10"/>
        <color indexed="8"/>
        <rFont val="宋体"/>
        <family val="3"/>
        <charset val="134"/>
      </rPr>
      <t>幢</t>
    </r>
    <r>
      <rPr>
        <sz val="10"/>
        <color indexed="8"/>
        <rFont val="Arial"/>
        <family val="2"/>
      </rPr>
      <t/>
    </r>
    <phoneticPr fontId="3" type="noConversion"/>
  </si>
  <si>
    <t>机工车间</t>
    <phoneticPr fontId="3" type="noConversion"/>
  </si>
  <si>
    <t>钳工车间</t>
    <phoneticPr fontId="3" type="noConversion"/>
  </si>
  <si>
    <t>喷漆车间</t>
    <phoneticPr fontId="3" type="noConversion"/>
  </si>
  <si>
    <t>办公楼</t>
    <phoneticPr fontId="3" type="noConversion"/>
  </si>
  <si>
    <t>辅助用房</t>
    <phoneticPr fontId="3" type="noConversion"/>
  </si>
  <si>
    <r>
      <t>3</t>
    </r>
    <r>
      <rPr>
        <sz val="10"/>
        <color indexed="8"/>
        <rFont val="宋体"/>
        <family val="3"/>
        <charset val="134"/>
      </rPr>
      <t>幢</t>
    </r>
    <r>
      <rPr>
        <sz val="10"/>
        <color indexed="8"/>
        <rFont val="Arial"/>
        <family val="2"/>
      </rPr>
      <t/>
    </r>
    <phoneticPr fontId="3" type="noConversion"/>
  </si>
  <si>
    <r>
      <t>4</t>
    </r>
    <r>
      <rPr>
        <sz val="10"/>
        <color indexed="8"/>
        <rFont val="宋体"/>
        <family val="3"/>
        <charset val="134"/>
      </rPr>
      <t>幢</t>
    </r>
    <r>
      <rPr>
        <sz val="10"/>
        <color indexed="8"/>
        <rFont val="Arial"/>
        <family val="2"/>
      </rPr>
      <t/>
    </r>
    <phoneticPr fontId="3" type="noConversion"/>
  </si>
  <si>
    <r>
      <t>5</t>
    </r>
    <r>
      <rPr>
        <sz val="10"/>
        <color indexed="8"/>
        <rFont val="宋体"/>
        <family val="3"/>
        <charset val="134"/>
      </rPr>
      <t>幢</t>
    </r>
    <r>
      <rPr>
        <sz val="10"/>
        <color indexed="8"/>
        <rFont val="Arial"/>
        <family val="2"/>
      </rPr>
      <t/>
    </r>
    <phoneticPr fontId="3" type="noConversion"/>
  </si>
  <si>
    <r>
      <t>6</t>
    </r>
    <r>
      <rPr>
        <sz val="10"/>
        <color indexed="8"/>
        <rFont val="宋体"/>
        <family val="3"/>
        <charset val="134"/>
      </rPr>
      <t>幢</t>
    </r>
    <r>
      <rPr>
        <sz val="10"/>
        <color indexed="8"/>
        <rFont val="Arial"/>
        <family val="2"/>
      </rPr>
      <t/>
    </r>
    <phoneticPr fontId="3" type="noConversion"/>
  </si>
  <si>
    <t>3层</t>
  </si>
  <si>
    <t>租金</t>
    <phoneticPr fontId="3" type="noConversion"/>
  </si>
  <si>
    <t>工业-车间</t>
  </si>
  <si>
    <t>工业-车间</t>
    <phoneticPr fontId="7" type="noConversion"/>
  </si>
  <si>
    <t>生产用房</t>
  </si>
  <si>
    <t>收益法-车间</t>
  </si>
  <si>
    <t>收益法-车间</t>
    <phoneticPr fontId="16" type="noConversion"/>
  </si>
  <si>
    <t>收益法-办公</t>
  </si>
  <si>
    <t>收益法-办公</t>
    <phoneticPr fontId="16" type="noConversion"/>
  </si>
  <si>
    <t>收益法（汇总）</t>
  </si>
  <si>
    <t>总土地</t>
    <phoneticPr fontId="3" type="noConversion"/>
  </si>
  <si>
    <t>剩余土地</t>
    <phoneticPr fontId="3" type="noConversion"/>
  </si>
  <si>
    <t>延庆县康庄镇康祥路11号1-6幢工业用房</t>
    <phoneticPr fontId="6" type="noConversion"/>
  </si>
  <si>
    <t>结构</t>
    <phoneticPr fontId="3" type="noConversion"/>
  </si>
  <si>
    <t>钢</t>
  </si>
  <si>
    <t>钢</t>
    <phoneticPr fontId="3" type="noConversion"/>
  </si>
  <si>
    <t>混合</t>
    <phoneticPr fontId="3" type="noConversion"/>
  </si>
  <si>
    <t>工业0-办公、辅助用房</t>
  </si>
  <si>
    <t>工业0-办公、辅助用房</t>
    <phoneticPr fontId="7" type="noConversion"/>
  </si>
  <si>
    <t>车间</t>
    <phoneticPr fontId="3" type="noConversion"/>
  </si>
  <si>
    <t>办公</t>
    <phoneticPr fontId="3" type="noConversion"/>
  </si>
  <si>
    <t>层高</t>
    <phoneticPr fontId="3" type="noConversion"/>
  </si>
  <si>
    <r>
      <t>9</t>
    </r>
    <r>
      <rPr>
        <sz val="10"/>
        <color indexed="8"/>
        <rFont val="宋体"/>
        <family val="3"/>
        <charset val="134"/>
      </rPr>
      <t>米</t>
    </r>
    <phoneticPr fontId="3" type="noConversion"/>
  </si>
  <si>
    <r>
      <t>6.5</t>
    </r>
    <r>
      <rPr>
        <sz val="10"/>
        <color indexed="8"/>
        <rFont val="宋体"/>
        <family val="3"/>
        <charset val="134"/>
      </rPr>
      <t>米</t>
    </r>
    <phoneticPr fontId="3" type="noConversion"/>
  </si>
  <si>
    <r>
      <t>3</t>
    </r>
    <r>
      <rPr>
        <sz val="10"/>
        <color indexed="8"/>
        <rFont val="宋体"/>
        <family val="3"/>
        <charset val="134"/>
      </rPr>
      <t>米</t>
    </r>
    <phoneticPr fontId="3" type="noConversion"/>
  </si>
  <si>
    <r>
      <t>3.5</t>
    </r>
    <r>
      <rPr>
        <sz val="10"/>
        <color indexed="8"/>
        <rFont val="宋体"/>
        <family val="3"/>
        <charset val="134"/>
      </rPr>
      <t>米</t>
    </r>
    <phoneticPr fontId="3" type="noConversion"/>
  </si>
  <si>
    <t>关于延庆县城市基础设施建设费收费标准的函[京发改〔2013〕430号]</t>
    <phoneticPr fontId="3" type="noConversion"/>
  </si>
  <si>
    <t>吴薇</t>
  </si>
  <si>
    <t>郑燚</t>
  </si>
  <si>
    <t>建筑面积</t>
  </si>
  <si>
    <t>土地面积</t>
  </si>
  <si>
    <t>建筑物价值</t>
  </si>
  <si>
    <t>建筑面积</t>
    <phoneticPr fontId="3" type="noConversion"/>
  </si>
  <si>
    <t>1幢-组装车间</t>
  </si>
  <si>
    <t>2幢-机工车间</t>
  </si>
  <si>
    <t>3幢-钳工车间</t>
  </si>
  <si>
    <t>4幢-喷漆车间</t>
  </si>
  <si>
    <t>5幢-办公楼</t>
  </si>
  <si>
    <t>6幢-辅助用房</t>
  </si>
  <si>
    <t>楼幢</t>
    <phoneticPr fontId="134" type="noConversion"/>
  </si>
  <si>
    <t>建筑面积</t>
    <phoneticPr fontId="134" type="noConversion"/>
  </si>
  <si>
    <t>合计</t>
    <phoneticPr fontId="134" type="noConversion"/>
  </si>
  <si>
    <t>分摊土地面积</t>
    <phoneticPr fontId="134" type="noConversion"/>
  </si>
  <si>
    <t>单价</t>
    <phoneticPr fontId="134" type="noConversion"/>
  </si>
  <si>
    <t>总价</t>
    <phoneticPr fontId="134" type="noConversion"/>
  </si>
  <si>
    <t>合计</t>
    <phoneticPr fontId="134" type="noConversion"/>
  </si>
  <si>
    <t>成本法单价</t>
    <phoneticPr fontId="134" type="noConversion"/>
  </si>
  <si>
    <t>成本法总价</t>
    <phoneticPr fontId="134" type="noConversion"/>
  </si>
  <si>
    <t>权重后总价</t>
    <phoneticPr fontId="134" type="noConversion"/>
  </si>
  <si>
    <t>权重后单价</t>
    <phoneticPr fontId="134" type="noConversion"/>
  </si>
  <si>
    <t>最终总价</t>
    <phoneticPr fontId="134" type="noConversion"/>
  </si>
  <si>
    <t>土地价值</t>
    <phoneticPr fontId="134" type="noConversion"/>
  </si>
  <si>
    <t>建筑物</t>
    <phoneticPr fontId="134" type="noConversion"/>
  </si>
  <si>
    <t>房地产</t>
    <phoneticPr fontId="134" type="noConversion"/>
  </si>
  <si>
    <t>单价</t>
    <phoneticPr fontId="134" type="noConversion"/>
  </si>
  <si>
    <t>建安总额</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</si>
</sst>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79" fontId="47" fillId="12" borderId="1" xfId="0" applyNumberFormat="1" applyFont="1" applyFill="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77" fontId="53" fillId="0" borderId="1" xfId="1" applyNumberFormat="1" applyFont="1" applyBorder="1" applyAlignment="1" applyProtection="1">
      <alignment horizontal="center" vertical="center"/>
      <protection locked="0"/>
    </xf>
    <xf numFmtId="10" fontId="53" fillId="0" borderId="1" xfId="1" applyNumberFormat="1" applyFont="1" applyBorder="1" applyAlignment="1" applyProtection="1">
      <alignment horizontal="center" vertical="center"/>
      <protection locked="0"/>
    </xf>
    <xf numFmtId="0" fontId="53" fillId="12" borderId="1" xfId="0" applyFont="1" applyFill="1" applyBorder="1" applyAlignment="1" applyProtection="1">
      <alignment horizontal="center" vertical="center"/>
      <protection locked="0"/>
    </xf>
    <xf numFmtId="196" fontId="77" fillId="0" borderId="1" xfId="0" applyNumberFormat="1" applyFont="1" applyBorder="1" applyAlignment="1" applyProtection="1">
      <alignment horizontal="center" vertical="center" wrapText="1"/>
      <protection locked="0"/>
    </xf>
    <xf numFmtId="0" fontId="77" fillId="7" borderId="5" xfId="0" applyFont="1" applyFill="1" applyBorder="1" applyAlignment="1" applyProtection="1">
      <alignment vertical="center" wrapText="1"/>
      <protection locked="0"/>
    </xf>
    <xf numFmtId="179" fontId="47" fillId="12" borderId="0" xfId="0" applyNumberFormat="1" applyFont="1" applyFill="1" applyAlignment="1" applyProtection="1">
      <alignment horizontal="center" vertical="center"/>
      <protection locked="0"/>
    </xf>
    <xf numFmtId="181" fontId="99" fillId="22" borderId="1" xfId="0" applyNumberFormat="1" applyFont="1" applyFill="1" applyBorder="1" applyAlignment="1" applyProtection="1">
      <alignment horizontal="center" vertical="center"/>
      <protection locked="0"/>
    </xf>
    <xf numFmtId="9" fontId="53" fillId="22" borderId="5" xfId="0"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9" fontId="47" fillId="12" borderId="0" xfId="0" applyNumberFormat="1" applyFont="1" applyFill="1" applyProtection="1">
      <alignment vertical="center"/>
      <protection locked="0"/>
    </xf>
    <xf numFmtId="179" fontId="77" fillId="0" borderId="1" xfId="0" applyNumberFormat="1" applyFont="1" applyBorder="1" applyAlignment="1" applyProtection="1">
      <alignment horizontal="center" vertical="center" wrapText="1"/>
      <protection locked="0"/>
    </xf>
    <xf numFmtId="0" fontId="108" fillId="0" borderId="0" xfId="0" applyFont="1">
      <alignment vertical="center"/>
    </xf>
    <xf numFmtId="0" fontId="98" fillId="0" borderId="0" xfId="0" applyFont="1" applyAlignment="1" applyProtection="1">
      <alignment horizontal="center" vertical="center"/>
      <protection locked="0"/>
    </xf>
    <xf numFmtId="0" fontId="114" fillId="0" borderId="0" xfId="0" applyFont="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5" borderId="0" xfId="0" applyFont="1" applyFill="1" applyAlignment="1">
      <alignment horizontal="left" vertical="center"/>
    </xf>
    <xf numFmtId="0" fontId="0" fillId="5" borderId="0" xfId="0" applyFill="1" applyAlignment="1">
      <alignment horizontal="left" vertical="center"/>
    </xf>
    <xf numFmtId="0" fontId="96" fillId="0" borderId="0" xfId="0" applyFont="1">
      <alignment vertical="center"/>
    </xf>
    <xf numFmtId="0" fontId="96" fillId="0" borderId="0" xfId="0" applyFont="1" applyAlignment="1">
      <alignment horizontal="left" vertical="center"/>
    </xf>
    <xf numFmtId="0" fontId="96" fillId="5" borderId="0" xfId="0" applyFont="1" applyFill="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457201</xdr:colOff>
      <xdr:row>20</xdr:row>
      <xdr:rowOff>1491</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 y="0"/>
          <a:ext cx="5943600" cy="3430491"/>
        </a:xfrm>
        <a:prstGeom prst="rect">
          <a:avLst/>
        </a:prstGeom>
      </xdr:spPr>
    </xdr:pic>
    <xdr:clientData/>
  </xdr:twoCellAnchor>
  <xdr:twoCellAnchor editAs="oneCell">
    <xdr:from>
      <xdr:col>8</xdr:col>
      <xdr:colOff>505480</xdr:colOff>
      <xdr:row>0</xdr:row>
      <xdr:rowOff>0</xdr:rowOff>
    </xdr:from>
    <xdr:to>
      <xdr:col>17</xdr:col>
      <xdr:colOff>380096</xdr:colOff>
      <xdr:row>17</xdr:row>
      <xdr:rowOff>104775</xdr:rowOff>
    </xdr:to>
    <xdr:pic>
      <xdr:nvPicPr>
        <xdr:cNvPr id="3" name="图片 2">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5991880" y="0"/>
          <a:ext cx="6046816" cy="3019425"/>
        </a:xfrm>
        <a:prstGeom prst="rect">
          <a:avLst/>
        </a:prstGeom>
      </xdr:spPr>
    </xdr:pic>
    <xdr:clientData/>
  </xdr:twoCellAnchor>
  <xdr:twoCellAnchor editAs="oneCell">
    <xdr:from>
      <xdr:col>0</xdr:col>
      <xdr:colOff>1</xdr:colOff>
      <xdr:row>22</xdr:row>
      <xdr:rowOff>85725</xdr:rowOff>
    </xdr:from>
    <xdr:to>
      <xdr:col>11</xdr:col>
      <xdr:colOff>361950</xdr:colOff>
      <xdr:row>44</xdr:row>
      <xdr:rowOff>5156</xdr:rowOff>
    </xdr:to>
    <xdr:pic>
      <xdr:nvPicPr>
        <xdr:cNvPr id="4" name="图片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1" y="3857625"/>
          <a:ext cx="7905749" cy="3691331"/>
        </a:xfrm>
        <a:prstGeom prst="rect">
          <a:avLst/>
        </a:prstGeom>
      </xdr:spPr>
    </xdr:pic>
    <xdr:clientData/>
  </xdr:twoCellAnchor>
  <xdr:twoCellAnchor editAs="oneCell">
    <xdr:from>
      <xdr:col>0</xdr:col>
      <xdr:colOff>0</xdr:colOff>
      <xdr:row>47</xdr:row>
      <xdr:rowOff>0</xdr:rowOff>
    </xdr:from>
    <xdr:to>
      <xdr:col>13</xdr:col>
      <xdr:colOff>513171</xdr:colOff>
      <xdr:row>71</xdr:row>
      <xdr:rowOff>132819</xdr:rowOff>
    </xdr:to>
    <xdr:pic>
      <xdr:nvPicPr>
        <xdr:cNvPr id="5" name="图片 4">
          <a:extLst>
            <a:ext uri="{FF2B5EF4-FFF2-40B4-BE49-F238E27FC236}">
              <a16:creationId xmlns="" xmlns:a16="http://schemas.microsoft.com/office/drawing/2014/main" id="{A82A8B8D-2398-EE3C-D775-89776267FF11}"/>
            </a:ext>
          </a:extLst>
        </xdr:cNvPr>
        <xdr:cNvPicPr>
          <a:picLocks noChangeAspect="1"/>
        </xdr:cNvPicPr>
      </xdr:nvPicPr>
      <xdr:blipFill>
        <a:blip xmlns:r="http://schemas.openxmlformats.org/officeDocument/2006/relationships" r:embed="rId4"/>
        <a:stretch>
          <a:fillRect/>
        </a:stretch>
      </xdr:blipFill>
      <xdr:spPr>
        <a:xfrm>
          <a:off x="0" y="8058150"/>
          <a:ext cx="9428571" cy="4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228600</xdr:colOff>
      <xdr:row>20</xdr:row>
      <xdr:rowOff>5570</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1" y="0"/>
          <a:ext cx="7086599" cy="3434570"/>
        </a:xfrm>
        <a:prstGeom prst="rect">
          <a:avLst/>
        </a:prstGeom>
      </xdr:spPr>
    </xdr:pic>
    <xdr:clientData/>
  </xdr:twoCellAnchor>
  <xdr:twoCellAnchor editAs="oneCell">
    <xdr:from>
      <xdr:col>0</xdr:col>
      <xdr:colOff>0</xdr:colOff>
      <xdr:row>19</xdr:row>
      <xdr:rowOff>161925</xdr:rowOff>
    </xdr:from>
    <xdr:to>
      <xdr:col>10</xdr:col>
      <xdr:colOff>257175</xdr:colOff>
      <xdr:row>41</xdr:row>
      <xdr:rowOff>84578</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3419475"/>
          <a:ext cx="7115175" cy="3694553"/>
        </a:xfrm>
        <a:prstGeom prst="rect">
          <a:avLst/>
        </a:prstGeom>
      </xdr:spPr>
    </xdr:pic>
    <xdr:clientData/>
  </xdr:twoCellAnchor>
  <xdr:twoCellAnchor editAs="oneCell">
    <xdr:from>
      <xdr:col>0</xdr:col>
      <xdr:colOff>0</xdr:colOff>
      <xdr:row>42</xdr:row>
      <xdr:rowOff>1</xdr:rowOff>
    </xdr:from>
    <xdr:to>
      <xdr:col>7</xdr:col>
      <xdr:colOff>381000</xdr:colOff>
      <xdr:row>60</xdr:row>
      <xdr:rowOff>24401</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7200901"/>
          <a:ext cx="5181600" cy="3110500"/>
        </a:xfrm>
        <a:prstGeom prst="rect">
          <a:avLst/>
        </a:prstGeom>
      </xdr:spPr>
    </xdr:pic>
    <xdr:clientData/>
  </xdr:twoCellAnchor>
  <xdr:twoCellAnchor editAs="oneCell">
    <xdr:from>
      <xdr:col>11</xdr:col>
      <xdr:colOff>0</xdr:colOff>
      <xdr:row>0</xdr:row>
      <xdr:rowOff>0</xdr:rowOff>
    </xdr:from>
    <xdr:to>
      <xdr:col>18</xdr:col>
      <xdr:colOff>326774</xdr:colOff>
      <xdr:row>24</xdr:row>
      <xdr:rowOff>66675</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7543800" y="0"/>
          <a:ext cx="5127374" cy="4181475"/>
        </a:xfrm>
        <a:prstGeom prst="rect">
          <a:avLst/>
        </a:prstGeom>
      </xdr:spPr>
    </xdr:pic>
    <xdr:clientData/>
  </xdr:twoCellAnchor>
  <xdr:twoCellAnchor editAs="oneCell">
    <xdr:from>
      <xdr:col>10</xdr:col>
      <xdr:colOff>609600</xdr:colOff>
      <xdr:row>25</xdr:row>
      <xdr:rowOff>19051</xdr:rowOff>
    </xdr:from>
    <xdr:to>
      <xdr:col>18</xdr:col>
      <xdr:colOff>638175</xdr:colOff>
      <xdr:row>36</xdr:row>
      <xdr:rowOff>50289</xdr:rowOff>
    </xdr:to>
    <xdr:pic>
      <xdr:nvPicPr>
        <xdr:cNvPr id="6" name="图片 5">
          <a:extLst>
            <a:ext uri="{FF2B5EF4-FFF2-40B4-BE49-F238E27FC236}">
              <a16:creationId xmlns=""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7467600" y="4305301"/>
          <a:ext cx="5514975" cy="1917188"/>
        </a:xfrm>
        <a:prstGeom prst="rect">
          <a:avLst/>
        </a:prstGeom>
      </xdr:spPr>
    </xdr:pic>
    <xdr:clientData/>
  </xdr:twoCellAnchor>
  <xdr:twoCellAnchor editAs="oneCell">
    <xdr:from>
      <xdr:col>10</xdr:col>
      <xdr:colOff>609600</xdr:colOff>
      <xdr:row>37</xdr:row>
      <xdr:rowOff>66676</xdr:rowOff>
    </xdr:from>
    <xdr:to>
      <xdr:col>18</xdr:col>
      <xdr:colOff>238125</xdr:colOff>
      <xdr:row>54</xdr:row>
      <xdr:rowOff>123480</xdr:rowOff>
    </xdr:to>
    <xdr:pic>
      <xdr:nvPicPr>
        <xdr:cNvPr id="7" name="图片 6">
          <a:extLst>
            <a:ext uri="{FF2B5EF4-FFF2-40B4-BE49-F238E27FC236}">
              <a16:creationId xmlns=""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7467600" y="6410326"/>
          <a:ext cx="5114925" cy="29714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北京市延庆县康庄镇康祥路11号1-6幢工业用房房地产抵押价值预评估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受贵公司委托，我公司对北京市延庆县康庄镇康祥路11号1-6幢工业用房房地产抵押价值进行了预评估。</v>
      </c>
    </row>
    <row r="7" spans="1:2">
      <c r="A7" s="1118" t="s">
        <v>566</v>
      </c>
      <c r="B7" s="1119" t="str">
        <f>'预评函-1'!A7</f>
        <v>估价对象为北京市延庆县康庄镇康祥路11号1-6幢工业用房房地产，为所有。根据《国有土地使用证》[]，估价对象（分摊）出让国有建设用地使用权面积为14571.48平方米，建筑面积为7170.41平方米。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延庆县康庄镇康祥路11号1-6幢工业用房房地产,属开发建设的工业项目，该项目尚在开发建设中。根据《国有土地使用证》[]，估价对象（分摊）出让国有建设用地使用权面积为14571.48平方米，规划建筑面积为7170.41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延庆县康庄镇康祥路11号1-6幢工业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2024年1月24日（评估专业人员实地查勘之日）</v>
      </c>
    </row>
    <row r="13" spans="1:2">
      <c r="A13" s="1118" t="s">
        <v>529</v>
      </c>
      <c r="B13" s="1119" t="str">
        <f>'预评函-1'!A18</f>
        <v>本次估价的“房地产价值”是指在正常市场情况下，在价值时点2024年1月24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2847</v>
      </c>
    </row>
    <row r="21" spans="1:2">
      <c r="A21" s="1118" t="s">
        <v>537</v>
      </c>
      <c r="B21" s="1119">
        <f ca="1">'预评函-2'!D7</f>
        <v>3970</v>
      </c>
    </row>
    <row r="22" spans="1:2">
      <c r="A22" s="1118" t="s">
        <v>538</v>
      </c>
      <c r="B22" s="1119" t="str">
        <f ca="1">'预评函-2'!D6</f>
        <v>贰仟捌佰肆拾柒万元整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2847</v>
      </c>
    </row>
    <row r="31" spans="1:2">
      <c r="A31" s="1118" t="s">
        <v>576</v>
      </c>
      <c r="B31" s="1119">
        <f ca="1">'预评函-2'!D15</f>
        <v>3970</v>
      </c>
    </row>
    <row r="32" spans="1:2">
      <c r="A32" s="1118" t="s">
        <v>543</v>
      </c>
      <c r="B32" s="1119" t="str">
        <f ca="1">'预评函-2'!D14</f>
        <v>贰仟捌佰肆拾柒万元整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北京市延庆县康庄镇康祥路11号1-6幢工业用房房地产</v>
      </c>
    </row>
    <row r="42" spans="1:2">
      <c r="A42" s="1118" t="s">
        <v>590</v>
      </c>
      <c r="B42" s="1119" t="str">
        <f>'预评函-3'!B2</f>
        <v>建筑面积</v>
      </c>
    </row>
    <row r="43" spans="1:2">
      <c r="A43" s="1118" t="s">
        <v>591</v>
      </c>
      <c r="B43" s="1119">
        <f>'预评函-3'!B4</f>
        <v>7170.4100000000008</v>
      </c>
    </row>
    <row r="44" spans="1:2">
      <c r="A44" s="1118" t="s">
        <v>575</v>
      </c>
      <c r="B44" s="1119" t="str">
        <f>'预评函-3'!C2</f>
        <v>(分摊)土地面积</v>
      </c>
    </row>
    <row r="45" spans="1:2">
      <c r="A45" s="1118" t="s">
        <v>547</v>
      </c>
      <c r="B45" s="1119">
        <f>'预评函-3'!C4</f>
        <v>14571.48</v>
      </c>
    </row>
    <row r="46" spans="1:2">
      <c r="A46" s="1118" t="s">
        <v>573</v>
      </c>
      <c r="B46" s="1119" t="str">
        <f>'预评函-3'!D2</f>
        <v>出让国有建设用地使用权价值</v>
      </c>
    </row>
    <row r="47" spans="1:2">
      <c r="A47" s="1118" t="s">
        <v>548</v>
      </c>
      <c r="B47" s="1119">
        <f ca="1">'预评函-3'!D4</f>
        <v>1167</v>
      </c>
    </row>
    <row r="48" spans="1:2">
      <c r="A48" s="1118" t="s">
        <v>549</v>
      </c>
      <c r="B48" s="1119">
        <f ca="1">'预评函-3'!E4</f>
        <v>1627</v>
      </c>
    </row>
    <row r="49" spans="1:2">
      <c r="A49" s="1118" t="s">
        <v>550</v>
      </c>
      <c r="B49" s="1119" t="str">
        <f ca="1">'预评函-3'!D5</f>
        <v>壹仟壹佰陆拾柒万元整</v>
      </c>
    </row>
    <row r="50" spans="1:2">
      <c r="A50" s="1118" t="s">
        <v>574</v>
      </c>
      <c r="B50" s="1119" t="str">
        <f>'预评函-3'!F2</f>
        <v>建筑物价值</v>
      </c>
    </row>
    <row r="51" spans="1:2">
      <c r="A51" s="1118" t="s">
        <v>551</v>
      </c>
      <c r="B51" s="1119">
        <f ca="1">'预评函-3'!F4</f>
        <v>1680</v>
      </c>
    </row>
    <row r="52" spans="1:2">
      <c r="A52" s="1118" t="s">
        <v>552</v>
      </c>
      <c r="B52" s="1119">
        <f ca="1">'预评函-3'!G4</f>
        <v>2343</v>
      </c>
    </row>
    <row r="53" spans="1:2">
      <c r="A53" s="1118" t="s">
        <v>580</v>
      </c>
      <c r="B53" s="1119" t="str">
        <f ca="1">'预评函-3'!F5</f>
        <v>壹仟陆佰捌拾万元整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2577</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2578</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2290</v>
      </c>
      <c r="C17" s="1441"/>
    </row>
    <row r="18" spans="1:3">
      <c r="A18" s="1440" t="s">
        <v>1046</v>
      </c>
      <c r="B18" s="1440" t="s">
        <v>2434</v>
      </c>
      <c r="C18" s="1441"/>
    </row>
    <row r="19" spans="1:3">
      <c r="A19" s="1440" t="s">
        <v>1047</v>
      </c>
      <c r="B19" s="1440" t="s">
        <v>3413</v>
      </c>
      <c r="C19" s="1441"/>
    </row>
    <row r="20" spans="1:3">
      <c r="A20" s="1440" t="s">
        <v>1048</v>
      </c>
      <c r="B20" s="1440" t="s">
        <v>3527</v>
      </c>
      <c r="C20" s="1441"/>
    </row>
    <row r="21" spans="1:3">
      <c r="A21" s="1440" t="s">
        <v>1049</v>
      </c>
      <c r="B21" s="1440" t="s">
        <v>3529</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县康庄镇康祥路11号1-6幢工业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6" t="s">
        <v>385</v>
      </c>
      <c r="C54" s="1444" t="s">
        <v>583</v>
      </c>
    </row>
    <row r="55" spans="1:4">
      <c r="A55" s="3225"/>
      <c r="B55" s="1446" t="s">
        <v>386</v>
      </c>
      <c r="C55" s="1444" t="s">
        <v>584</v>
      </c>
    </row>
    <row r="56" spans="1:4">
      <c r="A56" s="3225"/>
      <c r="B56" s="1446" t="s">
        <v>387</v>
      </c>
      <c r="C56" s="1444" t="s">
        <v>588</v>
      </c>
    </row>
    <row r="57" spans="1:4">
      <c r="A57" s="322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J13" sqref="J13"/>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2500</v>
      </c>
      <c r="B1" s="2753"/>
      <c r="C1" s="2753"/>
      <c r="D1" s="2753"/>
      <c r="E1" s="2753"/>
      <c r="F1" s="2754"/>
      <c r="I1" s="3131" t="s">
        <v>2593</v>
      </c>
      <c r="J1" s="2779"/>
      <c r="K1" s="2779"/>
      <c r="L1" s="2779"/>
      <c r="M1" s="2779"/>
      <c r="N1" s="2964"/>
      <c r="O1" s="2964"/>
      <c r="P1" s="2964"/>
      <c r="Q1" s="2964"/>
      <c r="R1" s="2964"/>
    </row>
    <row r="2" spans="1:18">
      <c r="A2" s="2756"/>
      <c r="B2" s="2757"/>
      <c r="C2" s="2757"/>
      <c r="D2" s="2757"/>
      <c r="E2" s="2757"/>
      <c r="F2" s="2758"/>
      <c r="I2" s="3226" t="s">
        <v>2580</v>
      </c>
      <c r="J2" s="3226"/>
      <c r="K2" s="3226"/>
      <c r="L2" s="3226"/>
      <c r="M2" s="3226"/>
      <c r="N2" s="3226"/>
      <c r="O2" s="3226"/>
      <c r="P2" s="3226"/>
      <c r="Q2" s="3226"/>
      <c r="R2" s="3226"/>
    </row>
    <row r="3" spans="1:18">
      <c r="A3" s="2759" t="s">
        <v>2501</v>
      </c>
      <c r="B3" s="2760">
        <f>项目基本情况!D3</f>
        <v>45315</v>
      </c>
      <c r="C3" s="2762"/>
      <c r="D3" s="2762"/>
      <c r="E3" s="2762"/>
      <c r="F3" s="2758"/>
      <c r="I3" s="2774"/>
      <c r="J3" s="2774" t="s">
        <v>2584</v>
      </c>
      <c r="K3" s="2774" t="s">
        <v>2585</v>
      </c>
      <c r="L3" s="2774" t="s">
        <v>2586</v>
      </c>
      <c r="M3" s="2774" t="s">
        <v>2587</v>
      </c>
      <c r="N3" s="3132" t="s">
        <v>2588</v>
      </c>
      <c r="O3" s="3132" t="s">
        <v>2589</v>
      </c>
      <c r="P3" s="3132" t="s">
        <v>2590</v>
      </c>
      <c r="Q3" s="3132" t="s">
        <v>2591</v>
      </c>
      <c r="R3" s="3132" t="s">
        <v>2592</v>
      </c>
    </row>
    <row r="4" spans="1:18">
      <c r="A4" s="2759" t="s">
        <v>2502</v>
      </c>
      <c r="B4" s="2762" t="s">
        <v>2503</v>
      </c>
      <c r="C4" s="2762" t="s">
        <v>2504</v>
      </c>
      <c r="D4" s="2762" t="s">
        <v>2505</v>
      </c>
      <c r="E4" s="2762" t="s">
        <v>2506</v>
      </c>
      <c r="F4" s="2758"/>
      <c r="I4" s="2774" t="s">
        <v>2581</v>
      </c>
      <c r="J4" s="2774">
        <v>80</v>
      </c>
      <c r="K4" s="2774">
        <v>70</v>
      </c>
      <c r="L4" s="2774">
        <v>20</v>
      </c>
      <c r="M4" s="2774">
        <v>30</v>
      </c>
      <c r="N4" s="2762">
        <v>45</v>
      </c>
      <c r="O4" s="2762">
        <v>60</v>
      </c>
      <c r="P4" s="2762">
        <v>50</v>
      </c>
      <c r="Q4" s="2762">
        <v>20</v>
      </c>
      <c r="R4" s="2762">
        <v>375</v>
      </c>
    </row>
    <row r="5" spans="1:18">
      <c r="A5" s="2763">
        <v>40</v>
      </c>
      <c r="B5" s="2760">
        <v>46375</v>
      </c>
      <c r="C5" s="2762">
        <f>ROUNDDOWN(MIN((B5-B3)/365,A5),2)</f>
        <v>2.9</v>
      </c>
      <c r="D5" s="2764">
        <f>IF(ISERROR(ROUND(POWER(1+E5,A5-C5)*(POWER(1+E5,C5)-1)/(POWER(1+E5,A5)-1),3)),0,ROUND(POWER(1+E5,A5-C5)*(POWER(1+E5,C5)-1)/(POWER(1+E5,A5)-1),4))</f>
        <v>0.1358</v>
      </c>
      <c r="E5" s="2765">
        <v>0.04</v>
      </c>
      <c r="F5" s="2758"/>
      <c r="I5" s="2774" t="s">
        <v>2582</v>
      </c>
      <c r="J5" s="2774">
        <v>70</v>
      </c>
      <c r="K5" s="2774">
        <v>60</v>
      </c>
      <c r="L5" s="2774">
        <v>15</v>
      </c>
      <c r="M5" s="2774">
        <v>25</v>
      </c>
      <c r="N5" s="2762">
        <v>40</v>
      </c>
      <c r="O5" s="2762">
        <v>50</v>
      </c>
      <c r="P5" s="2762">
        <v>40</v>
      </c>
      <c r="Q5" s="2762">
        <v>15</v>
      </c>
      <c r="R5" s="2762">
        <v>315</v>
      </c>
    </row>
    <row r="6" spans="1:18">
      <c r="A6" s="2763">
        <v>50</v>
      </c>
      <c r="B6" s="2760">
        <v>50028</v>
      </c>
      <c r="C6" s="2762">
        <f>ROUNDDOWN(MIN((B6-B3)/365,A6),2)</f>
        <v>12.91</v>
      </c>
      <c r="D6" s="2764">
        <f>IF(ISERROR(ROUND(POWER(1+E6,A6-C6)*(POWER(1+E6,C6)-1)/(POWER(1+E6,A6)-1),3)),0,ROUND(POWER(1+E6,A6-C6)*(POWER(1+E6,C6)-1)/(POWER(1+E6,A6)-1),4))</f>
        <v>0.46239999999999998</v>
      </c>
      <c r="E6" s="2765">
        <v>0.04</v>
      </c>
      <c r="F6" s="2758"/>
      <c r="I6" s="2774" t="s">
        <v>2583</v>
      </c>
      <c r="J6" s="2774">
        <v>60</v>
      </c>
      <c r="K6" s="2774">
        <v>50</v>
      </c>
      <c r="L6" s="2774">
        <v>10</v>
      </c>
      <c r="M6" s="2774">
        <v>20</v>
      </c>
      <c r="N6" s="2762">
        <v>35</v>
      </c>
      <c r="O6" s="2762">
        <v>40</v>
      </c>
      <c r="P6" s="2762">
        <v>30</v>
      </c>
      <c r="Q6" s="2762">
        <v>10</v>
      </c>
      <c r="R6" s="2762">
        <v>255</v>
      </c>
    </row>
    <row r="7" spans="1:18">
      <c r="A7" s="2763">
        <v>70</v>
      </c>
      <c r="B7" s="2760">
        <v>57333</v>
      </c>
      <c r="C7" s="2762">
        <f>ROUNDDOWN(MIN((B7-B3)/365,A7),2)</f>
        <v>32.92</v>
      </c>
      <c r="D7" s="2764">
        <f>IF(ISERROR(ROUND(POWER(1+E7,A7-C7)*(POWER(1+E7,C7)-1)/(POWER(1+E7,A7)-1),3)),0,ROUND(POWER(1+E7,A7-C7)*(POWER(1+E7,C7)-1)/(POWER(1+E7,A7)-1),4))</f>
        <v>0.77480000000000004</v>
      </c>
      <c r="E7" s="2765">
        <v>0.04</v>
      </c>
      <c r="F7" s="2758"/>
    </row>
    <row r="8" spans="1:18">
      <c r="A8" s="2756"/>
      <c r="B8" s="2757"/>
      <c r="C8" s="2757"/>
      <c r="D8" s="2757"/>
      <c r="E8" s="2757"/>
      <c r="F8" s="2758"/>
    </row>
    <row r="9" spans="1:18">
      <c r="A9" s="2759" t="s">
        <v>2507</v>
      </c>
      <c r="B9" s="2762"/>
      <c r="C9" s="2762"/>
      <c r="D9" s="2762"/>
      <c r="E9" s="2762"/>
      <c r="F9" s="2766"/>
    </row>
    <row r="10" spans="1:18">
      <c r="A10" s="2759" t="s">
        <v>2508</v>
      </c>
      <c r="B10" s="2762"/>
      <c r="C10" s="2762"/>
      <c r="D10" s="2762" t="s">
        <v>2506</v>
      </c>
      <c r="E10" s="2762"/>
      <c r="F10" s="2766" t="s">
        <v>2505</v>
      </c>
    </row>
    <row r="11" spans="1:18">
      <c r="A11" s="2759" t="s">
        <v>2509</v>
      </c>
      <c r="B11" s="2767">
        <v>70</v>
      </c>
      <c r="C11" s="2762" t="s">
        <v>2510</v>
      </c>
      <c r="D11" s="2767">
        <v>4.4999999999999998E-2</v>
      </c>
      <c r="E11" s="2762" t="s">
        <v>2511</v>
      </c>
      <c r="F11" s="2768">
        <f>ROUND(1-(1/(POWER(1+D11,B11))),4)</f>
        <v>0.95409999999999995</v>
      </c>
    </row>
    <row r="12" spans="1:18">
      <c r="A12" s="2759" t="s">
        <v>2512</v>
      </c>
      <c r="B12" s="2767">
        <v>40</v>
      </c>
      <c r="C12" s="2762" t="s">
        <v>2513</v>
      </c>
      <c r="D12" s="2767">
        <v>4.4999999999999998E-2</v>
      </c>
      <c r="E12" s="2762" t="s">
        <v>2514</v>
      </c>
      <c r="F12" s="2768">
        <f>ROUND(1-(1/(POWER(1+D12,B12))),4)</f>
        <v>0.82809999999999995</v>
      </c>
    </row>
    <row r="13" spans="1:18">
      <c r="A13" s="2759" t="s">
        <v>2515</v>
      </c>
      <c r="B13" s="2762"/>
      <c r="C13" s="2762"/>
      <c r="D13" s="2757"/>
      <c r="E13" s="2757"/>
      <c r="F13" s="2758"/>
    </row>
    <row r="14" spans="1:18">
      <c r="A14" s="2759" t="s">
        <v>2516</v>
      </c>
      <c r="B14" s="2767">
        <v>5000</v>
      </c>
      <c r="C14" s="2761"/>
      <c r="D14" s="2757"/>
      <c r="E14" s="2757"/>
      <c r="F14" s="2758"/>
    </row>
    <row r="15" spans="1:18">
      <c r="A15" s="2759" t="s">
        <v>2517</v>
      </c>
      <c r="B15" s="2762">
        <f>ROUND(B14*F12/F11,2)</f>
        <v>4339.6899999999996</v>
      </c>
      <c r="C15" s="2762">
        <f>ROUND(F12/F11,4)</f>
        <v>0.8679</v>
      </c>
      <c r="D15" s="2757"/>
      <c r="E15" s="2757"/>
      <c r="F15" s="2758"/>
    </row>
    <row r="16" spans="1:18">
      <c r="A16" s="2759" t="s">
        <v>2518</v>
      </c>
      <c r="B16" s="2762"/>
      <c r="C16" s="2762"/>
      <c r="D16" s="2757"/>
      <c r="E16" s="2757"/>
      <c r="F16" s="2758"/>
    </row>
    <row r="17" spans="1:13">
      <c r="A17" s="2759" t="s">
        <v>2517</v>
      </c>
      <c r="B17" s="2767">
        <v>4810</v>
      </c>
      <c r="C17" s="2761"/>
      <c r="D17" s="2757"/>
      <c r="E17" s="2757"/>
      <c r="F17" s="2758"/>
    </row>
    <row r="18" spans="1:13" ht="14.25" thickBot="1">
      <c r="A18" s="2769" t="s">
        <v>2516</v>
      </c>
      <c r="B18" s="2770">
        <f>ROUND(B17*F11/F12,2)</f>
        <v>5541.87</v>
      </c>
      <c r="C18" s="2770">
        <f>ROUND(F11/F12,4)</f>
        <v>1.1521999999999999</v>
      </c>
      <c r="D18" s="2771"/>
      <c r="E18" s="2771"/>
      <c r="F18" s="2772"/>
    </row>
    <row r="19" spans="1:13" ht="14.25" thickBot="1"/>
    <row r="20" spans="1:13" s="2805" customFormat="1" ht="14.25" thickTop="1">
      <c r="A20" s="2802" t="s">
        <v>2519</v>
      </c>
      <c r="B20" s="2803"/>
      <c r="C20" s="2803"/>
      <c r="D20" s="2803"/>
      <c r="E20" s="2803"/>
      <c r="F20" s="2803"/>
      <c r="G20" s="2804"/>
      <c r="I20" s="2806" t="s">
        <v>2564</v>
      </c>
      <c r="J20" s="2806" t="s">
        <v>2569</v>
      </c>
      <c r="K20" s="2806"/>
      <c r="L20" s="2806"/>
      <c r="M20" s="2806"/>
    </row>
    <row r="21" spans="1:13">
      <c r="A21" s="2773"/>
      <c r="B21" s="2774" t="s">
        <v>2520</v>
      </c>
      <c r="C21" s="2774" t="s">
        <v>2521</v>
      </c>
      <c r="D21" s="2774" t="s">
        <v>2522</v>
      </c>
      <c r="E21" s="2774" t="s">
        <v>2523</v>
      </c>
      <c r="F21" s="2774" t="s">
        <v>2524</v>
      </c>
      <c r="G21" s="2775" t="s">
        <v>2525</v>
      </c>
      <c r="I21" s="2796">
        <v>5</v>
      </c>
      <c r="J21" s="2796">
        <v>54.2</v>
      </c>
    </row>
    <row r="22" spans="1:13">
      <c r="A22" s="2773" t="s">
        <v>2526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2567</v>
      </c>
      <c r="M23" s="2796" t="s">
        <v>2568</v>
      </c>
    </row>
    <row r="24" spans="1:13">
      <c r="A24" s="2773" t="s">
        <v>2528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2566</v>
      </c>
      <c r="M24" s="2796">
        <v>10</v>
      </c>
    </row>
    <row r="25" spans="1:13">
      <c r="A25" s="2773" t="s">
        <v>2529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2570</v>
      </c>
      <c r="M25" s="2796">
        <v>8</v>
      </c>
    </row>
    <row r="26" spans="1:13">
      <c r="A26" s="2778"/>
      <c r="B26" s="2779"/>
      <c r="C26" s="2779"/>
      <c r="D26" s="2779"/>
      <c r="E26" s="2779"/>
      <c r="F26" s="2779"/>
      <c r="G26" s="2780"/>
      <c r="I26" s="2796">
        <v>30</v>
      </c>
      <c r="J26" s="2796">
        <v>90.5</v>
      </c>
      <c r="K26" s="2796">
        <f t="shared" si="2"/>
        <v>4.2000000000000028</v>
      </c>
      <c r="L26" s="2796" t="s">
        <v>2571</v>
      </c>
      <c r="M26" s="2796">
        <v>5</v>
      </c>
    </row>
    <row r="27" spans="1:13">
      <c r="A27" s="2778" t="s">
        <v>2530</v>
      </c>
      <c r="B27" s="2779"/>
      <c r="C27" s="2779"/>
      <c r="D27" s="2779"/>
      <c r="E27" s="2779"/>
      <c r="F27" s="2779"/>
      <c r="G27" s="2780"/>
      <c r="I27" s="2796">
        <v>35</v>
      </c>
      <c r="J27" s="2796">
        <v>93.8</v>
      </c>
      <c r="K27" s="2796">
        <f t="shared" si="2"/>
        <v>3.2999999999999972</v>
      </c>
      <c r="L27" s="2796" t="s">
        <v>2572</v>
      </c>
      <c r="M27" s="2796">
        <v>3</v>
      </c>
    </row>
    <row r="28" spans="1:13">
      <c r="A28" s="2778" t="s">
        <v>2531</v>
      </c>
      <c r="B28" s="2779"/>
      <c r="C28" s="2779"/>
      <c r="D28" s="2779"/>
      <c r="E28" s="2779"/>
      <c r="F28" s="2779"/>
      <c r="G28" s="2780"/>
      <c r="I28" s="2796">
        <v>40</v>
      </c>
      <c r="J28" s="2796">
        <v>96.4</v>
      </c>
      <c r="K28" s="2796">
        <f t="shared" si="2"/>
        <v>2.6000000000000085</v>
      </c>
      <c r="L28" s="2796" t="s">
        <v>2573</v>
      </c>
      <c r="M28" s="2796">
        <v>2</v>
      </c>
    </row>
    <row r="29" spans="1:13">
      <c r="A29" s="2778" t="s">
        <v>2532</v>
      </c>
      <c r="B29" s="2779"/>
      <c r="C29" s="2779"/>
      <c r="D29" s="2779"/>
      <c r="E29" s="2779"/>
      <c r="F29" s="2779"/>
      <c r="G29" s="2780"/>
      <c r="I29" s="2796">
        <v>45</v>
      </c>
      <c r="J29" s="2796">
        <v>98.4</v>
      </c>
      <c r="K29" s="2796">
        <f t="shared" si="2"/>
        <v>2</v>
      </c>
    </row>
    <row r="30" spans="1:13">
      <c r="A30" s="2778" t="s">
        <v>2533</v>
      </c>
      <c r="B30" s="2779"/>
      <c r="C30" s="2779"/>
      <c r="D30" s="2779"/>
      <c r="E30" s="2779"/>
      <c r="F30" s="2779"/>
      <c r="G30" s="2780"/>
      <c r="I30" s="2796">
        <v>50</v>
      </c>
      <c r="J30" s="2796">
        <v>100</v>
      </c>
      <c r="K30" s="2796">
        <f t="shared" si="2"/>
        <v>1.5999999999999943</v>
      </c>
    </row>
    <row r="31" spans="1:13">
      <c r="A31" s="2778" t="s">
        <v>2534</v>
      </c>
      <c r="B31" s="2779"/>
      <c r="C31" s="2779"/>
      <c r="D31" s="2779"/>
      <c r="E31" s="2779"/>
      <c r="F31" s="2779"/>
      <c r="G31" s="2780"/>
      <c r="I31" s="2796" t="s">
        <v>2565</v>
      </c>
    </row>
    <row r="32" spans="1:13">
      <c r="A32" s="2778" t="s">
        <v>2535</v>
      </c>
      <c r="B32" s="2779"/>
      <c r="C32" s="2779"/>
      <c r="D32" s="2779"/>
      <c r="E32" s="2779"/>
      <c r="F32" s="2779"/>
      <c r="G32" s="2780"/>
    </row>
    <row r="33" spans="1:13">
      <c r="A33" s="2778" t="s">
        <v>2536</v>
      </c>
      <c r="B33" s="2779"/>
      <c r="C33" s="2779"/>
      <c r="D33" s="2779"/>
      <c r="E33" s="2779"/>
      <c r="F33" s="2779"/>
      <c r="G33" s="2780"/>
      <c r="I33" s="2796" t="s">
        <v>2564</v>
      </c>
      <c r="J33" s="2796" t="s">
        <v>2574</v>
      </c>
    </row>
    <row r="34" spans="1:13">
      <c r="A34" s="2778" t="s">
        <v>2537</v>
      </c>
      <c r="B34" s="2779"/>
      <c r="C34" s="2779"/>
      <c r="D34" s="2779"/>
      <c r="E34" s="2779"/>
      <c r="F34" s="2779"/>
      <c r="G34" s="2780"/>
      <c r="I34" s="2796">
        <v>5</v>
      </c>
      <c r="J34" s="2796">
        <v>55.1</v>
      </c>
    </row>
    <row r="35" spans="1:13">
      <c r="A35" s="2778" t="s">
        <v>2538</v>
      </c>
      <c r="B35" s="2779"/>
      <c r="C35" s="2779"/>
      <c r="D35" s="2779"/>
      <c r="E35" s="2779"/>
      <c r="F35" s="2779"/>
      <c r="G35" s="2780"/>
      <c r="I35" s="2796">
        <v>10</v>
      </c>
      <c r="J35" s="2796">
        <v>67</v>
      </c>
      <c r="K35" s="2796">
        <f>J35-J34</f>
        <v>11.899999999999999</v>
      </c>
    </row>
    <row r="36" spans="1:13">
      <c r="A36" s="2778" t="s">
        <v>2539</v>
      </c>
      <c r="B36" s="2779"/>
      <c r="C36" s="2779"/>
      <c r="D36" s="2779"/>
      <c r="E36" s="2779"/>
      <c r="F36" s="2779"/>
      <c r="G36" s="2780"/>
      <c r="I36" s="2796">
        <v>15</v>
      </c>
      <c r="J36" s="2796">
        <v>76.3</v>
      </c>
      <c r="K36" s="2796">
        <f t="shared" ref="K36:K41" si="3">J36-J35</f>
        <v>9.2999999999999972</v>
      </c>
      <c r="L36" s="2796" t="s">
        <v>2567</v>
      </c>
      <c r="M36" s="2796" t="s">
        <v>2568</v>
      </c>
    </row>
    <row r="37" spans="1:13">
      <c r="A37" s="2778" t="s">
        <v>2540</v>
      </c>
      <c r="B37" s="2779"/>
      <c r="C37" s="2779"/>
      <c r="D37" s="2779"/>
      <c r="E37" s="2779"/>
      <c r="F37" s="2779"/>
      <c r="G37" s="2780"/>
      <c r="I37" s="2796">
        <v>20</v>
      </c>
      <c r="J37" s="2796">
        <v>83.6</v>
      </c>
      <c r="K37" s="2796">
        <f t="shared" si="3"/>
        <v>7.2999999999999972</v>
      </c>
      <c r="L37" s="2796" t="s">
        <v>2566</v>
      </c>
      <c r="M37" s="2796">
        <v>10</v>
      </c>
    </row>
    <row r="38" spans="1:13">
      <c r="A38" s="2778" t="s">
        <v>2541</v>
      </c>
      <c r="B38" s="2779"/>
      <c r="C38" s="2779"/>
      <c r="D38" s="2779"/>
      <c r="E38" s="2779"/>
      <c r="F38" s="2779"/>
      <c r="G38" s="2780"/>
      <c r="I38" s="2796">
        <v>25</v>
      </c>
      <c r="J38" s="2796">
        <v>89.3</v>
      </c>
      <c r="K38" s="2796">
        <f t="shared" si="3"/>
        <v>5.7000000000000028</v>
      </c>
      <c r="L38" s="2796" t="s">
        <v>2570</v>
      </c>
      <c r="M38" s="2796">
        <v>8</v>
      </c>
    </row>
    <row r="39" spans="1:13">
      <c r="A39" s="2778"/>
      <c r="B39" s="2779"/>
      <c r="C39" s="2779"/>
      <c r="D39" s="2779"/>
      <c r="E39" s="2779"/>
      <c r="F39" s="2779"/>
      <c r="G39" s="2780"/>
      <c r="I39" s="2796">
        <v>30</v>
      </c>
      <c r="J39" s="2796">
        <v>93.8</v>
      </c>
      <c r="K39" s="2796">
        <f t="shared" si="3"/>
        <v>4.5</v>
      </c>
      <c r="L39" s="2796" t="s">
        <v>2571</v>
      </c>
      <c r="M39" s="2796">
        <v>6</v>
      </c>
    </row>
    <row r="40" spans="1:13">
      <c r="A40" s="2781" t="s">
        <v>2542</v>
      </c>
      <c r="B40" s="2782"/>
      <c r="C40" s="2782"/>
      <c r="D40" s="2782"/>
      <c r="E40" s="2782"/>
      <c r="F40" s="2782"/>
      <c r="G40" s="2783"/>
      <c r="I40" s="2796">
        <v>35</v>
      </c>
      <c r="J40" s="2796">
        <v>97.2</v>
      </c>
      <c r="K40" s="2796">
        <f t="shared" si="3"/>
        <v>3.4000000000000057</v>
      </c>
      <c r="L40" s="2796" t="s">
        <v>2572</v>
      </c>
      <c r="M40" s="2796">
        <v>3</v>
      </c>
    </row>
    <row r="41" spans="1:13">
      <c r="A41" s="2784" t="s">
        <v>2543</v>
      </c>
      <c r="B41" s="2785" t="s">
        <v>2544</v>
      </c>
      <c r="C41" s="2786" t="s">
        <v>2545</v>
      </c>
      <c r="D41" s="2786" t="s">
        <v>2546</v>
      </c>
      <c r="E41" s="2787"/>
      <c r="F41" s="2788"/>
      <c r="G41" s="2789"/>
      <c r="I41" s="2796">
        <v>40</v>
      </c>
      <c r="J41" s="2796">
        <v>100</v>
      </c>
      <c r="K41" s="2796">
        <f t="shared" si="3"/>
        <v>2.7999999999999972</v>
      </c>
    </row>
    <row r="42" spans="1:13">
      <c r="A42" s="2784" t="s">
        <v>2547</v>
      </c>
      <c r="B42" s="2785" t="s">
        <v>2548</v>
      </c>
      <c r="C42" s="2786" t="s">
        <v>2549</v>
      </c>
      <c r="D42" s="2790" t="s">
        <v>2550</v>
      </c>
      <c r="E42" s="2782" t="s">
        <v>2551</v>
      </c>
      <c r="F42" s="2782"/>
      <c r="G42" s="2783"/>
    </row>
    <row r="43" spans="1:13">
      <c r="A43" s="2784" t="s">
        <v>2552</v>
      </c>
      <c r="B43" s="2785" t="s">
        <v>2553</v>
      </c>
      <c r="C43" s="2786" t="s">
        <v>2554</v>
      </c>
      <c r="D43" s="2786" t="s">
        <v>2555</v>
      </c>
      <c r="E43" s="2787" t="s">
        <v>2556</v>
      </c>
      <c r="F43" s="2788"/>
      <c r="G43" s="2789"/>
      <c r="I43" s="2796" t="s">
        <v>2564</v>
      </c>
      <c r="J43" s="2796" t="s">
        <v>2575</v>
      </c>
    </row>
    <row r="44" spans="1:13">
      <c r="A44" s="2784" t="s">
        <v>2557</v>
      </c>
      <c r="B44" s="2785" t="s">
        <v>2558</v>
      </c>
      <c r="C44" s="2786" t="s">
        <v>2559</v>
      </c>
      <c r="D44" s="2790">
        <v>0.5</v>
      </c>
      <c r="E44" s="2787" t="s">
        <v>2560</v>
      </c>
      <c r="F44" s="2788"/>
      <c r="G44" s="2789"/>
      <c r="I44" s="2796">
        <v>30</v>
      </c>
      <c r="J44" s="2796">
        <v>81.7</v>
      </c>
    </row>
    <row r="45" spans="1:13" ht="14.25" thickBot="1">
      <c r="A45" s="2791" t="s">
        <v>2561</v>
      </c>
      <c r="B45" s="2792" t="s">
        <v>2548</v>
      </c>
      <c r="C45" s="2793" t="s">
        <v>2548</v>
      </c>
      <c r="D45" s="2793" t="s">
        <v>2562</v>
      </c>
      <c r="E45" s="2794" t="s">
        <v>2563</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2165</v>
      </c>
      <c r="B1" s="3227" t="str">
        <f>IF(B10="北京市","北京市",C10)&amp;F10&amp;IF(结果表!G1="在建","出让国有建设用地使用权及在建建筑物",IF(结果表!G1="土地","出让国有建设用地使用权",))&amp;B9&amp;"预评估"</f>
        <v>北京市延庆县康庄镇康祥路11号1-6幢工业用房房地产抵押价值预评估</v>
      </c>
      <c r="C1" s="3228"/>
      <c r="D1" s="3228"/>
      <c r="E1" s="3228"/>
      <c r="F1" s="3228"/>
      <c r="G1" s="3228"/>
      <c r="H1" s="3228"/>
      <c r="I1" s="3229"/>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北京市延庆县康庄镇康祥路11号1-6幢工业用房房地产抵押价值</v>
      </c>
      <c r="T1" s="1617"/>
      <c r="U1" s="1617"/>
      <c r="V1" s="1617"/>
      <c r="W1" s="1617"/>
      <c r="X1" s="1617"/>
      <c r="Y1" s="1617"/>
      <c r="Z1" s="1617"/>
      <c r="AA1" s="1617"/>
      <c r="AB1" s="1617"/>
    </row>
    <row r="2" spans="1:30">
      <c r="A2" s="2181" t="s">
        <v>2166</v>
      </c>
      <c r="B2" s="121"/>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北京市延庆县康庄镇康祥路11号1-6幢工业用房房地产</v>
      </c>
      <c r="T2" s="1617"/>
      <c r="U2" s="1617"/>
      <c r="V2" s="1617"/>
      <c r="W2" s="1617"/>
      <c r="X2" s="1617"/>
      <c r="Y2" s="1617"/>
      <c r="Z2" s="1617"/>
      <c r="AA2" s="1617"/>
      <c r="AB2" s="1617"/>
    </row>
    <row r="3" spans="1:30">
      <c r="A3" s="293" t="s">
        <v>2167</v>
      </c>
      <c r="B3" s="2184">
        <v>45315</v>
      </c>
      <c r="C3" s="2185" t="s">
        <v>2168</v>
      </c>
      <c r="D3" s="2184">
        <f>B3</f>
        <v>45315</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5" thickBot="1">
      <c r="A4" s="1026" t="s">
        <v>2169</v>
      </c>
      <c r="B4" s="2186" t="s">
        <v>3548</v>
      </c>
      <c r="C4" s="2187">
        <f ca="1">SUMIF(注册房地产估价师,B4,估价师及机构信息!B3:B24)</f>
        <v>1419970001</v>
      </c>
      <c r="D4" s="2186" t="s">
        <v>3549</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2"/>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2170</v>
      </c>
      <c r="B5" s="3141"/>
      <c r="C5" s="2190"/>
      <c r="D5" s="2191"/>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2171</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2172</v>
      </c>
      <c r="B7" s="3174"/>
      <c r="C7" s="2194"/>
      <c r="D7" s="2195"/>
      <c r="E7" s="2438"/>
      <c r="F7" s="2439"/>
      <c r="G7" s="2439"/>
      <c r="H7" s="2439"/>
      <c r="I7" s="2439"/>
      <c r="J7" s="2242"/>
      <c r="K7" s="2399"/>
      <c r="L7" s="2396"/>
      <c r="M7" s="2396"/>
      <c r="N7" s="2242"/>
      <c r="O7" s="1669"/>
      <c r="P7" s="2242"/>
      <c r="Q7" s="2242"/>
      <c r="R7" s="2242"/>
    </row>
    <row r="8" spans="1:30">
      <c r="A8" s="2196" t="s">
        <v>2173</v>
      </c>
      <c r="B8" s="2197" t="s">
        <v>3377</v>
      </c>
      <c r="C8" s="2198"/>
      <c r="D8" s="3230" t="s">
        <v>2174</v>
      </c>
      <c r="E8" s="2199" t="s">
        <v>3378</v>
      </c>
      <c r="F8" s="2200"/>
      <c r="G8" s="2439"/>
      <c r="H8" s="2439"/>
      <c r="I8" s="2439"/>
      <c r="J8" s="2242"/>
      <c r="K8" s="2397"/>
      <c r="L8" s="2396"/>
      <c r="M8" s="2396"/>
      <c r="N8" s="2242"/>
      <c r="O8" s="1669"/>
      <c r="P8" s="2242"/>
      <c r="Q8" s="2242"/>
      <c r="R8" s="2242"/>
    </row>
    <row r="9" spans="1:30" ht="13.5" thickBot="1">
      <c r="A9" s="2201" t="s">
        <v>2175</v>
      </c>
      <c r="B9" s="2202" t="s">
        <v>3378</v>
      </c>
      <c r="C9" s="2203"/>
      <c r="D9" s="3231"/>
      <c r="E9" s="2202"/>
      <c r="F9" s="2204"/>
      <c r="G9" s="2440"/>
      <c r="H9" s="2440"/>
      <c r="I9" s="2440"/>
      <c r="J9" s="2242"/>
      <c r="K9" s="2399"/>
      <c r="L9" s="2396"/>
      <c r="M9" s="2396"/>
      <c r="N9" s="2242"/>
      <c r="O9" s="1669"/>
      <c r="P9" s="2242"/>
      <c r="Q9" s="2242"/>
      <c r="R9" s="2242"/>
    </row>
    <row r="10" spans="1:30" ht="13.5" thickTop="1">
      <c r="A10" s="2205" t="s">
        <v>2176</v>
      </c>
      <c r="B10" s="2206" t="s">
        <v>3379</v>
      </c>
      <c r="C10" s="2207"/>
      <c r="D10" s="2191"/>
      <c r="E10" s="2208" t="s">
        <v>2177</v>
      </c>
      <c r="F10" s="3157" t="s">
        <v>3533</v>
      </c>
      <c r="G10" s="2441"/>
      <c r="H10" s="2442"/>
      <c r="I10" s="2443"/>
      <c r="J10" s="2242"/>
      <c r="K10" s="2399"/>
      <c r="L10" s="2396"/>
      <c r="M10" s="2396"/>
      <c r="N10" s="2242"/>
      <c r="O10" s="1669"/>
      <c r="P10" s="2242"/>
      <c r="Q10" s="2242"/>
      <c r="R10" s="2242"/>
    </row>
    <row r="11" spans="1:30">
      <c r="A11" s="2209" t="s">
        <v>2178</v>
      </c>
      <c r="B11" s="2210" t="s">
        <v>3448</v>
      </c>
      <c r="C11" s="2211"/>
      <c r="D11" s="2212"/>
      <c r="E11" s="2181"/>
      <c r="F11" s="2181"/>
      <c r="G11" s="2181"/>
      <c r="H11" s="2181"/>
      <c r="I11" s="2181"/>
      <c r="J11" s="2798"/>
      <c r="K11" s="2396"/>
      <c r="L11" s="2396"/>
      <c r="M11" s="2396"/>
      <c r="N11" s="2242"/>
      <c r="O11" s="1669"/>
      <c r="P11" s="2242"/>
      <c r="Q11" s="2242"/>
      <c r="R11" s="2242"/>
    </row>
    <row r="12" spans="1:30">
      <c r="A12" s="2213" t="s">
        <v>2179</v>
      </c>
      <c r="B12" s="314" t="s">
        <v>2180</v>
      </c>
      <c r="C12" s="2214" t="s">
        <v>2181</v>
      </c>
      <c r="D12" s="2214" t="s">
        <v>2182</v>
      </c>
      <c r="E12" s="2214" t="s">
        <v>2183</v>
      </c>
      <c r="F12" s="2214" t="s">
        <v>2184</v>
      </c>
      <c r="G12" s="2214" t="s">
        <v>2185</v>
      </c>
      <c r="H12" s="2214" t="s">
        <v>2186</v>
      </c>
      <c r="I12" s="2797" t="s">
        <v>2576</v>
      </c>
      <c r="J12" s="2799"/>
      <c r="K12" s="2396"/>
      <c r="L12" s="2396"/>
      <c r="M12" s="2242"/>
      <c r="N12" s="1669"/>
      <c r="O12" s="2242"/>
      <c r="P12" s="2242"/>
      <c r="Q12" s="2242"/>
      <c r="AD12" s="1617"/>
    </row>
    <row r="13" spans="1:30">
      <c r="A13" s="3118" t="s">
        <v>3331</v>
      </c>
      <c r="B13" s="2215" t="s">
        <v>2187</v>
      </c>
      <c r="C13" s="802"/>
      <c r="D13" s="802"/>
      <c r="E13" s="802"/>
      <c r="F13" s="802"/>
      <c r="G13" s="802"/>
      <c r="H13" s="802">
        <v>55598</v>
      </c>
      <c r="I13" s="802"/>
      <c r="J13" s="2799"/>
      <c r="K13" s="2396"/>
      <c r="L13" s="2396"/>
      <c r="M13" s="2242"/>
      <c r="N13" s="1669"/>
      <c r="O13" s="2242"/>
      <c r="P13" s="2242"/>
      <c r="Q13" s="2242"/>
      <c r="AD13" s="1617"/>
    </row>
    <row r="14" spans="1:30">
      <c r="A14" s="1017"/>
      <c r="B14" s="2215" t="s">
        <v>2188</v>
      </c>
      <c r="C14" s="2216"/>
      <c r="D14" s="2216"/>
      <c r="E14" s="2216"/>
      <c r="F14" s="2216"/>
      <c r="G14" s="2216"/>
      <c r="H14" s="2216">
        <v>50</v>
      </c>
      <c r="I14" s="2216"/>
      <c r="J14" s="2800"/>
      <c r="K14" s="2396"/>
      <c r="L14" s="2396"/>
      <c r="M14" s="2242"/>
      <c r="N14" s="1669"/>
      <c r="O14" s="2242"/>
      <c r="P14" s="2242"/>
      <c r="Q14" s="2242"/>
      <c r="AD14" s="1617"/>
    </row>
    <row r="15" spans="1:30">
      <c r="A15" s="311"/>
      <c r="B15" s="2217" t="s">
        <v>2189</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28.17</v>
      </c>
      <c r="I15" s="2218" t="str">
        <f>IF(A13="出让",IF(I13="","",ROUNDDOWN(MIN((I13-$D$3)/365,I14),2)),I14)</f>
        <v/>
      </c>
      <c r="J15" s="2801"/>
      <c r="K15" s="1669"/>
      <c r="L15" s="1669"/>
      <c r="M15" s="2242"/>
      <c r="N15" s="1669"/>
      <c r="O15" s="2242"/>
      <c r="P15" s="2242"/>
      <c r="Q15" s="2242"/>
      <c r="AD15" s="1617"/>
    </row>
    <row r="16" spans="1:30">
      <c r="A16" s="2208" t="s">
        <v>2190</v>
      </c>
      <c r="B16" s="3237"/>
      <c r="C16" s="3238"/>
      <c r="D16" s="3239"/>
      <c r="E16" s="2219" t="s">
        <v>2191</v>
      </c>
      <c r="F16" s="3240"/>
      <c r="G16" s="3241"/>
      <c r="H16" s="3241"/>
      <c r="I16" s="3242"/>
      <c r="J16" s="2242"/>
      <c r="K16" s="2400"/>
      <c r="L16" s="1669"/>
      <c r="M16" s="1669"/>
      <c r="N16" s="2242"/>
      <c r="O16" s="1669"/>
      <c r="P16" s="2242"/>
      <c r="Q16" s="2242"/>
      <c r="R16" s="2242"/>
    </row>
    <row r="17" spans="1:28">
      <c r="A17" s="304" t="s">
        <v>2192</v>
      </c>
      <c r="B17" s="293" t="s">
        <v>2193</v>
      </c>
      <c r="C17" s="8">
        <f>'数据-汇总表'!E3</f>
        <v>7170.4100000000008</v>
      </c>
      <c r="D17" s="1255" t="s">
        <v>2194</v>
      </c>
      <c r="E17" s="3243" t="s">
        <v>2195</v>
      </c>
      <c r="F17" s="3244"/>
      <c r="G17" s="3244"/>
      <c r="H17" s="3244"/>
      <c r="I17" s="3245"/>
      <c r="J17" s="2242"/>
      <c r="K17" s="2401"/>
      <c r="L17" s="1669"/>
      <c r="M17" s="1669"/>
      <c r="N17" s="2242"/>
      <c r="O17" s="1669"/>
      <c r="P17" s="2242"/>
      <c r="Q17" s="2242"/>
      <c r="R17" s="2242"/>
      <c r="S17" s="2242"/>
      <c r="T17" s="2242"/>
      <c r="U17" s="2242"/>
      <c r="V17" s="2242"/>
    </row>
    <row r="18" spans="1:28" ht="24.75" thickBot="1">
      <c r="A18" s="2220" t="s">
        <v>2196</v>
      </c>
      <c r="B18" s="1026" t="s">
        <v>2197</v>
      </c>
      <c r="C18" s="2221">
        <f>'数据-汇总表'!D3</f>
        <v>14571.48</v>
      </c>
      <c r="D18" s="1028" t="s">
        <v>2198</v>
      </c>
      <c r="E18" s="3246" t="s">
        <v>2199</v>
      </c>
      <c r="F18" s="3247"/>
      <c r="G18" s="3247"/>
      <c r="H18" s="3247"/>
      <c r="I18" s="3248"/>
      <c r="J18" s="2242"/>
      <c r="K18" s="2401"/>
      <c r="L18" s="1669"/>
      <c r="M18" s="1669"/>
      <c r="N18" s="2242"/>
      <c r="O18" s="1669"/>
      <c r="P18" s="2242"/>
      <c r="Q18" s="2242"/>
      <c r="R18" s="2242"/>
      <c r="S18" s="2242"/>
      <c r="T18" s="2242"/>
      <c r="U18" s="2242"/>
      <c r="V18" s="2242"/>
    </row>
    <row r="19" spans="1:28" ht="37.5" thickTop="1" thickBot="1">
      <c r="A19" s="318" t="s">
        <v>1055</v>
      </c>
      <c r="B19" s="298" t="s">
        <v>2200</v>
      </c>
      <c r="C19" s="1454"/>
      <c r="D19" s="1455" t="s">
        <v>2201</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2202</v>
      </c>
      <c r="B20" s="3233" t="s">
        <v>2203</v>
      </c>
      <c r="C20" s="3234"/>
      <c r="D20" s="3235" t="s">
        <v>2204</v>
      </c>
      <c r="E20" s="3236"/>
      <c r="F20" s="2427" t="s">
        <v>1056</v>
      </c>
      <c r="G20" s="2439"/>
      <c r="H20" s="2439"/>
      <c r="I20" s="2439"/>
      <c r="J20" s="2242"/>
      <c r="K20" s="3232"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2206</v>
      </c>
      <c r="C21" s="2293" t="s">
        <v>1057</v>
      </c>
      <c r="D21" s="1459" t="s">
        <v>2207</v>
      </c>
      <c r="E21" s="2416" t="s">
        <v>1057</v>
      </c>
      <c r="F21" s="2428"/>
      <c r="G21" s="2439"/>
      <c r="H21" s="2439"/>
      <c r="I21" s="2439"/>
      <c r="J21" s="2242"/>
      <c r="K21" s="323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2208</v>
      </c>
      <c r="C22" s="2293" t="s">
        <v>1058</v>
      </c>
      <c r="D22" s="2439"/>
      <c r="E22" s="2439"/>
      <c r="F22" s="2439"/>
      <c r="G22" s="2439"/>
      <c r="H22" s="2439"/>
      <c r="I22" s="2439"/>
      <c r="J22" s="2242"/>
      <c r="K22" s="323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2209</v>
      </c>
      <c r="B23" s="2290" t="s">
        <v>2210</v>
      </c>
      <c r="C23" s="2419"/>
      <c r="D23" s="2420" t="s">
        <v>2210</v>
      </c>
      <c r="E23" s="2421"/>
      <c r="F23" s="2439"/>
      <c r="G23" s="2439"/>
      <c r="H23" s="2439"/>
      <c r="I23" s="2439"/>
      <c r="J23" s="2242"/>
      <c r="K23" s="2398"/>
      <c r="L23" s="120"/>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50" t="s">
        <v>2211</v>
      </c>
      <c r="B27" s="311" t="s">
        <v>2212</v>
      </c>
      <c r="C27" s="2222" t="s">
        <v>3483</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50"/>
      <c r="B28" s="293" t="s">
        <v>2213</v>
      </c>
      <c r="C28" s="2224" t="s">
        <v>3380</v>
      </c>
      <c r="D28" s="2225"/>
      <c r="E28" s="2439"/>
      <c r="F28" s="2439"/>
      <c r="G28" s="2439"/>
      <c r="H28" s="2439"/>
      <c r="I28" s="2439"/>
      <c r="J28" s="2242"/>
      <c r="K28" s="2399"/>
      <c r="L28" s="2396"/>
      <c r="M28" s="2396"/>
      <c r="N28" s="2242"/>
      <c r="O28" s="1669"/>
      <c r="P28" s="2242"/>
      <c r="Q28" s="2242"/>
      <c r="R28" s="2242"/>
      <c r="S28" s="2242"/>
      <c r="T28" s="2242"/>
      <c r="U28" s="2242"/>
      <c r="V28" s="2242"/>
    </row>
    <row r="29" spans="1:28">
      <c r="A29" s="3250"/>
      <c r="B29" s="293" t="s">
        <v>2214</v>
      </c>
      <c r="C29" s="2226" t="s">
        <v>3381</v>
      </c>
      <c r="D29" s="2227"/>
      <c r="E29" s="2439"/>
      <c r="F29" s="2439"/>
      <c r="G29" s="2439"/>
      <c r="H29" s="2439"/>
      <c r="I29" s="2439"/>
      <c r="J29" s="2242"/>
      <c r="K29" s="2399"/>
      <c r="L29" s="2396"/>
      <c r="M29" s="2396"/>
      <c r="N29" s="2242"/>
      <c r="O29" s="1669"/>
      <c r="P29" s="2242"/>
      <c r="Q29" s="2242"/>
      <c r="R29" s="2242"/>
      <c r="S29" s="2242"/>
      <c r="T29" s="2242"/>
      <c r="U29" s="2242"/>
      <c r="V29" s="2242"/>
    </row>
    <row r="30" spans="1:28">
      <c r="A30" s="3251"/>
      <c r="B30" s="293" t="s">
        <v>2215</v>
      </c>
      <c r="C30" s="3252"/>
      <c r="D30" s="3253"/>
      <c r="E30" s="2439"/>
      <c r="F30" s="2439"/>
      <c r="G30" s="2439"/>
      <c r="H30" s="2439"/>
      <c r="I30" s="2439"/>
      <c r="J30" s="2242"/>
      <c r="K30" s="2399"/>
      <c r="L30" s="2396"/>
      <c r="M30" s="2396"/>
      <c r="N30" s="2242"/>
      <c r="O30" s="1669"/>
      <c r="P30" s="2242"/>
      <c r="Q30" s="2242"/>
      <c r="R30" s="2242"/>
      <c r="S30" s="2242"/>
      <c r="T30" s="2242"/>
      <c r="U30" s="2242"/>
      <c r="V30" s="2242"/>
    </row>
    <row r="31" spans="1:28">
      <c r="A31" s="3254" t="s">
        <v>2216</v>
      </c>
      <c r="B31" s="2228" t="s">
        <v>3382</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55"/>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55"/>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2217</v>
      </c>
      <c r="B34" s="1869" t="s">
        <v>3383</v>
      </c>
      <c r="C34" s="1869" t="s">
        <v>3384</v>
      </c>
      <c r="D34" s="1869" t="s">
        <v>3385</v>
      </c>
      <c r="E34" s="1869" t="s">
        <v>3386</v>
      </c>
      <c r="F34" s="1869" t="s">
        <v>3387</v>
      </c>
      <c r="G34" s="1869" t="s">
        <v>3388</v>
      </c>
      <c r="H34" s="1869" t="s">
        <v>3389</v>
      </c>
      <c r="I34" s="2439"/>
      <c r="J34" s="2242"/>
      <c r="K34" s="8">
        <f>COUNTIF(B34:H34,"——")</f>
        <v>0</v>
      </c>
      <c r="L34" s="314" t="s">
        <v>2218</v>
      </c>
      <c r="M34" s="314" t="s">
        <v>2219</v>
      </c>
      <c r="N34" s="314" t="s">
        <v>2220</v>
      </c>
      <c r="O34" s="314" t="s">
        <v>2221</v>
      </c>
      <c r="P34" s="314" t="s">
        <v>2222</v>
      </c>
      <c r="Q34" s="314" t="s">
        <v>2223</v>
      </c>
      <c r="R34" s="314" t="s">
        <v>2224</v>
      </c>
      <c r="S34" s="3249" t="s">
        <v>2225</v>
      </c>
      <c r="T34" s="314" t="str">
        <f>NUMBERSTRING(7-K34,1)&amp;"通"</f>
        <v>七通</v>
      </c>
      <c r="U34" s="2242"/>
      <c r="V34" s="2242"/>
    </row>
    <row r="35" spans="1:30">
      <c r="A35" s="2233"/>
      <c r="B35" s="3249" t="s">
        <v>2226</v>
      </c>
      <c r="C35" s="3249"/>
      <c r="D35" s="3249"/>
      <c r="E35" s="3249"/>
      <c r="F35" s="8">
        <f>C10</f>
        <v>0</v>
      </c>
      <c r="G35" s="2439"/>
      <c r="H35" s="2439"/>
      <c r="I35" s="2439"/>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通路、通电、通讯、通上水、通下水、通热</v>
      </c>
      <c r="R35" s="137" t="str">
        <f>B34&amp;"、"&amp;C34&amp;"、"&amp;D34&amp;"、"&amp;E34&amp;"、"&amp;F34&amp;"、"&amp;G34&amp;"、"&amp;H34</f>
        <v>通路、通电、通讯、通上水、通下水、通热、燃气</v>
      </c>
      <c r="S35" s="3249"/>
      <c r="T35" s="137" t="str">
        <f>IF(T34="一通",L35,IF(T34="二通",M35,IF(T34="三通",N35,IF(T34="四通",O35,IF(T34="五通",P35,IF(T34="六通",Q35,R35))))))</f>
        <v>通路、通电、通讯、通上水、通下水、通热、燃气</v>
      </c>
      <c r="U35" s="2242"/>
      <c r="V35" s="2242"/>
    </row>
    <row r="36" spans="1:30">
      <c r="A36" s="2182"/>
      <c r="B36" s="8" t="s">
        <v>2182</v>
      </c>
      <c r="C36" s="8" t="s">
        <v>2183</v>
      </c>
      <c r="D36" s="8" t="s">
        <v>2181</v>
      </c>
      <c r="E36" s="8" t="s">
        <v>2186</v>
      </c>
      <c r="F36" s="2797" t="s">
        <v>2579</v>
      </c>
      <c r="G36" s="2439"/>
      <c r="H36" s="2439"/>
      <c r="I36" s="2439"/>
      <c r="J36" s="2242"/>
      <c r="K36" s="2399"/>
      <c r="L36" s="2396"/>
      <c r="M36" s="2396"/>
      <c r="N36" s="2242"/>
      <c r="O36" s="1669"/>
      <c r="P36" s="2242"/>
      <c r="Q36" s="2242"/>
      <c r="R36" s="2242"/>
      <c r="S36" s="2242"/>
      <c r="T36" s="2242"/>
      <c r="U36" s="2242"/>
      <c r="V36" s="2242"/>
    </row>
    <row r="37" spans="1:30">
      <c r="A37" s="2412" t="s">
        <v>2227</v>
      </c>
      <c r="B37" s="2234"/>
      <c r="C37" s="2234"/>
      <c r="D37" s="2234"/>
      <c r="E37" s="2234" t="s">
        <v>307</v>
      </c>
      <c r="F37" s="2234"/>
      <c r="G37" s="2439"/>
      <c r="H37" s="2439"/>
      <c r="I37" s="2439"/>
      <c r="J37" s="2242"/>
      <c r="K37" s="2399"/>
      <c r="L37" s="2396"/>
      <c r="M37" s="2396"/>
      <c r="N37" s="2242"/>
      <c r="O37" s="1669"/>
      <c r="P37" s="2242"/>
      <c r="Q37" s="2242"/>
      <c r="R37" s="2242"/>
      <c r="S37" s="2242"/>
      <c r="T37" s="2242"/>
      <c r="U37" s="2242"/>
      <c r="V37" s="2242"/>
    </row>
    <row r="38" spans="1:30" ht="13.5" thickBot="1">
      <c r="A38" s="2413" t="s">
        <v>2228</v>
      </c>
      <c r="B38" s="2235"/>
      <c r="C38" s="2235"/>
      <c r="D38" s="2235"/>
      <c r="E38" s="2235" t="s">
        <v>2969</v>
      </c>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2229</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2230</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5">
      <c r="A42" s="314" t="s">
        <v>2231</v>
      </c>
      <c r="B42" s="8" t="s">
        <v>2232</v>
      </c>
      <c r="C42" s="8" t="s">
        <v>2233</v>
      </c>
      <c r="D42" s="8" t="s">
        <v>2234</v>
      </c>
      <c r="E42" s="8" t="s">
        <v>2235</v>
      </c>
      <c r="F42" s="8" t="s">
        <v>2236</v>
      </c>
      <c r="G42" s="8" t="s">
        <v>2237</v>
      </c>
      <c r="H42" s="8" t="s">
        <v>2238</v>
      </c>
      <c r="I42" s="8" t="s">
        <v>2239</v>
      </c>
      <c r="J42" s="2408" t="s">
        <v>2240</v>
      </c>
      <c r="K42" s="2409" t="s">
        <v>2241</v>
      </c>
      <c r="L42" s="2409" t="s">
        <v>2242</v>
      </c>
      <c r="M42" s="2409" t="s">
        <v>2243</v>
      </c>
      <c r="N42" s="2402" t="s">
        <v>2244</v>
      </c>
      <c r="O42" s="2402" t="s">
        <v>2245</v>
      </c>
      <c r="P42" s="2402" t="s">
        <v>2246</v>
      </c>
      <c r="Q42" s="2403" t="s">
        <v>2247</v>
      </c>
      <c r="R42" s="2403" t="s">
        <v>2248</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14571.48</v>
      </c>
      <c r="B3" s="11">
        <f>IF(C3="否",G5-AT5,G5)</f>
        <v>7170.4100000000008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7170.4100000000008</v>
      </c>
      <c r="H5" s="13">
        <f t="shared" ref="H5:AT5" si="0">SUM(H13:H656)</f>
        <v>7170.4100000000008</v>
      </c>
      <c r="I5" s="13">
        <f t="shared" si="0"/>
        <v>7170.4100000000008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7170.4100000000008</v>
      </c>
      <c r="BA5" s="15">
        <f t="shared" si="1"/>
        <v>7170.4100000000008</v>
      </c>
      <c r="BB5" s="15">
        <f t="shared" si="1"/>
        <v>7170.4100000000008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14571.48</v>
      </c>
      <c r="F6" s="13" t="s">
        <v>0</v>
      </c>
      <c r="G6" s="13" t="s">
        <v>1</v>
      </c>
      <c r="H6" s="17">
        <f>SUMIF(I$12:AB$12,"总值",I6:AB6)</f>
        <v>14571.48</v>
      </c>
      <c r="I6" s="13">
        <f t="shared" ref="I6:AB6" si="2">ROUND($A$3*I5/$B$3,2)</f>
        <v>14571.48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14571.48</v>
      </c>
      <c r="AZ6" s="13" t="s">
        <v>2</v>
      </c>
      <c r="BA6" s="13">
        <f>ROUND($AY$6*BA5/$AZ$5,2)</f>
        <v>14571.48</v>
      </c>
      <c r="BB6" s="13">
        <f>ROUND($AY$6*BB5/$AZ$5,2)</f>
        <v>14571.48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3391</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25.5">
      <c r="A13" s="627" t="s">
        <v>3498</v>
      </c>
      <c r="B13" s="627"/>
      <c r="C13" s="627" t="s">
        <v>3496</v>
      </c>
      <c r="D13" s="1512" t="s">
        <v>3390</v>
      </c>
      <c r="E13" s="13">
        <f>IF($C$3="是",ROUND($A$3*G13/$B$3,2),ROUND($A$3*(G13-AT13)/$B$3,2))</f>
        <v>2861.05</v>
      </c>
      <c r="F13" s="29"/>
      <c r="G13" s="30">
        <f>H13+AC13+AT13</f>
        <v>1407.88</v>
      </c>
      <c r="H13" s="17">
        <f>SUMIF(I$12:AB$12,"总值",I13:AB13)</f>
        <v>1407.88</v>
      </c>
      <c r="I13" s="1513">
        <v>1407.88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t="str">
        <f t="shared" ref="AV13:AX17" si="6">A13</f>
        <v>1层</v>
      </c>
      <c r="AW13" s="8">
        <f t="shared" si="6"/>
        <v>0</v>
      </c>
      <c r="AX13" s="8" t="str">
        <f t="shared" si="6"/>
        <v>1幢-组装车间</v>
      </c>
      <c r="AY13" s="1259">
        <f>ROUND($AY$6*AZ13/$AZ$5,2)</f>
        <v>2861.05</v>
      </c>
      <c r="AZ13" s="13">
        <f>BA13+BL13</f>
        <v>1407.88</v>
      </c>
      <c r="BA13" s="13">
        <f>SUM(BB13:BK13)</f>
        <v>1407.88</v>
      </c>
      <c r="BB13" s="13">
        <f>IF($D13="是",I13-J13,0)</f>
        <v>1407.88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25.5">
      <c r="A14" s="627" t="s">
        <v>3498</v>
      </c>
      <c r="B14" s="3142" t="s">
        <v>3486</v>
      </c>
      <c r="C14" s="627" t="s">
        <v>3497</v>
      </c>
      <c r="D14" s="1512" t="s">
        <v>3390</v>
      </c>
      <c r="E14" s="13">
        <f>IF($C$3="是",ROUND($A$3*G14/$B$3,2),ROUND($A$3*(G14-AT14)/$B$3,2))</f>
        <v>3542.96</v>
      </c>
      <c r="F14" s="29"/>
      <c r="G14" s="30">
        <f>H14+AC14+AT14</f>
        <v>1743.44</v>
      </c>
      <c r="H14" s="17">
        <f>SUMIF(I$12:AB$12,"总值",I14:AB14)</f>
        <v>1743.44</v>
      </c>
      <c r="I14" s="1513">
        <v>1743.44</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t="str">
        <f t="shared" si="6"/>
        <v>1层</v>
      </c>
      <c r="AW14" s="8" t="str">
        <f t="shared" si="6"/>
        <v>土地面积</v>
      </c>
      <c r="AX14" s="8" t="str">
        <f t="shared" si="6"/>
        <v>2幢-机工车间</v>
      </c>
      <c r="AY14" s="1259">
        <f>ROUND($AY$6*AZ14/$AZ$5,2)</f>
        <v>3542.96</v>
      </c>
      <c r="AZ14" s="13">
        <f>BA14+BL14</f>
        <v>1743.44</v>
      </c>
      <c r="BA14" s="13">
        <f>SUM(BB14:BK14)</f>
        <v>1743.44</v>
      </c>
      <c r="BB14" s="13">
        <f>IF($D14="是",I14-J14,0)</f>
        <v>1743.44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25.5">
      <c r="A15" s="627" t="s">
        <v>3498</v>
      </c>
      <c r="B15" s="3142">
        <v>14571.48</v>
      </c>
      <c r="C15" s="627" t="s">
        <v>3499</v>
      </c>
      <c r="D15" s="1512" t="s">
        <v>3390</v>
      </c>
      <c r="E15" s="13">
        <f>IF($C$3="是",ROUND($A$3*G15/$B$3,2),ROUND($A$3*(G15-AT15)/$B$3,2))</f>
        <v>3542.96</v>
      </c>
      <c r="F15" s="29"/>
      <c r="G15" s="30">
        <f>H15+AC15+AT15</f>
        <v>1743.44</v>
      </c>
      <c r="H15" s="17">
        <f>SUMIF(I$12:AB$12,"总值",I15:AB15)</f>
        <v>1743.44</v>
      </c>
      <c r="I15" s="1513">
        <v>1743.44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t="str">
        <f t="shared" si="6"/>
        <v>1层</v>
      </c>
      <c r="AW15" s="8">
        <f t="shared" si="6"/>
        <v>14571.48</v>
      </c>
      <c r="AX15" s="8" t="str">
        <f t="shared" si="6"/>
        <v>3幢-钳工车间</v>
      </c>
      <c r="AY15" s="1259">
        <f>ROUND($AY$6*AZ15/$AZ$5,2)</f>
        <v>3542.96</v>
      </c>
      <c r="AZ15" s="13">
        <f>BA15+BL15</f>
        <v>1743.44</v>
      </c>
      <c r="BA15" s="13">
        <f>SUM(BB15:BK15)</f>
        <v>1743.44</v>
      </c>
      <c r="BB15" s="13">
        <f>IF($D15="是",I15-J15,0)</f>
        <v>1743.44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25.5">
      <c r="A16" s="627" t="s">
        <v>3498</v>
      </c>
      <c r="B16" s="3173" t="s">
        <v>3553</v>
      </c>
      <c r="C16" s="627" t="s">
        <v>3504</v>
      </c>
      <c r="D16" s="1512" t="s">
        <v>3390</v>
      </c>
      <c r="E16" s="13">
        <f>IF($C$3="是",ROUND($A$3*G16/$B$3,2),ROUND($A$3*(G16-AT16)/$B$3,2))</f>
        <v>1390.02</v>
      </c>
      <c r="F16" s="29"/>
      <c r="G16" s="30">
        <f>H16+AC16+AT16</f>
        <v>684.01</v>
      </c>
      <c r="H16" s="17">
        <f>SUMIF(I$12:AB$12,"总值",I16:AB16)</f>
        <v>684.01</v>
      </c>
      <c r="I16" s="1513">
        <v>684.01</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t="str">
        <f t="shared" si="6"/>
        <v>1层</v>
      </c>
      <c r="AW16" s="8" t="str">
        <f t="shared" si="6"/>
        <v>建筑面积</v>
      </c>
      <c r="AX16" s="8" t="str">
        <f t="shared" si="6"/>
        <v>4幢-喷漆车间</v>
      </c>
      <c r="AY16" s="1259">
        <f>ROUND($AY$6*AZ16/$AZ$5,2)</f>
        <v>1390.02</v>
      </c>
      <c r="AZ16" s="13">
        <f>BA16+BL16</f>
        <v>684.01</v>
      </c>
      <c r="BA16" s="13">
        <f>SUM(BB16:BK16)</f>
        <v>684.01</v>
      </c>
      <c r="BB16" s="13">
        <f>IF($D16="是",I16-J16,0)</f>
        <v>684.01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25.5" customHeight="1">
      <c r="A17" s="627" t="s">
        <v>3500</v>
      </c>
      <c r="B17" s="3142">
        <v>7830</v>
      </c>
      <c r="C17" s="627" t="s">
        <v>3501</v>
      </c>
      <c r="D17" s="1512" t="s">
        <v>3390</v>
      </c>
      <c r="E17" s="13">
        <f>IF($C$3="是",ROUND($A$3*G17/$B$3,2),ROUND($A$3*(G17-AT17)/$B$3,2))</f>
        <v>2173.2800000000002</v>
      </c>
      <c r="F17" s="29"/>
      <c r="G17" s="30">
        <f>H17+AC17+AT17</f>
        <v>1069.44</v>
      </c>
      <c r="H17" s="17">
        <f>SUMIF(I$12:AB$12,"总值",I17:AB17)</f>
        <v>1069.44</v>
      </c>
      <c r="I17" s="1513">
        <v>1069.44</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t="str">
        <f t="shared" si="6"/>
        <v>3层</v>
      </c>
      <c r="AW17" s="8">
        <f t="shared" si="6"/>
        <v>7830</v>
      </c>
      <c r="AX17" s="8" t="str">
        <f t="shared" si="6"/>
        <v>5幢-办公楼</v>
      </c>
      <c r="AY17" s="1259">
        <f>ROUND($AY$6*AZ17/$AZ$5,2)</f>
        <v>2173.2800000000002</v>
      </c>
      <c r="AZ17" s="13">
        <f>BA17+BL17</f>
        <v>1069.44</v>
      </c>
      <c r="BA17" s="13">
        <f>SUM(BB17:BK17)</f>
        <v>1069.44</v>
      </c>
      <c r="BB17" s="13">
        <f>IF($D17="是",I17-J17,0)</f>
        <v>1069.44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31" t="s">
        <v>3502</v>
      </c>
      <c r="B18" s="3181">
        <f>B17-B3</f>
        <v>659.58999999999924</v>
      </c>
      <c r="C18" s="627" t="s">
        <v>3503</v>
      </c>
      <c r="D18" s="1515" t="s">
        <v>3390</v>
      </c>
      <c r="E18" s="32">
        <f t="shared" ref="E18:E112" si="7">IF($C$3="是",ROUND($A$3*G18/$B$3,2),ROUND($A$3*(G18-AT18)/$B$3,2))</f>
        <v>1061.2</v>
      </c>
      <c r="F18" s="33"/>
      <c r="G18" s="34">
        <f t="shared" ref="G18:G109" si="8">H18+AC18+AT18</f>
        <v>522.20000000000005</v>
      </c>
      <c r="H18" s="35">
        <f t="shared" ref="H18:H109" si="9">SUMIF(I$12:AB$12,"总值",I18:AB18)</f>
        <v>522.20000000000005</v>
      </c>
      <c r="I18" s="36">
        <v>522.20000000000005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t="str">
        <f t="shared" ref="AV18:AV112" si="11">A18</f>
        <v>2层</v>
      </c>
      <c r="AW18" s="529">
        <f t="shared" ref="AW18:AW112" si="12">B18</f>
        <v>659.58999999999924</v>
      </c>
      <c r="AX18" s="529" t="str">
        <f t="shared" ref="AX18:AX112" si="13">C18</f>
        <v>6幢-辅助用房</v>
      </c>
      <c r="AY18" s="38">
        <f t="shared" ref="AY18:AY109" si="14">ROUND($AY$6*AZ18/$AZ$5,2)</f>
        <v>1061.2</v>
      </c>
      <c r="AZ18" s="32">
        <f t="shared" ref="AZ18:AZ109" si="15">BA18+BL18</f>
        <v>522.20000000000005</v>
      </c>
      <c r="BA18" s="32">
        <f t="shared" ref="BA18:BA109" si="16">SUM(BB18:BK18)</f>
        <v>522.20000000000005</v>
      </c>
      <c r="BB18" s="32">
        <f t="shared" ref="BB18:BB109" si="17">IF($D18="是",I18-J18,0)</f>
        <v>522.20000000000005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27"/>
      <c r="B19" s="31"/>
      <c r="C19" s="627"/>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27"/>
      <c r="B21" s="31">
        <f>26.6*10.6</f>
        <v>281.95999999999998</v>
      </c>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281.95999999999998</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27"/>
      <c r="B22" s="31">
        <f>7.85*7</f>
        <v>54.949999999999996</v>
      </c>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54.949999999999996</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27"/>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27"/>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27"/>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31"/>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3" sqref="G1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5" t="s">
        <v>1131</v>
      </c>
      <c r="B2" s="3265"/>
      <c r="C2" s="3265"/>
      <c r="D2" s="747" t="s">
        <v>1107</v>
      </c>
      <c r="E2" s="1522" t="s">
        <v>1108</v>
      </c>
      <c r="F2" s="2436"/>
      <c r="G2" s="2429"/>
      <c r="H2" s="2430"/>
      <c r="I2" s="2145" t="s">
        <v>1132</v>
      </c>
      <c r="J2" s="2436"/>
      <c r="K2" s="2436"/>
      <c r="L2" s="2436"/>
      <c r="M2" s="2436"/>
      <c r="N2" s="2437"/>
      <c r="O2" s="2436"/>
      <c r="P2" s="2436"/>
    </row>
    <row r="3" spans="1:16" ht="15.75" thickBot="1">
      <c r="A3" s="3266" t="s">
        <v>1105</v>
      </c>
      <c r="B3" s="3266"/>
      <c r="C3" s="3266"/>
      <c r="D3" s="41">
        <f>'数据-基础表'!AY6</f>
        <v>14571.48</v>
      </c>
      <c r="E3" s="41">
        <f>'数据-基础表'!AZ5</f>
        <v>7170.4100000000008</v>
      </c>
      <c r="F3" s="2436"/>
      <c r="G3" s="42"/>
      <c r="H3" s="43" t="s">
        <v>1106</v>
      </c>
      <c r="I3" s="801">
        <f>ROUND('数据-基础表'!B3/'数据-基础表'!A3,2)</f>
        <v>0.49</v>
      </c>
      <c r="J3" s="2436"/>
      <c r="K3" s="2436"/>
      <c r="L3" s="2436"/>
      <c r="M3" s="2436"/>
      <c r="N3" s="2437"/>
      <c r="O3" s="2436"/>
      <c r="P3" s="2436"/>
    </row>
    <row r="4" spans="1:16" ht="15">
      <c r="A4" s="3267"/>
      <c r="B4" s="3268"/>
      <c r="C4" s="3269"/>
      <c r="D4" s="1523" t="s">
        <v>1107</v>
      </c>
      <c r="E4" s="1524" t="s">
        <v>1108</v>
      </c>
      <c r="F4" s="2436"/>
      <c r="G4" s="2431" t="s">
        <v>1133</v>
      </c>
      <c r="H4" s="43" t="s">
        <v>1113</v>
      </c>
      <c r="I4" s="801">
        <f>ROUND(SUMIF('数据-基础表'!I9:AS9,"地上",'数据-基础表'!I5:AS5)/'数据-基础表'!A3,2)</f>
        <v>0.49</v>
      </c>
      <c r="J4" s="2436"/>
      <c r="K4" s="2436"/>
      <c r="L4" s="2436"/>
      <c r="M4" s="2436"/>
      <c r="N4" s="2437"/>
      <c r="O4" s="2436"/>
      <c r="P4" s="2436"/>
    </row>
    <row r="5" spans="1:16">
      <c r="A5" s="42" t="s">
        <v>1109</v>
      </c>
      <c r="B5" s="3270" t="s">
        <v>1110</v>
      </c>
      <c r="C5" s="3270"/>
      <c r="D5" s="43">
        <f>ROUND($D$3*E5/$E$3,2)</f>
        <v>0</v>
      </c>
      <c r="E5" s="44">
        <f>SUMIF('数据-基础表'!$11:$11,"住宅",'数据-基础表'!$5:$5)</f>
        <v>0</v>
      </c>
      <c r="F5" s="2436"/>
      <c r="G5" s="42"/>
      <c r="H5" s="43" t="s">
        <v>1106</v>
      </c>
      <c r="I5" s="801">
        <f>ROUND(E31/D31,2)</f>
        <v>0.49</v>
      </c>
      <c r="J5" s="2436"/>
      <c r="K5" s="2436"/>
      <c r="L5" s="2436"/>
      <c r="M5" s="2436"/>
      <c r="N5" s="2436"/>
      <c r="O5" s="2436"/>
      <c r="P5" s="2436"/>
    </row>
    <row r="6" spans="1:16" ht="15" thickBot="1">
      <c r="A6" s="1526"/>
      <c r="B6" s="3270" t="s">
        <v>1111</v>
      </c>
      <c r="C6" s="3270"/>
      <c r="D6" s="43">
        <f>ROUND($D$3*E6/$E$3,2)</f>
        <v>14571.48</v>
      </c>
      <c r="E6" s="44">
        <f>E3-E5</f>
        <v>7170.4100000000008</v>
      </c>
      <c r="F6" s="2436"/>
      <c r="G6" s="1528" t="s">
        <v>1112</v>
      </c>
      <c r="H6" s="45" t="s">
        <v>1113</v>
      </c>
      <c r="I6" s="2432">
        <f>ROUND(F31/D31,2)</f>
        <v>0.49</v>
      </c>
      <c r="J6" s="2436"/>
      <c r="K6" s="2436"/>
      <c r="L6" s="2436"/>
      <c r="M6" s="2436"/>
      <c r="N6" s="2436"/>
      <c r="O6" s="2436"/>
      <c r="P6" s="2436"/>
    </row>
    <row r="7" spans="1:16" ht="15.75" thickBot="1">
      <c r="A7" s="3262"/>
      <c r="B7" s="3263"/>
      <c r="C7" s="3264"/>
      <c r="D7" s="1523" t="s">
        <v>1107</v>
      </c>
      <c r="E7" s="1527"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14571.48</v>
      </c>
      <c r="E8" s="46">
        <f>SUMIF('数据-基础表'!BB10:BK10,"地上",'数据-基础表'!BB5:BK5)</f>
        <v>7170.4100000000008</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14571.48</v>
      </c>
      <c r="E16" s="48">
        <f>SUM(E8:E15)</f>
        <v>7170.4100000000008</v>
      </c>
      <c r="F16" s="2436"/>
      <c r="G16" s="2436"/>
      <c r="H16" s="1530" t="s">
        <v>1135</v>
      </c>
      <c r="I16" s="1531"/>
      <c r="J16" s="1070"/>
      <c r="K16" s="3259" t="s">
        <v>1135</v>
      </c>
      <c r="L16" s="3260"/>
      <c r="M16" s="3260"/>
      <c r="N16" s="3260"/>
      <c r="O16" s="3260"/>
      <c r="P16" s="3261"/>
    </row>
    <row r="17" spans="1:19" ht="15">
      <c r="A17" s="1532" t="s">
        <v>1136</v>
      </c>
      <c r="B17" s="1533" t="s">
        <v>1137</v>
      </c>
      <c r="C17" s="1534" t="s">
        <v>1138</v>
      </c>
      <c r="D17" s="1535" t="s">
        <v>1126</v>
      </c>
      <c r="E17" s="1536" t="s">
        <v>1127</v>
      </c>
      <c r="F17" s="1537"/>
      <c r="G17" s="1538"/>
      <c r="H17" s="1539" t="s">
        <v>1139</v>
      </c>
      <c r="I17" s="1540" t="s">
        <v>1124</v>
      </c>
      <c r="J17" s="1070"/>
      <c r="K17" s="3256" t="s">
        <v>1140</v>
      </c>
      <c r="L17" s="3257"/>
      <c r="M17" s="3258"/>
      <c r="N17" s="3256" t="s">
        <v>1141</v>
      </c>
      <c r="O17" s="3257"/>
      <c r="P17" s="3258"/>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3524</v>
      </c>
      <c r="D19" s="43">
        <f>ROUND($D$3*E19/$E$3,2)</f>
        <v>11337</v>
      </c>
      <c r="E19" s="51">
        <f t="shared" ref="E19:E26" si="1">SUM(F19:G19)</f>
        <v>5578.77</v>
      </c>
      <c r="F19" s="2554">
        <f>'数据-基础表'!I13+'数据-基础表'!I14+'数据-基础表'!I15+'数据-基础表'!I16</f>
        <v>5578.77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11337</v>
      </c>
      <c r="S19" s="51">
        <f t="shared" si="5"/>
        <v>5578.77</v>
      </c>
    </row>
    <row r="20" spans="1:19">
      <c r="A20" s="1548"/>
      <c r="B20" s="45" t="s">
        <v>1153</v>
      </c>
      <c r="C20" s="3112" t="s">
        <v>3539</v>
      </c>
      <c r="D20" s="43">
        <f t="shared" ref="D20:D26" si="6">ROUND($D$3*E20/$E$3,2)</f>
        <v>3234.48</v>
      </c>
      <c r="E20" s="51">
        <f t="shared" si="1"/>
        <v>1591.64</v>
      </c>
      <c r="F20" s="2554">
        <f>'数据-基础表'!I17+'数据-基础表'!I18</f>
        <v>1591.64</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3234.48</v>
      </c>
      <c r="S20" s="51">
        <f t="shared" si="5"/>
        <v>1591.64</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14571.48</v>
      </c>
      <c r="E27" s="1072">
        <f>IF(SUM(E19:E26)='数据-基础表'!BA5,SUM(E19:E26),IF(F27="地上面积有误","面积有误","地下面积有误"))</f>
        <v>7170.4100000000008</v>
      </c>
      <c r="F27" s="1071">
        <f>IF(SUM(F19:F26)=E8,SUM(F19:F26),"地上面积有误")</f>
        <v>7170.4100000000008</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14571.48</v>
      </c>
      <c r="S27" s="43">
        <f>IF(SUM(S19:S26)=$E$3,SUM(S19:S26),SUM(S19:S26)&amp;"误差"&amp;ROUND(SUM(S19:S26)-E3,2))</f>
        <v>7170.4100000000008</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2">
        <f>D27+D30</f>
        <v>14571.48</v>
      </c>
      <c r="E31" s="642">
        <f>E27+E30</f>
        <v>7170.4100000000008</v>
      </c>
      <c r="F31" s="643">
        <f>F27+F30</f>
        <v>7170.4100000000008</v>
      </c>
      <c r="G31" s="644">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23" width="9.25" style="1560" customWidth="1"/>
    <col min="24" max="24" width="6.75" style="1560" customWidth="1"/>
    <col min="25" max="25" width="8.375" style="1560" customWidth="1"/>
    <col min="26" max="26" width="11" style="1560" customWidth="1"/>
    <col min="27"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75" thickBot="1">
      <c r="A2" s="1561" t="s">
        <v>1161</v>
      </c>
      <c r="B2" s="983">
        <f>项目基本情况!D3</f>
        <v>45315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3402</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工业-车间</v>
      </c>
      <c r="B6" s="1586" t="str">
        <f>IF(A6=0,"","经营性")</f>
        <v>经营性</v>
      </c>
      <c r="C6" s="1587" t="s">
        <v>3</v>
      </c>
      <c r="D6" s="804">
        <f>SUMIF(项目基本情况!C$12:I$12,C6,项目基本情况!C$14:I$14)</f>
        <v>50</v>
      </c>
      <c r="E6" s="803">
        <f>IF(B6="","",SUMIF(项目基本情况!C$12:I$12,C6,项目基本情况!C$13:I$13))</f>
        <v>55598</v>
      </c>
      <c r="F6" s="61">
        <f>SUMIF(项目基本情况!C$12:I$12,C6,项目基本情况!C$15:I$15)</f>
        <v>28.17</v>
      </c>
      <c r="G6" s="62">
        <f>IF(ISERROR(ROUND(POWER(1+H6,D6-F6)*(POWER(1+H6,F6)-1)/(POWER(1+H6,D6)-1),3)),0,ROUND(POWER(1+H6,D6-F6)*(POWER(1+H6,F6)-1)/(POWER(1+H6,D6)-1),3))</f>
        <v>0.79900000000000004</v>
      </c>
      <c r="H6" s="3176">
        <v>4.4999999999999998E-2</v>
      </c>
      <c r="I6" s="3176">
        <v>0.05</v>
      </c>
      <c r="J6" s="63">
        <v>7.0000000000000007E-2</v>
      </c>
      <c r="K6" s="969">
        <f>SUMIF('数据-汇总表'!C$19:C$33,A6,'数据-汇总表'!E$19:E$33)</f>
        <v>5578.77</v>
      </c>
      <c r="L6" s="3170">
        <f>M32</f>
        <v>2200</v>
      </c>
      <c r="M6" s="64">
        <f t="shared" ref="M6:M14" si="0">ROUND(K6*L6/10000,0)</f>
        <v>1227</v>
      </c>
      <c r="N6" s="3171">
        <f>ROUND(1-(1-2%)*(2024-N18)/70,2)</f>
        <v>0.76</v>
      </c>
      <c r="O6" s="64" t="str">
        <f>IF($N$5="成新度","——",ROUND(M6*N6,0))</f>
        <v>——</v>
      </c>
      <c r="P6" s="65" t="str">
        <f>IF($N$5="成新度","——",M6-O6)</f>
        <v>——</v>
      </c>
      <c r="Q6" s="3177">
        <v>0.05</v>
      </c>
      <c r="R6" s="66">
        <f ca="1">SUMIF('数据-汇总表'!C$19:C$33,A6,'数据-汇总表'!R$19:R$27)</f>
        <v>11337</v>
      </c>
      <c r="S6" s="49">
        <f>IF('数据-汇总表'!$I$17="按面积比例",SUMIF('数据-汇总表'!C$19:C$33,A6,'数据-汇总表'!K$19:K$33),SUMIF('数据-汇总表'!C$19:C$33,A6,'数据-汇总表'!N$19:N$33))</f>
        <v>0</v>
      </c>
      <c r="T6" s="1091">
        <f>ROUND($L$14*S6/10000,0)</f>
        <v>0</v>
      </c>
      <c r="U6" s="3123">
        <f>V21</f>
        <v>0.75</v>
      </c>
      <c r="V6" s="67">
        <v>0.02</v>
      </c>
      <c r="W6" s="67">
        <v>0.1</v>
      </c>
      <c r="X6" s="978"/>
      <c r="Y6" s="68">
        <f>N6</f>
        <v>0.76</v>
      </c>
      <c r="Z6" s="69"/>
      <c r="AA6" s="63"/>
      <c r="AB6" s="63"/>
      <c r="AC6" s="978"/>
      <c r="AD6" s="70"/>
      <c r="AE6" s="979">
        <f ca="1">IF(AN6="",0,SUMIF(INDIRECT("'"&amp;AN6&amp;"'"&amp;"!E:E"),$AE$5,INDIRECT("'"&amp;AN6&amp;"'"&amp;"!F:F")))</f>
        <v>28.17</v>
      </c>
      <c r="AF6" s="74"/>
      <c r="AG6" s="129">
        <f>IF(AF6="",0,AE6-AF6)</f>
        <v>0</v>
      </c>
      <c r="AH6" s="71"/>
      <c r="AI6" s="73">
        <v>365</v>
      </c>
      <c r="AJ6" s="74"/>
      <c r="AK6" s="3161">
        <v>5.0000000000000001E-3</v>
      </c>
      <c r="AL6" s="3162">
        <v>1E-3</v>
      </c>
      <c r="AM6" s="77">
        <v>5.0000000000000001E-3</v>
      </c>
      <c r="AN6" s="1588" t="s">
        <v>3526</v>
      </c>
      <c r="AO6" s="50">
        <f ca="1">SUMIF(INDIRECT("'"&amp;AN6&amp;"'"&amp;"!A:A"),"总价",INDIRECT("'"&amp;AN6&amp;"'"&amp;"!B:B"))</f>
        <v>1981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工业0-办公、辅助用房</v>
      </c>
      <c r="B7" s="1586" t="str">
        <f t="shared" ref="B7:B13" si="1">IF(A7=0,"","经营性")</f>
        <v>经营性</v>
      </c>
      <c r="C7" s="1587" t="s">
        <v>3</v>
      </c>
      <c r="D7" s="804">
        <f>SUMIF(项目基本情况!C$12:I$12,C7,项目基本情况!C$14:I$14)</f>
        <v>50</v>
      </c>
      <c r="E7" s="803">
        <f>IF(B7="","",SUMIF(项目基本情况!C$12:I$12,C7,项目基本情况!C$13:I$13))</f>
        <v>55598</v>
      </c>
      <c r="F7" s="61">
        <f>SUMIF(项目基本情况!C$12:I$12,C7,项目基本情况!C$15:I$15)</f>
        <v>28.17</v>
      </c>
      <c r="G7" s="62">
        <f t="shared" ref="G7:G11" si="2">IF(ISERROR(ROUND(POWER(1+H7,D7-F7)*(POWER(1+H7,F7)-1)/(POWER(1+H7,D7)-1),3)),0,ROUND(POWER(1+H7,D7-F7)*(POWER(1+H7,F7)-1)/(POWER(1+H7,D7)-1),3))</f>
        <v>0.79900000000000004</v>
      </c>
      <c r="H7" s="3176">
        <v>4.4999999999999998E-2</v>
      </c>
      <c r="I7" s="3176">
        <v>0.05</v>
      </c>
      <c r="J7" s="63">
        <v>7.0000000000000007E-2</v>
      </c>
      <c r="K7" s="969">
        <f>SUMIF('数据-汇总表'!C$19:C$33,A7,'数据-汇总表'!E$19:E$33)</f>
        <v>1591.64</v>
      </c>
      <c r="L7" s="691">
        <f>M42</f>
        <v>3300</v>
      </c>
      <c r="M7" s="64">
        <f t="shared" si="0"/>
        <v>525</v>
      </c>
      <c r="N7" s="3171">
        <f>N21</f>
        <v>0.76</v>
      </c>
      <c r="O7" s="64" t="str">
        <f t="shared" ref="O7:O14" si="3">IF($N$5="成新度","——",ROUND(M7*N7,0))</f>
        <v>——</v>
      </c>
      <c r="P7" s="65" t="str">
        <f t="shared" ref="P7:P14" si="4">IF($N$5="成新度","——",M7-O7)</f>
        <v>——</v>
      </c>
      <c r="Q7" s="3178">
        <v>0.05</v>
      </c>
      <c r="R7" s="66">
        <f ca="1">SUMIF('数据-汇总表'!C$19:C$33,A7,'数据-汇总表'!R$19:R$27)</f>
        <v>3234.48</v>
      </c>
      <c r="S7" s="49">
        <f>IF('数据-汇总表'!$I$17="按面积比例",SUMIF('数据-汇总表'!C$19:C$33,A7,'数据-汇总表'!K$19:K$33),SUMIF('数据-汇总表'!C$19:C$33,A7,'数据-汇总表'!N$19:N$33))</f>
        <v>0</v>
      </c>
      <c r="T7" s="1091">
        <f t="shared" ref="T7:T13" si="5">ROUND($L$14*S7/10000,0)</f>
        <v>0</v>
      </c>
      <c r="U7" s="3123">
        <f>V25</f>
        <v>1</v>
      </c>
      <c r="V7" s="67">
        <f>V6</f>
        <v>0.02</v>
      </c>
      <c r="W7" s="67">
        <v>0.1</v>
      </c>
      <c r="X7" s="978"/>
      <c r="Y7" s="68">
        <f>N7</f>
        <v>0.76</v>
      </c>
      <c r="Z7" s="69"/>
      <c r="AA7" s="63"/>
      <c r="AB7" s="63"/>
      <c r="AC7" s="978"/>
      <c r="AD7" s="70"/>
      <c r="AE7" s="979">
        <f t="shared" ref="AE7:AE13" ca="1" si="6">IF(AN7="",0,SUMIF(INDIRECT("'"&amp;AN7&amp;"'"&amp;"!E:E"),$AE$5,INDIRECT("'"&amp;AN7&amp;"'"&amp;"!F:F")))</f>
        <v>28.17</v>
      </c>
      <c r="AF7" s="74"/>
      <c r="AG7" s="129">
        <f t="shared" ref="AG7:AG13" si="7">IF(AF7="",0,AE7-AF7)</f>
        <v>0</v>
      </c>
      <c r="AH7" s="71"/>
      <c r="AI7" s="73">
        <v>365</v>
      </c>
      <c r="AJ7" s="74"/>
      <c r="AK7" s="3161">
        <v>5.0000000000000001E-3</v>
      </c>
      <c r="AL7" s="3162">
        <v>1E-3</v>
      </c>
      <c r="AM7" s="77">
        <v>5.0000000000000001E-3</v>
      </c>
      <c r="AN7" s="1588" t="s">
        <v>3528</v>
      </c>
      <c r="AO7" s="50">
        <f t="shared" ref="AO7:AO13" ca="1" si="8">SUMIF(INDIRECT("'"&amp;AN7&amp;"'"&amp;"!A:A"),"总价",INDIRECT("'"&amp;AN7&amp;"'"&amp;"!B:B"))</f>
        <v>760</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0.79900000000000004</v>
      </c>
      <c r="H16" s="84">
        <f>ROUND(SUMPRODUCT(H6:H13,K6:K13)/SUMPRODUCT((H6:H13&gt;0)*(K6:K13)),3)</f>
        <v>4.4999999999999998E-2</v>
      </c>
      <c r="I16" s="85"/>
      <c r="J16" s="85"/>
      <c r="K16" s="86">
        <f>SUM(K6:K15)</f>
        <v>7170.4100000000008</v>
      </c>
      <c r="L16" s="87">
        <f>ROUND(M16*10000/SUM(K6:K14),0)</f>
        <v>2443</v>
      </c>
      <c r="M16" s="87">
        <f>SUM(M6:M14)</f>
        <v>1752</v>
      </c>
      <c r="N16" s="88">
        <f>ROUND(SUMPRODUCT(M6:M14,N6:N14)/M16,3)</f>
        <v>0.76</v>
      </c>
      <c r="O16" s="87">
        <f>SUM(O6:O14)</f>
        <v>0</v>
      </c>
      <c r="P16" s="87">
        <f>SUM(P6:P14)</f>
        <v>0</v>
      </c>
      <c r="Q16" s="89">
        <f>ROUND(SUMPRODUCT(Q6:Q13,K6:K13)/SUMPRODUCT((Q6:Q13&gt;0)*(K6:K13)),2)</f>
        <v>0.05</v>
      </c>
      <c r="R16" s="973">
        <f ca="1">SUM(R6:R13)</f>
        <v>14571.48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f>Q16/B20</f>
        <v>0.05</v>
      </c>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v>2007</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2302</v>
      </c>
      <c r="D19" s="2448"/>
      <c r="E19" s="2436"/>
      <c r="F19" s="2436"/>
      <c r="G19" s="2436"/>
      <c r="H19" s="2436"/>
      <c r="I19" s="2436"/>
      <c r="J19" s="2436">
        <f>2024-N18</f>
        <v>17</v>
      </c>
      <c r="K19" s="2446"/>
      <c r="L19" s="2446"/>
      <c r="M19" s="3144"/>
      <c r="N19" s="3180">
        <v>0.85</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1</v>
      </c>
      <c r="C20" s="2558" t="s">
        <v>2300</v>
      </c>
      <c r="D20" s="2448"/>
      <c r="E20" s="2436"/>
      <c r="F20" s="2436"/>
      <c r="G20" s="2436"/>
      <c r="H20" s="2436"/>
      <c r="I20" s="2436"/>
      <c r="J20" s="2436"/>
      <c r="K20" s="2446"/>
      <c r="L20" s="2446"/>
      <c r="M20" s="3144"/>
      <c r="N20" s="2445">
        <f>ROUND(1-(1-2%)*(2024-N18)/50,2)</f>
        <v>0.67</v>
      </c>
      <c r="O20" s="2445"/>
      <c r="P20" s="2445"/>
      <c r="Q20" s="2445"/>
      <c r="R20" s="3144" t="s">
        <v>3505</v>
      </c>
      <c r="S20" s="3144" t="s">
        <v>3506</v>
      </c>
      <c r="T20" s="3144" t="s">
        <v>3507</v>
      </c>
      <c r="U20" s="3144" t="s">
        <v>3508</v>
      </c>
      <c r="V20" s="3144" t="s">
        <v>3522</v>
      </c>
      <c r="W20" s="2445"/>
      <c r="X20" s="2445"/>
      <c r="Y20" s="2445"/>
      <c r="Z20" s="3143" t="s">
        <v>3534</v>
      </c>
      <c r="AA20" s="3143" t="s">
        <v>3542</v>
      </c>
      <c r="AB20" s="2446"/>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v>1</v>
      </c>
      <c r="C21" s="2436"/>
      <c r="D21" s="2448"/>
      <c r="E21" s="2436"/>
      <c r="F21" s="2436"/>
      <c r="G21" s="2436"/>
      <c r="H21" s="2436"/>
      <c r="I21" s="2436"/>
      <c r="J21" s="2436"/>
      <c r="K21" s="2446"/>
      <c r="L21" s="2446"/>
      <c r="M21" s="3144"/>
      <c r="N21" s="2445">
        <f>(N19+N20)/2</f>
        <v>0.76</v>
      </c>
      <c r="O21" s="2445"/>
      <c r="P21" s="2445"/>
      <c r="Q21" s="3143"/>
      <c r="R21" s="3143" t="s">
        <v>3509</v>
      </c>
      <c r="S21" s="3143" t="s">
        <v>3424</v>
      </c>
      <c r="T21" s="3143" t="s">
        <v>3510</v>
      </c>
      <c r="U21" s="3143">
        <v>1407.88</v>
      </c>
      <c r="V21" s="3143">
        <v>0.75</v>
      </c>
      <c r="W21" s="3143">
        <f>U21*V21</f>
        <v>1055.9100000000001</v>
      </c>
      <c r="X21" s="2446"/>
      <c r="Y21" s="3143">
        <f>U21</f>
        <v>1407.88</v>
      </c>
      <c r="Z21" s="3143" t="s">
        <v>3536</v>
      </c>
      <c r="AA21" s="2446" t="s">
        <v>3543</v>
      </c>
      <c r="AB21" s="2446"/>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1</v>
      </c>
      <c r="C22" s="2436"/>
      <c r="D22" s="2448"/>
      <c r="E22" s="2436"/>
      <c r="F22" s="2436"/>
      <c r="G22" s="2436"/>
      <c r="H22" s="2436"/>
      <c r="I22" s="2436"/>
      <c r="J22" s="2436"/>
      <c r="K22" s="2446"/>
      <c r="L22" s="2446"/>
      <c r="M22" s="2445"/>
      <c r="N22" s="2445"/>
      <c r="O22" s="2445"/>
      <c r="P22" s="2445"/>
      <c r="Q22" s="2446"/>
      <c r="R22" s="2446" t="s">
        <v>3511</v>
      </c>
      <c r="S22" s="3143" t="s">
        <v>3424</v>
      </c>
      <c r="T22" s="3143" t="s">
        <v>3512</v>
      </c>
      <c r="U22" s="2446">
        <v>1743.44</v>
      </c>
      <c r="V22" s="2446">
        <f>V21</f>
        <v>0.75</v>
      </c>
      <c r="W22" s="3143">
        <f t="shared" ref="W22:W26" si="12">U22*V22</f>
        <v>1307.58</v>
      </c>
      <c r="X22" s="2446"/>
      <c r="Y22" s="3143">
        <f t="shared" ref="Y22:Y24" si="13">U22</f>
        <v>1743.44</v>
      </c>
      <c r="Z22" s="3143" t="s">
        <v>3536</v>
      </c>
      <c r="AA22" s="2446" t="s">
        <v>3543</v>
      </c>
      <c r="AB22" s="2446"/>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1</v>
      </c>
      <c r="C23" s="2436"/>
      <c r="D23" s="2448"/>
      <c r="E23" s="2436"/>
      <c r="F23" s="2436"/>
      <c r="G23" s="2436"/>
      <c r="H23" s="2436"/>
      <c r="I23" s="2436"/>
      <c r="J23" s="2436"/>
      <c r="K23" s="2446"/>
      <c r="L23" s="2446"/>
      <c r="M23" s="2445"/>
      <c r="N23" s="2445"/>
      <c r="O23" s="2445"/>
      <c r="P23" s="2445"/>
      <c r="Q23" s="2446"/>
      <c r="R23" s="2446" t="s">
        <v>3517</v>
      </c>
      <c r="S23" s="3143" t="s">
        <v>3424</v>
      </c>
      <c r="T23" s="3143" t="s">
        <v>3513</v>
      </c>
      <c r="U23" s="3158">
        <v>1743.44</v>
      </c>
      <c r="V23" s="2446">
        <f>V21</f>
        <v>0.75</v>
      </c>
      <c r="W23" s="3143">
        <f t="shared" si="12"/>
        <v>1307.58</v>
      </c>
      <c r="X23" s="2446"/>
      <c r="Y23" s="3143">
        <f t="shared" si="13"/>
        <v>1743.44</v>
      </c>
      <c r="Z23" s="3143" t="s">
        <v>3536</v>
      </c>
      <c r="AA23" s="2446" t="s">
        <v>3543</v>
      </c>
      <c r="AB23" s="2446"/>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3143" t="s">
        <v>3540</v>
      </c>
      <c r="L24" s="3143" t="s">
        <v>3392</v>
      </c>
      <c r="M24" s="3144" t="s">
        <v>3393</v>
      </c>
      <c r="N24" s="3144" t="s">
        <v>3394</v>
      </c>
      <c r="O24" s="2445"/>
      <c r="P24" s="2445"/>
      <c r="Q24" s="2446"/>
      <c r="R24" s="2446" t="s">
        <v>3518</v>
      </c>
      <c r="S24" s="3143" t="s">
        <v>3424</v>
      </c>
      <c r="T24" s="3143" t="s">
        <v>3514</v>
      </c>
      <c r="U24" s="2446">
        <v>684.01</v>
      </c>
      <c r="V24" s="2446">
        <f>V21</f>
        <v>0.75</v>
      </c>
      <c r="W24" s="3143">
        <f t="shared" si="12"/>
        <v>513.00749999999994</v>
      </c>
      <c r="X24" s="2446"/>
      <c r="Y24" s="3143">
        <f t="shared" si="13"/>
        <v>684.01</v>
      </c>
      <c r="Z24" s="3143" t="s">
        <v>3536</v>
      </c>
      <c r="AA24" s="2446" t="s">
        <v>3544</v>
      </c>
      <c r="AB24" s="2446"/>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3145" t="s">
        <v>3395</v>
      </c>
      <c r="L25" s="3146"/>
      <c r="M25" s="3147">
        <f>M26+M29+M30</f>
        <v>2200</v>
      </c>
      <c r="N25" s="3146"/>
      <c r="O25" s="2445"/>
      <c r="P25" s="2445"/>
      <c r="Q25" s="2446"/>
      <c r="R25" s="2446" t="s">
        <v>3519</v>
      </c>
      <c r="S25" s="3143" t="s">
        <v>3521</v>
      </c>
      <c r="T25" s="3143" t="s">
        <v>3515</v>
      </c>
      <c r="U25" s="2446">
        <v>1069.44</v>
      </c>
      <c r="V25" s="2446">
        <v>1</v>
      </c>
      <c r="W25" s="3143">
        <f t="shared" si="12"/>
        <v>1069.44</v>
      </c>
      <c r="X25" s="2446"/>
      <c r="Y25" s="2446">
        <f>U25/3</f>
        <v>356.48</v>
      </c>
      <c r="Z25" s="3143" t="s">
        <v>3537</v>
      </c>
      <c r="AA25" s="2446" t="s">
        <v>3545</v>
      </c>
      <c r="AB25" s="2446"/>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3148" t="s">
        <v>3396</v>
      </c>
      <c r="L26" s="3149">
        <f>K6</f>
        <v>5578.77</v>
      </c>
      <c r="M26" s="3150">
        <f>N26/L26</f>
        <v>1500</v>
      </c>
      <c r="N26" s="3151">
        <f>N27+N28</f>
        <v>8368155.0000000009</v>
      </c>
      <c r="O26" s="2445"/>
      <c r="P26" s="2445"/>
      <c r="Q26" s="2446"/>
      <c r="R26" s="2446" t="s">
        <v>3520</v>
      </c>
      <c r="S26" s="2446" t="s">
        <v>3438</v>
      </c>
      <c r="T26" s="3143" t="s">
        <v>3516</v>
      </c>
      <c r="U26" s="2446">
        <v>522.20000000000005</v>
      </c>
      <c r="V26" s="2446">
        <f>V25</f>
        <v>1</v>
      </c>
      <c r="W26" s="3143">
        <f t="shared" si="12"/>
        <v>522.20000000000005</v>
      </c>
      <c r="X26" s="2446"/>
      <c r="Y26" s="2446">
        <f>U26/2</f>
        <v>261.10000000000002</v>
      </c>
      <c r="Z26" s="3143" t="s">
        <v>3537</v>
      </c>
      <c r="AA26" s="2446" t="s">
        <v>3546</v>
      </c>
      <c r="AB26" s="2446"/>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3156">
        <v>100</v>
      </c>
      <c r="C27" s="2559" t="s">
        <v>2304</v>
      </c>
      <c r="D27" s="2451"/>
      <c r="E27" s="2437"/>
      <c r="F27" s="3179" t="s">
        <v>3547</v>
      </c>
      <c r="G27" s="2436"/>
      <c r="H27" s="2436"/>
      <c r="I27" s="2436"/>
      <c r="J27" s="2436"/>
      <c r="K27" s="3152" t="s">
        <v>3397</v>
      </c>
      <c r="L27" s="3155">
        <f>K6</f>
        <v>5578.77</v>
      </c>
      <c r="M27" s="3172">
        <v>1500</v>
      </c>
      <c r="N27" s="3153">
        <f>M27*L27</f>
        <v>8368155.0000000009</v>
      </c>
      <c r="O27" s="2445"/>
      <c r="P27" s="2445"/>
      <c r="Q27" s="2446"/>
      <c r="R27" s="2446"/>
      <c r="S27" s="3143"/>
      <c r="T27" s="2446"/>
      <c r="U27" s="3175">
        <f>U21+U22+U23+U24+U25+U26</f>
        <v>7170.4100000000008</v>
      </c>
      <c r="V27" s="3175">
        <f>W27/U27</f>
        <v>0.80549333999032124</v>
      </c>
      <c r="W27" s="3175">
        <f t="shared" ref="W27" si="14">W21+W22+W23+W24+W25+W26</f>
        <v>5775.7174999999997</v>
      </c>
      <c r="X27" s="2446"/>
      <c r="Y27" s="3175">
        <f>Y21+Y22+Y23+Y24+Y25+Y26</f>
        <v>6196.35</v>
      </c>
      <c r="Z27" s="2446"/>
      <c r="AA27" s="2446"/>
      <c r="AB27" s="2446"/>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2">
        <v>150</v>
      </c>
      <c r="C28" s="2452"/>
      <c r="D28" s="2451"/>
      <c r="E28" s="2437"/>
      <c r="F28" s="2437"/>
      <c r="G28" s="2436"/>
      <c r="H28" s="2436"/>
      <c r="I28" s="2436"/>
      <c r="J28" s="2436"/>
      <c r="K28" s="3152" t="s">
        <v>2638</v>
      </c>
      <c r="L28" s="3153">
        <v>0</v>
      </c>
      <c r="M28" s="3153">
        <v>0</v>
      </c>
      <c r="N28" s="3153">
        <f t="shared" ref="N28:N30" si="15">M28*L28</f>
        <v>0</v>
      </c>
      <c r="O28" s="2445"/>
      <c r="P28" s="2445"/>
      <c r="Q28" s="2446"/>
      <c r="R28" s="2446"/>
      <c r="S28" s="2446"/>
      <c r="T28" s="2446"/>
      <c r="U28" s="2446"/>
      <c r="V28" s="2446"/>
      <c r="W28" s="2446"/>
      <c r="X28" s="3143" t="s">
        <v>3531</v>
      </c>
      <c r="Y28" s="2446">
        <v>14571.48</v>
      </c>
      <c r="Z28" s="2446"/>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4">
        <f ca="1">成本法!C10</f>
        <v>108</v>
      </c>
      <c r="C29" s="2560" t="s">
        <v>2291</v>
      </c>
      <c r="D29" s="2451"/>
      <c r="E29" s="2437"/>
      <c r="F29" s="2437"/>
      <c r="G29" s="2436"/>
      <c r="H29" s="2436"/>
      <c r="I29" s="2436"/>
      <c r="J29" s="2436"/>
      <c r="K29" s="3148" t="s">
        <v>3398</v>
      </c>
      <c r="L29" s="3149">
        <f>L26</f>
        <v>5578.77</v>
      </c>
      <c r="M29" s="3151">
        <v>100</v>
      </c>
      <c r="N29" s="3153">
        <f t="shared" si="15"/>
        <v>557877</v>
      </c>
      <c r="O29" s="2445"/>
      <c r="P29" s="2445"/>
      <c r="Q29" s="2445"/>
      <c r="R29" s="2445"/>
      <c r="S29" s="2445"/>
      <c r="T29" s="2445"/>
      <c r="U29" s="2445"/>
      <c r="V29" s="2445"/>
      <c r="W29" s="2445"/>
      <c r="X29" s="3144" t="s">
        <v>3532</v>
      </c>
      <c r="Y29" s="2447">
        <f>Y28-Y27</f>
        <v>8375.1299999999992</v>
      </c>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200</v>
      </c>
      <c r="C30" s="2452"/>
      <c r="D30" s="2451"/>
      <c r="E30" s="2437"/>
      <c r="F30" s="2437"/>
      <c r="G30" s="2436"/>
      <c r="H30" s="2436"/>
      <c r="I30" s="2436"/>
      <c r="J30" s="2436"/>
      <c r="K30" s="3148" t="s">
        <v>3399</v>
      </c>
      <c r="L30" s="3149">
        <f>L26</f>
        <v>5578.77</v>
      </c>
      <c r="M30" s="3151">
        <v>600</v>
      </c>
      <c r="N30" s="3153">
        <f t="shared" si="15"/>
        <v>3347262.0000000005</v>
      </c>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3">
        <f>B30-B32</f>
        <v>200</v>
      </c>
      <c r="C31" s="2450"/>
      <c r="D31" s="2451"/>
      <c r="E31" s="2437"/>
      <c r="F31" s="2437"/>
      <c r="G31" s="2436"/>
      <c r="H31" s="2436"/>
      <c r="I31" s="2436"/>
      <c r="J31" s="2436"/>
      <c r="K31" s="3145" t="s">
        <v>3400</v>
      </c>
      <c r="L31" s="3151">
        <v>0</v>
      </c>
      <c r="M31" s="3150">
        <f>M25</f>
        <v>2200</v>
      </c>
      <c r="N31" s="3150">
        <f>M31*L31</f>
        <v>0</v>
      </c>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c r="C32" s="2452"/>
      <c r="D32" s="2448"/>
      <c r="E32" s="2436"/>
      <c r="F32" s="2436"/>
      <c r="G32" s="2436"/>
      <c r="H32" s="2436"/>
      <c r="I32" s="2436"/>
      <c r="J32" s="2436"/>
      <c r="K32" s="3145" t="s">
        <v>3401</v>
      </c>
      <c r="L32" s="3154">
        <f>L26</f>
        <v>5578.77</v>
      </c>
      <c r="M32" s="3147">
        <f>N32/L32</f>
        <v>2200</v>
      </c>
      <c r="N32" s="3147">
        <f>N26+N29+N30+N31</f>
        <v>12273294</v>
      </c>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0.03</v>
      </c>
      <c r="C33" s="2561" t="s">
        <v>2292</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5">
        <v>0</v>
      </c>
      <c r="C34" s="2561" t="s">
        <v>2293</v>
      </c>
      <c r="D34" s="2456" t="s">
        <v>2301</v>
      </c>
      <c r="E34" s="2454"/>
      <c r="F34" s="2436"/>
      <c r="G34" s="2436"/>
      <c r="H34" s="2436"/>
      <c r="I34" s="2436"/>
      <c r="J34" s="2436"/>
      <c r="K34" s="3143" t="s">
        <v>3541</v>
      </c>
      <c r="L34" s="3143" t="s">
        <v>3392</v>
      </c>
      <c r="M34" s="3144" t="s">
        <v>3393</v>
      </c>
      <c r="N34" s="3144" t="s">
        <v>3394</v>
      </c>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2">
        <v>200</v>
      </c>
      <c r="C35" s="2561" t="s">
        <v>2294</v>
      </c>
      <c r="D35" s="2451"/>
      <c r="E35" s="2437"/>
      <c r="F35" s="2437"/>
      <c r="G35" s="2436"/>
      <c r="H35" s="2436"/>
      <c r="I35" s="2436"/>
      <c r="J35" s="2436"/>
      <c r="K35" s="3145" t="s">
        <v>3395</v>
      </c>
      <c r="L35" s="3146"/>
      <c r="M35" s="3147">
        <f>M36+M39+M40</f>
        <v>3300</v>
      </c>
      <c r="N35" s="3146"/>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1.4999999999999999E-2</v>
      </c>
      <c r="C36" s="2561" t="s">
        <v>2295</v>
      </c>
      <c r="D36" s="2448"/>
      <c r="E36" s="2436"/>
      <c r="F36" s="2436"/>
      <c r="G36" s="2436"/>
      <c r="H36" s="2436"/>
      <c r="I36" s="2436"/>
      <c r="J36" s="2436"/>
      <c r="K36" s="3148" t="s">
        <v>3396</v>
      </c>
      <c r="L36" s="3149">
        <f>K7</f>
        <v>1591.64</v>
      </c>
      <c r="M36" s="3150">
        <f>N36/L36</f>
        <v>1600</v>
      </c>
      <c r="N36" s="3151">
        <f>N37+N38</f>
        <v>2546624</v>
      </c>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7">
        <v>0.02</v>
      </c>
      <c r="C37" s="2561" t="s">
        <v>2296</v>
      </c>
      <c r="D37" s="2448"/>
      <c r="E37" s="2436"/>
      <c r="F37" s="2436"/>
      <c r="G37" s="2436"/>
      <c r="H37" s="2436"/>
      <c r="I37" s="2436"/>
      <c r="J37" s="2436"/>
      <c r="K37" s="3152" t="s">
        <v>3397</v>
      </c>
      <c r="L37" s="3155">
        <f>K7</f>
        <v>1591.64</v>
      </c>
      <c r="M37" s="3172">
        <v>1600</v>
      </c>
      <c r="N37" s="3153">
        <f>M37*L37</f>
        <v>2546624</v>
      </c>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5">
        <v>0.01</v>
      </c>
      <c r="C38" s="2561" t="s">
        <v>2296</v>
      </c>
      <c r="D38" s="2448"/>
      <c r="E38" s="2436"/>
      <c r="F38" s="2436"/>
      <c r="G38" s="2436"/>
      <c r="H38" s="2436"/>
      <c r="I38" s="2436"/>
      <c r="J38" s="2436"/>
      <c r="K38" s="3152" t="s">
        <v>2638</v>
      </c>
      <c r="L38" s="3153">
        <v>0</v>
      </c>
      <c r="M38" s="3153">
        <v>0</v>
      </c>
      <c r="N38" s="3153">
        <f t="shared" ref="N38:N40" si="16">M38*L38</f>
        <v>0</v>
      </c>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6"/>
      <c r="F39" s="2436"/>
      <c r="G39" s="2436"/>
      <c r="H39" s="2436"/>
      <c r="I39" s="2436"/>
      <c r="J39" s="2436"/>
      <c r="K39" s="3148" t="s">
        <v>3398</v>
      </c>
      <c r="L39" s="3149">
        <f>L36</f>
        <v>1591.64</v>
      </c>
      <c r="M39" s="3151">
        <v>700</v>
      </c>
      <c r="N39" s="3153">
        <f t="shared" si="16"/>
        <v>1114148</v>
      </c>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2311</v>
      </c>
      <c r="B40" s="1014">
        <f ca="1">IF(A40="利息：取LPR",存贷款利率!G1,存贷款利率!G1+C40)</f>
        <v>3.4500000000000003E-2</v>
      </c>
      <c r="C40" s="2569">
        <v>5.0000000000000001E-3</v>
      </c>
      <c r="D40" s="2445"/>
      <c r="E40" s="2448"/>
      <c r="F40" s="2436"/>
      <c r="G40" s="2436"/>
      <c r="H40" s="2436"/>
      <c r="I40" s="2436"/>
      <c r="J40" s="2436"/>
      <c r="K40" s="3148" t="s">
        <v>3399</v>
      </c>
      <c r="L40" s="3149">
        <f>L36</f>
        <v>1591.64</v>
      </c>
      <c r="M40" s="3151">
        <v>1000</v>
      </c>
      <c r="N40" s="3153">
        <f t="shared" si="16"/>
        <v>1591640</v>
      </c>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8">
        <f>B42+B43</f>
        <v>5.5000000000000007E-2</v>
      </c>
      <c r="C41" s="2450"/>
      <c r="D41" s="2445"/>
      <c r="E41" s="2448"/>
      <c r="F41" s="2436"/>
      <c r="G41" s="2436"/>
      <c r="H41" s="2436"/>
      <c r="I41" s="2436"/>
      <c r="J41" s="2436"/>
      <c r="K41" s="3145" t="s">
        <v>3400</v>
      </c>
      <c r="L41" s="3151">
        <v>0</v>
      </c>
      <c r="M41" s="3150">
        <f>M35</f>
        <v>3300</v>
      </c>
      <c r="N41" s="3150">
        <f>M41*L41</f>
        <v>0</v>
      </c>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09">
        <v>0.05</v>
      </c>
      <c r="C42" s="2455">
        <f>IF(B2&lt;DATE(2016,5,1),0,B42)</f>
        <v>0.05</v>
      </c>
      <c r="D42" s="2448"/>
      <c r="E42" s="2436"/>
      <c r="F42" s="2436"/>
      <c r="G42" s="2436"/>
      <c r="H42" s="2436"/>
      <c r="I42" s="2436"/>
      <c r="J42" s="2436"/>
      <c r="K42" s="3145" t="s">
        <v>3401</v>
      </c>
      <c r="L42" s="3154">
        <f>L36</f>
        <v>1591.64</v>
      </c>
      <c r="M42" s="3147">
        <f>N42/L42</f>
        <v>3300</v>
      </c>
      <c r="N42" s="3147">
        <f>N36+N39+N40+N41</f>
        <v>5252412</v>
      </c>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0">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1">
        <v>0.05</v>
      </c>
      <c r="C44" s="2561" t="s">
        <v>2305</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09">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09">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2306</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3">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29</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6" customFormat="1" ht="18.75" thickBot="1">
      <c r="A1" s="3271" t="s">
        <v>2283</v>
      </c>
      <c r="B1" s="3272"/>
      <c r="C1" s="3272"/>
      <c r="D1" s="3272"/>
      <c r="E1" s="3272"/>
      <c r="F1" s="3272"/>
      <c r="G1" s="327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2278</v>
      </c>
      <c r="D2" s="1594"/>
      <c r="E2" s="2257"/>
      <c r="F2" s="2260"/>
      <c r="G2" s="2259" t="s">
        <v>2279</v>
      </c>
      <c r="H2" s="750"/>
      <c r="I2" s="750"/>
      <c r="J2" s="750"/>
      <c r="K2" s="750"/>
      <c r="L2" s="750"/>
      <c r="M2" s="750"/>
      <c r="N2" s="750"/>
      <c r="O2" s="750"/>
      <c r="P2" s="750"/>
      <c r="Q2" s="750"/>
    </row>
    <row r="3" spans="1:29" ht="48">
      <c r="A3" s="2244" t="s">
        <v>2280</v>
      </c>
      <c r="B3" s="2261" t="s">
        <v>2249</v>
      </c>
      <c r="C3" s="2262" t="s">
        <v>2281</v>
      </c>
      <c r="D3" s="2263"/>
      <c r="E3" s="2245" t="s">
        <v>2280</v>
      </c>
      <c r="F3" s="2264" t="s">
        <v>2250</v>
      </c>
      <c r="G3" s="2265" t="s">
        <v>2282</v>
      </c>
      <c r="H3" s="750"/>
      <c r="I3" s="750"/>
      <c r="J3" s="750"/>
      <c r="K3" s="750"/>
      <c r="L3" s="750"/>
      <c r="M3" s="750"/>
      <c r="N3" s="750"/>
      <c r="O3" s="750"/>
      <c r="P3" s="750"/>
      <c r="Q3" s="750"/>
    </row>
    <row r="4" spans="1:29" ht="36.75">
      <c r="A4" s="2245"/>
      <c r="B4" s="314" t="s">
        <v>2251</v>
      </c>
      <c r="C4" s="2266" t="s">
        <v>2252</v>
      </c>
      <c r="D4" s="2263"/>
      <c r="E4" s="2267"/>
      <c r="F4" s="1280" t="s">
        <v>2253</v>
      </c>
      <c r="G4" s="2268" t="s">
        <v>2254</v>
      </c>
      <c r="H4" s="750"/>
      <c r="I4" s="750"/>
      <c r="J4" s="750"/>
      <c r="K4" s="750"/>
      <c r="L4" s="750"/>
      <c r="M4" s="750"/>
      <c r="N4" s="750"/>
      <c r="O4" s="750"/>
      <c r="P4" s="750"/>
      <c r="Q4" s="750"/>
    </row>
    <row r="5" spans="1:29" ht="36.75">
      <c r="A5" s="2245"/>
      <c r="B5" s="314" t="s">
        <v>2255</v>
      </c>
      <c r="C5" s="2266" t="s">
        <v>2256</v>
      </c>
      <c r="D5" s="2263"/>
      <c r="E5" s="2267"/>
      <c r="F5" s="314" t="s">
        <v>2257</v>
      </c>
      <c r="G5" s="2268" t="s">
        <v>2258</v>
      </c>
      <c r="H5" s="750"/>
      <c r="I5" s="750"/>
      <c r="J5" s="750"/>
      <c r="K5" s="750"/>
      <c r="L5" s="750"/>
      <c r="M5" s="750"/>
      <c r="N5" s="750"/>
      <c r="O5" s="750"/>
      <c r="P5" s="750"/>
      <c r="Q5" s="750"/>
    </row>
    <row r="6" spans="1:29" ht="36">
      <c r="A6" s="2245"/>
      <c r="B6" s="314" t="s">
        <v>2259</v>
      </c>
      <c r="C6" s="2268" t="s">
        <v>2254</v>
      </c>
      <c r="D6" s="2263"/>
      <c r="E6" s="2267"/>
      <c r="F6" s="314" t="s">
        <v>2260</v>
      </c>
      <c r="G6" s="2268" t="s">
        <v>2261</v>
      </c>
      <c r="H6" s="750"/>
      <c r="I6" s="750"/>
      <c r="J6" s="750"/>
      <c r="K6" s="750"/>
      <c r="L6" s="750"/>
      <c r="M6" s="750"/>
      <c r="N6" s="750"/>
      <c r="O6" s="750"/>
      <c r="P6" s="750"/>
      <c r="Q6" s="750"/>
    </row>
    <row r="7" spans="1:29" ht="24.75" thickBot="1">
      <c r="A7" s="2245"/>
      <c r="B7" s="314" t="s">
        <v>2257</v>
      </c>
      <c r="C7" s="2268" t="s">
        <v>2258</v>
      </c>
      <c r="D7" s="2242"/>
      <c r="E7" s="2269"/>
      <c r="F7" s="2270" t="s">
        <v>2262</v>
      </c>
      <c r="G7" s="2271" t="s">
        <v>2263</v>
      </c>
      <c r="H7" s="750"/>
      <c r="I7" s="750"/>
      <c r="J7" s="750"/>
      <c r="K7" s="750"/>
      <c r="L7" s="750"/>
      <c r="M7" s="750"/>
      <c r="N7" s="750"/>
      <c r="O7" s="750"/>
      <c r="P7" s="750"/>
      <c r="Q7" s="750"/>
    </row>
    <row r="8" spans="1:29">
      <c r="A8" s="2245"/>
      <c r="B8" s="314" t="s">
        <v>2260</v>
      </c>
      <c r="C8" s="2268" t="s">
        <v>2261</v>
      </c>
      <c r="D8" s="2242"/>
      <c r="E8" s="2242"/>
      <c r="F8" s="120"/>
      <c r="G8" s="120"/>
      <c r="H8" s="750"/>
      <c r="I8" s="750"/>
      <c r="J8" s="750"/>
      <c r="K8" s="750"/>
      <c r="L8" s="750"/>
      <c r="M8" s="750"/>
      <c r="N8" s="750"/>
      <c r="O8" s="750"/>
      <c r="P8" s="750"/>
      <c r="Q8" s="750"/>
    </row>
    <row r="9" spans="1:29" ht="24">
      <c r="A9" s="2245"/>
      <c r="B9" s="314" t="s">
        <v>2264</v>
      </c>
      <c r="C9" s="2266" t="s">
        <v>2265</v>
      </c>
      <c r="D9" s="2263"/>
      <c r="E9" s="2242"/>
      <c r="F9" s="120"/>
      <c r="G9" s="120"/>
      <c r="H9" s="750"/>
      <c r="I9" s="750"/>
      <c r="J9" s="750"/>
      <c r="K9" s="750"/>
      <c r="L9" s="750"/>
      <c r="M9" s="750"/>
      <c r="N9" s="750"/>
      <c r="O9" s="750"/>
      <c r="P9" s="750"/>
      <c r="Q9" s="750"/>
    </row>
    <row r="10" spans="1:29" ht="15" thickBot="1">
      <c r="A10" s="2246"/>
      <c r="B10" s="2272" t="s">
        <v>2266</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2284</v>
      </c>
      <c r="B13" s="2277"/>
      <c r="C13" s="2277"/>
      <c r="D13" s="2276"/>
      <c r="E13" s="2277"/>
      <c r="F13" s="2277"/>
      <c r="G13" s="2277"/>
    </row>
    <row r="14" spans="1:29" ht="15" thickBot="1">
      <c r="A14" s="2282"/>
      <c r="B14" s="2282"/>
      <c r="C14" s="2283" t="s">
        <v>2267</v>
      </c>
      <c r="D14" s="2263"/>
      <c r="E14" s="2284"/>
      <c r="F14" s="2284"/>
      <c r="G14" s="2259" t="s">
        <v>2268</v>
      </c>
    </row>
    <row r="15" spans="1:29" ht="51">
      <c r="A15" s="2247" t="s">
        <v>2269</v>
      </c>
      <c r="B15" s="2285" t="s">
        <v>2249</v>
      </c>
      <c r="C15" s="2286" t="str">
        <f>C3</f>
        <v>估价对象周边居住用地比例、居住小区规模和社区发展完善程度，综合评价居住社区成熟度一般</v>
      </c>
      <c r="D15" s="2263"/>
      <c r="E15" s="2248" t="s">
        <v>2270</v>
      </c>
      <c r="F15" s="2285" t="s">
        <v>2271</v>
      </c>
      <c r="G15" s="2287" t="str">
        <f>G3</f>
        <v>估价对象位于XX开发区，园区建设成熟度XX，产业集聚程度XX</v>
      </c>
    </row>
    <row r="16" spans="1:29" ht="38.25">
      <c r="A16" s="2249"/>
      <c r="B16" s="2288" t="s">
        <v>2251</v>
      </c>
      <c r="C16" s="2289" t="str">
        <f>C4</f>
        <v>估价对象位于XX商圈，周边商业氛围成熟，人流量大，商业繁华度好</v>
      </c>
      <c r="D16" s="2263"/>
      <c r="E16" s="2250"/>
      <c r="F16" s="2290" t="s">
        <v>2253</v>
      </c>
      <c r="G16" s="2291" t="str">
        <f>G4</f>
        <v>估价对象周边道路状况、公共交通通达情况、停车便捷程度，综合评价交通便捷度较好</v>
      </c>
    </row>
    <row r="17" spans="1:17" ht="38.25">
      <c r="A17" s="2249"/>
      <c r="B17" s="2288" t="s">
        <v>2255</v>
      </c>
      <c r="C17" s="2289" t="str">
        <f>C5</f>
        <v>估价对象位于XX商圈，周边办公楼项目较多，入驻率高，办公集聚程度较好</v>
      </c>
      <c r="D17" s="2242"/>
      <c r="E17" s="2250"/>
      <c r="F17" s="2290" t="s">
        <v>2272</v>
      </c>
      <c r="G17" s="2292"/>
    </row>
    <row r="18" spans="1:17" ht="38.25">
      <c r="A18" s="2249"/>
      <c r="B18" s="2290" t="s">
        <v>2259</v>
      </c>
      <c r="C18" s="2291" t="str">
        <f>C6</f>
        <v>估价对象周边道路状况、公共交通通达情况、停车便捷程度，综合评价交通便捷度较好</v>
      </c>
      <c r="D18" s="2242"/>
      <c r="E18" s="2250"/>
      <c r="F18" s="2290" t="s">
        <v>2262</v>
      </c>
      <c r="G18" s="2291" t="str">
        <f>G7</f>
        <v>该园区内是否有污染型企业，绿化情况，卫生条件，整体环境状况判断</v>
      </c>
    </row>
    <row r="19" spans="1:17" ht="25.5">
      <c r="A19" s="2249"/>
      <c r="B19" s="2290" t="s">
        <v>2273</v>
      </c>
      <c r="C19" s="2292"/>
      <c r="D19" s="2263"/>
      <c r="E19" s="2250"/>
      <c r="F19" s="314" t="s">
        <v>2257</v>
      </c>
      <c r="G19" s="2291" t="str">
        <f>G5</f>
        <v>估价对象所在区域公共配套设施齐备情况</v>
      </c>
    </row>
    <row r="20" spans="1:17" ht="25.5">
      <c r="A20" s="2249"/>
      <c r="B20" s="2290" t="s">
        <v>2274</v>
      </c>
      <c r="C20" s="2289" t="str">
        <f>C9</f>
        <v>区域自然环境：；人文环境；综合评价环境状况一般</v>
      </c>
      <c r="D20" s="2242"/>
      <c r="E20" s="2250"/>
      <c r="F20" s="314" t="s">
        <v>2260</v>
      </c>
      <c r="G20" s="2291" t="str">
        <f>G6</f>
        <v>估价对象所在区域基础设施水平</v>
      </c>
    </row>
    <row r="21" spans="1:17" ht="25.5">
      <c r="A21" s="2249"/>
      <c r="B21" s="314" t="s">
        <v>2257</v>
      </c>
      <c r="C21" s="2291" t="str">
        <f>C7</f>
        <v>估价对象所在区域公共配套设施齐备情况</v>
      </c>
      <c r="D21" s="2263"/>
      <c r="E21" s="2250"/>
      <c r="F21" s="2290" t="s">
        <v>2275</v>
      </c>
      <c r="G21" s="2293"/>
    </row>
    <row r="22" spans="1:17" ht="13.5" customHeight="1">
      <c r="A22" s="2249"/>
      <c r="B22" s="314" t="s">
        <v>2260</v>
      </c>
      <c r="C22" s="2291" t="str">
        <f>C8</f>
        <v>估价对象所在区域基础设施水平</v>
      </c>
      <c r="D22" s="2263"/>
      <c r="E22" s="2250"/>
      <c r="F22" s="2290" t="s">
        <v>2266</v>
      </c>
      <c r="G22" s="2292"/>
    </row>
    <row r="23" spans="1:17" s="750" customFormat="1" ht="15" thickBot="1">
      <c r="A23" s="2249"/>
      <c r="B23" s="2290" t="s">
        <v>2275</v>
      </c>
      <c r="C23" s="2293"/>
      <c r="D23" s="1613"/>
      <c r="E23" s="2251"/>
      <c r="F23" s="2294" t="s">
        <v>2276</v>
      </c>
      <c r="G23" s="2295"/>
      <c r="H23" s="2274"/>
      <c r="I23" s="2274"/>
      <c r="J23" s="2274"/>
      <c r="K23" s="2274"/>
      <c r="L23" s="2274"/>
      <c r="M23" s="2274"/>
      <c r="N23" s="2274"/>
      <c r="O23" s="2274"/>
      <c r="P23" s="2274"/>
      <c r="Q23" s="2274"/>
    </row>
    <row r="24" spans="1:17" s="750" customFormat="1" ht="15" thickBot="1">
      <c r="A24" s="2252"/>
      <c r="B24" s="2294" t="s">
        <v>2277</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7170.4100000000008</v>
      </c>
      <c r="C1" s="2458"/>
      <c r="D1" s="2458"/>
      <c r="E1" s="2458"/>
      <c r="F1" s="2458"/>
      <c r="G1" s="2459"/>
      <c r="H1" s="2459"/>
      <c r="I1" s="2459"/>
      <c r="J1" s="2459"/>
      <c r="K1" s="2459"/>
    </row>
    <row r="2" spans="1:11" ht="16.5">
      <c r="A2" s="2297" t="s">
        <v>653</v>
      </c>
      <c r="B2" s="2297">
        <f>SUM(C14:C23)</f>
        <v>14571.48</v>
      </c>
      <c r="C2" s="2458"/>
      <c r="D2" s="2458"/>
      <c r="E2" s="2458"/>
      <c r="F2" s="2458"/>
      <c r="G2" s="2459"/>
      <c r="H2" s="2459"/>
      <c r="I2" s="2459"/>
      <c r="J2" s="2459"/>
      <c r="K2" s="2459"/>
    </row>
    <row r="3" spans="1:11" ht="16.5">
      <c r="A3" s="2297" t="s">
        <v>662</v>
      </c>
      <c r="B3" s="2299">
        <f>项目基本情况!D3</f>
        <v>45315</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2847</v>
      </c>
      <c r="C5" s="2297">
        <f ca="1">IF(B5=D14,结果表!H102,ROUND(B5*10000/$B$1,0))</f>
        <v>3970</v>
      </c>
      <c r="D5" s="2297">
        <f ca="1">ROUND(B5*10000/$B$2,0)</f>
        <v>1954</v>
      </c>
      <c r="E5" s="2458"/>
      <c r="F5" s="2459"/>
      <c r="G5" s="2459"/>
      <c r="H5" s="2459"/>
      <c r="I5" s="2459"/>
      <c r="J5" s="2459"/>
      <c r="K5" s="2459"/>
    </row>
    <row r="6" spans="1:11" ht="16.5">
      <c r="A6" s="2297" t="s">
        <v>656</v>
      </c>
      <c r="B6" s="2297">
        <f ca="1">SUM(G14:G23)</f>
        <v>2847</v>
      </c>
      <c r="C6" s="2297">
        <f ca="1">IF(B6=G14,结果表!H108,ROUND(B6*10000/$B$1,0))</f>
        <v>3970</v>
      </c>
      <c r="D6" s="2297">
        <f ca="1">ROUND(B6*10000/$B$2,0)</f>
        <v>1954</v>
      </c>
      <c r="E6" s="2458"/>
      <c r="F6" s="2459"/>
      <c r="G6" s="2459"/>
      <c r="H6" s="2459"/>
      <c r="I6" s="2459"/>
      <c r="J6" s="2459"/>
      <c r="K6" s="2459"/>
    </row>
    <row r="7" spans="1:11" ht="16.5">
      <c r="A7" s="2297" t="s">
        <v>664</v>
      </c>
      <c r="B7" s="2297">
        <f>SUM(H14:H23)</f>
        <v>0</v>
      </c>
      <c r="C7" s="2297" t="str">
        <f>IF(B7=H14,结果表!H110,ROUND(B7*10000/$B$1,0))</f>
        <v>——</v>
      </c>
      <c r="D7" s="2297">
        <f>ROUND(B7*10000/$B$2,0)</f>
        <v>0</v>
      </c>
      <c r="E7" s="2458"/>
      <c r="F7" s="2459">
        <f>20000*B14</f>
        <v>143408200.00000003</v>
      </c>
      <c r="G7" s="2459"/>
      <c r="H7" s="2459"/>
      <c r="I7" s="2459"/>
      <c r="J7" s="2459"/>
      <c r="K7" s="2459"/>
    </row>
    <row r="8" spans="1:11" ht="16.5">
      <c r="A8" s="2297" t="s">
        <v>587</v>
      </c>
      <c r="B8" s="2297">
        <f>SUM(I14:I23)</f>
        <v>0</v>
      </c>
      <c r="C8" s="2297" t="str">
        <f>IF(B8=I14,结果表!H112,ROUND(B8*10000/$B$1,0))</f>
        <v>——</v>
      </c>
      <c r="D8" s="2297">
        <f>ROUND(B8*10000/$B$2,0)</f>
        <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3354</v>
      </c>
      <c r="D10" s="2297" t="s">
        <v>3355</v>
      </c>
      <c r="E10" s="3133"/>
      <c r="F10" s="3137" t="s">
        <v>3356</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'数据-汇总表'!E3</f>
        <v>7170.4100000000008</v>
      </c>
      <c r="C14" s="2303">
        <f>'数据-汇总表'!D3</f>
        <v>14571.48</v>
      </c>
      <c r="D14" s="2303">
        <f ca="1">结果表!H101</f>
        <v>2847</v>
      </c>
      <c r="E14" s="2303">
        <f ca="1">ROUND(D14*10000/B14,0)</f>
        <v>3970</v>
      </c>
      <c r="F14" s="2303">
        <f ca="1">ROUND(D14*10000/C14,0)</f>
        <v>1954</v>
      </c>
      <c r="G14" s="2303">
        <f ca="1">结果表!H107</f>
        <v>2847</v>
      </c>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C35" sqref="C35"/>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40" t="str">
        <f>项目基本情况!S2</f>
        <v>北京市延庆县康庄镇康祥路11号1-6幢工业用房房地产</v>
      </c>
      <c r="B2" s="3341"/>
      <c r="C2" s="3341"/>
      <c r="D2" s="3341"/>
      <c r="E2" s="3341"/>
      <c r="F2" s="3341"/>
      <c r="G2" s="3341"/>
      <c r="H2" s="3341"/>
      <c r="I2" s="3342"/>
    </row>
    <row r="3" spans="1:12" ht="12.75">
      <c r="A3" s="3345" t="s">
        <v>1264</v>
      </c>
      <c r="B3" s="3346"/>
      <c r="C3" s="3346"/>
      <c r="D3" s="3346"/>
      <c r="E3" s="3346"/>
      <c r="F3" s="3346"/>
      <c r="G3" s="3346"/>
      <c r="H3" s="3346"/>
      <c r="I3" s="3346"/>
    </row>
    <row r="4" spans="1:12" ht="14.25">
      <c r="A4" s="1623" t="s">
        <v>1265</v>
      </c>
      <c r="B4" s="1624" t="s">
        <v>1266</v>
      </c>
      <c r="C4" s="1625" t="s">
        <v>3489</v>
      </c>
      <c r="D4" s="1625" t="s">
        <v>3530</v>
      </c>
      <c r="E4" s="3350" t="s">
        <v>1267</v>
      </c>
      <c r="F4" s="3351"/>
      <c r="G4" s="3351"/>
      <c r="H4" s="3351"/>
      <c r="I4" s="335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8" t="s">
        <v>1268</v>
      </c>
      <c r="B5" s="3343">
        <v>25</v>
      </c>
      <c r="C5" s="3347"/>
      <c r="D5" s="3344"/>
      <c r="E5" s="122" t="s">
        <v>1269</v>
      </c>
      <c r="F5" s="1626"/>
      <c r="G5" s="1626"/>
      <c r="H5" s="1626"/>
      <c r="I5" s="1280"/>
    </row>
    <row r="6" spans="1:12" ht="12.75">
      <c r="A6" s="3288"/>
      <c r="B6" s="3343"/>
      <c r="C6" s="3349"/>
      <c r="D6" s="3344"/>
      <c r="E6" s="122" t="s">
        <v>1270</v>
      </c>
      <c r="F6" s="1626"/>
      <c r="G6" s="1626"/>
      <c r="H6" s="1626"/>
      <c r="I6" s="1280"/>
    </row>
    <row r="7" spans="1:12" ht="12.75">
      <c r="A7" s="3288"/>
      <c r="B7" s="3343"/>
      <c r="C7" s="3348"/>
      <c r="D7" s="3344"/>
      <c r="E7" s="122" t="s">
        <v>1271</v>
      </c>
      <c r="F7" s="1626"/>
      <c r="G7" s="1626"/>
      <c r="H7" s="1626"/>
      <c r="I7" s="1280"/>
    </row>
    <row r="8" spans="1:12" ht="12.75">
      <c r="A8" s="3288" t="s">
        <v>1272</v>
      </c>
      <c r="B8" s="3343">
        <v>15</v>
      </c>
      <c r="C8" s="3347"/>
      <c r="D8" s="3344"/>
      <c r="E8" s="122" t="s">
        <v>1273</v>
      </c>
      <c r="F8" s="1626"/>
      <c r="G8" s="1626"/>
      <c r="H8" s="1626"/>
      <c r="I8" s="1280"/>
    </row>
    <row r="9" spans="1:12" ht="12.75">
      <c r="A9" s="3288"/>
      <c r="B9" s="3343"/>
      <c r="C9" s="3348"/>
      <c r="D9" s="3344"/>
      <c r="E9" s="122" t="s">
        <v>1274</v>
      </c>
      <c r="F9" s="1626"/>
      <c r="G9" s="1626"/>
      <c r="H9" s="1626"/>
      <c r="I9" s="1280"/>
    </row>
    <row r="10" spans="1:12" ht="12.75">
      <c r="A10" s="3288" t="s">
        <v>1275</v>
      </c>
      <c r="B10" s="3343">
        <v>15</v>
      </c>
      <c r="C10" s="3347"/>
      <c r="D10" s="3344"/>
      <c r="E10" s="122" t="s">
        <v>1276</v>
      </c>
      <c r="F10" s="1626"/>
      <c r="G10" s="1626"/>
      <c r="H10" s="1626"/>
      <c r="I10" s="1280"/>
    </row>
    <row r="11" spans="1:12" ht="12.75">
      <c r="A11" s="3288"/>
      <c r="B11" s="3343"/>
      <c r="C11" s="3348"/>
      <c r="D11" s="3344"/>
      <c r="E11" s="122" t="s">
        <v>1277</v>
      </c>
      <c r="F11" s="1626"/>
      <c r="G11" s="1626"/>
      <c r="H11" s="1626"/>
      <c r="I11" s="1280"/>
    </row>
    <row r="12" spans="1:12" ht="12.75">
      <c r="A12" s="3288" t="s">
        <v>1278</v>
      </c>
      <c r="B12" s="3343">
        <v>15</v>
      </c>
      <c r="C12" s="3347"/>
      <c r="D12" s="3344"/>
      <c r="E12" s="122" t="s">
        <v>1279</v>
      </c>
      <c r="F12" s="1626"/>
      <c r="G12" s="1626"/>
      <c r="H12" s="1626"/>
      <c r="I12" s="1280"/>
    </row>
    <row r="13" spans="1:12" ht="12.75">
      <c r="A13" s="3288"/>
      <c r="B13" s="3343"/>
      <c r="C13" s="3348"/>
      <c r="D13" s="3344"/>
      <c r="E13" s="122" t="s">
        <v>1280</v>
      </c>
      <c r="F13" s="1626"/>
      <c r="G13" s="1626"/>
      <c r="H13" s="1626"/>
      <c r="I13" s="1280"/>
    </row>
    <row r="14" spans="1:12" ht="12.75">
      <c r="A14" s="3288" t="s">
        <v>1281</v>
      </c>
      <c r="B14" s="3343">
        <v>30</v>
      </c>
      <c r="C14" s="3363">
        <v>5</v>
      </c>
      <c r="D14" s="3334">
        <v>5</v>
      </c>
      <c r="E14" s="122" t="s">
        <v>1282</v>
      </c>
      <c r="F14" s="1626"/>
      <c r="G14" s="1626"/>
      <c r="H14" s="1626"/>
      <c r="I14" s="1280"/>
    </row>
    <row r="15" spans="1:12" ht="12.75">
      <c r="A15" s="3288"/>
      <c r="B15" s="3343"/>
      <c r="C15" s="3364"/>
      <c r="D15" s="3334"/>
      <c r="E15" s="122" t="s">
        <v>1283</v>
      </c>
      <c r="F15" s="1626"/>
      <c r="G15" s="1626"/>
      <c r="H15" s="1626"/>
      <c r="I15" s="1280"/>
    </row>
    <row r="16" spans="1:12" ht="12.75">
      <c r="A16" s="3288"/>
      <c r="B16" s="3343"/>
      <c r="C16" s="3365"/>
      <c r="D16" s="3334"/>
      <c r="E16" s="122" t="s">
        <v>1284</v>
      </c>
      <c r="F16" s="1626"/>
      <c r="G16" s="1626"/>
      <c r="H16" s="1626"/>
      <c r="I16" s="1280"/>
    </row>
    <row r="17" spans="1:36" ht="15">
      <c r="A17" s="1627" t="s">
        <v>1285</v>
      </c>
      <c r="B17" s="54"/>
      <c r="C17" s="123">
        <f>SUM(C5:C16)</f>
        <v>5</v>
      </c>
      <c r="D17" s="123">
        <f>SUM(D5:D16)</f>
        <v>5</v>
      </c>
      <c r="E17" s="120"/>
      <c r="F17" s="120"/>
      <c r="G17" s="120"/>
      <c r="H17" s="120"/>
      <c r="I17" s="120"/>
      <c r="K17" s="293"/>
      <c r="L17" s="293" t="s">
        <v>1286</v>
      </c>
      <c r="M17" s="293" t="s">
        <v>1287</v>
      </c>
    </row>
    <row r="18" spans="1:36" ht="31.9" customHeight="1" thickBot="1">
      <c r="A18" s="1628" t="s">
        <v>1288</v>
      </c>
      <c r="B18" s="1541"/>
      <c r="C18" s="124">
        <f>ROUND(C17/SUM(C17:D17),2)</f>
        <v>0.5</v>
      </c>
      <c r="D18" s="124">
        <f>1-C18</f>
        <v>0.5</v>
      </c>
      <c r="E18" s="3369" t="s">
        <v>2128</v>
      </c>
      <c r="F18" s="3370"/>
      <c r="G18" s="3370"/>
      <c r="H18" s="3370"/>
      <c r="I18" s="3370"/>
      <c r="K18" s="293" t="s">
        <v>1289</v>
      </c>
      <c r="L18" s="293">
        <f>IF(C1="",'数据-汇总表'!E3,SUMIF(项目类型,C1,'数据-汇总表'!E17:E26)+SUMIF(项目类型,C1,'数据-汇总表'!I17:I26))</f>
        <v>7170.4100000000008</v>
      </c>
      <c r="M18" s="293">
        <f>IF(C1="",'数据-汇总表'!E3,SUMIF(项目类型,C1,'数据-汇总表'!E17:E26))</f>
        <v>7170.4100000000008</v>
      </c>
    </row>
    <row r="19" spans="1:36" ht="15">
      <c r="A19" s="1629" t="s">
        <v>1290</v>
      </c>
      <c r="B19" s="1630" t="s">
        <v>1291</v>
      </c>
      <c r="C19" s="125">
        <f ca="1">SUMIF(INDIRECT("'"&amp;C4&amp;"'"&amp;"!A:A"),结果表!B19,INDIRECT("'"&amp;C4&amp;"'"&amp;"!B:B"))</f>
        <v>2952</v>
      </c>
      <c r="D19" s="126">
        <f ca="1">SUMIF(INDIRECT("'"&amp;D4&amp;"'"&amp;"!A:A"),结果表!B19,INDIRECT("'"&amp;D4&amp;"'"&amp;"!B:B"))</f>
        <v>2741</v>
      </c>
      <c r="E19" s="1629" t="s">
        <v>1292</v>
      </c>
      <c r="F19" s="1630" t="s">
        <v>1291</v>
      </c>
      <c r="G19" s="127">
        <f ca="1">ROUND(C19*$C$18+D19*$D$18,0)</f>
        <v>2847</v>
      </c>
      <c r="H19" s="1631" t="s">
        <v>1293</v>
      </c>
      <c r="I19" s="120"/>
      <c r="K19" s="293" t="s">
        <v>1294</v>
      </c>
      <c r="L19" s="293">
        <f>IF(C1="",'数据-汇总表'!D3,SUMIF(项目类型,C1,'数据-汇总表'!D17:D26)+SUMIF(项目类型,C1,'数据-汇总表'!H17:H27))</f>
        <v>14571.48</v>
      </c>
      <c r="M19" s="293">
        <f>IF(C1="",'数据-汇总表'!D3,SUMIF(项目类型,C1,'数据-汇总表'!D17:D26))</f>
        <v>14571.48</v>
      </c>
    </row>
    <row r="20" spans="1:36" ht="15">
      <c r="A20" s="1632"/>
      <c r="B20" s="43" t="s">
        <v>1295</v>
      </c>
      <c r="C20" s="128">
        <f ca="1">SUMIF(INDIRECT("'"&amp;C4&amp;"'"&amp;"!A:A"),结果表!B20,INDIRECT("'"&amp;C4&amp;"'"&amp;"!B:B"))</f>
        <v>4117</v>
      </c>
      <c r="D20" s="129">
        <f ca="1">SUMIF(INDIRECT("'"&amp;D4&amp;"'"&amp;"!A:A"),结果表!B20,INDIRECT("'"&amp;D4&amp;"'"&amp;"!B:B"))</f>
        <v>3823</v>
      </c>
      <c r="E20" s="1632"/>
      <c r="F20" s="43" t="s">
        <v>1295</v>
      </c>
      <c r="G20" s="130">
        <f ca="1">ROUND(C20*$C$18+D20*$D$18,0)</f>
        <v>3970</v>
      </c>
      <c r="H20" s="759" t="s">
        <v>1296</v>
      </c>
      <c r="I20" s="120"/>
    </row>
    <row r="21" spans="1:36" ht="15" customHeight="1" thickBot="1">
      <c r="A21" s="448"/>
      <c r="B21" s="93" t="s">
        <v>1297</v>
      </c>
      <c r="C21" s="677">
        <f ca="1">ROUND(C19*10000/L19,0)</f>
        <v>2026</v>
      </c>
      <c r="D21" s="678">
        <f ca="1">ROUND(D19*10000/L19,0)</f>
        <v>1881</v>
      </c>
      <c r="E21" s="448"/>
      <c r="F21" s="93" t="s">
        <v>1297</v>
      </c>
      <c r="G21" s="131">
        <f ca="1">ROUND(G19*10000/L19,0)</f>
        <v>1954</v>
      </c>
      <c r="H21" s="1633" t="s">
        <v>1296</v>
      </c>
      <c r="I21" s="120"/>
    </row>
    <row r="22" spans="1:36" ht="15" thickBot="1">
      <c r="A22" s="1563" t="s">
        <v>1298</v>
      </c>
      <c r="B22" s="1634"/>
      <c r="C22" s="1635"/>
      <c r="D22" s="679">
        <f ca="1">IF(C19&lt;D19,D19/C19-1,C19/D19-1)</f>
        <v>7.6979204669828549E-2</v>
      </c>
      <c r="E22" s="120"/>
      <c r="F22" s="120"/>
      <c r="G22" s="120"/>
      <c r="H22" s="120"/>
      <c r="I22" s="120"/>
    </row>
    <row r="23" spans="1:36" ht="13.5" thickBot="1">
      <c r="A23" s="645"/>
      <c r="B23" s="645"/>
      <c r="C23" s="645"/>
      <c r="D23" s="645"/>
      <c r="E23" s="120"/>
      <c r="F23" s="120"/>
      <c r="G23" s="120"/>
      <c r="H23" s="120"/>
      <c r="I23" s="120"/>
    </row>
    <row r="24" spans="1:36" ht="14.25">
      <c r="A24" s="3359" t="s">
        <v>1299</v>
      </c>
      <c r="B24" s="1630" t="s">
        <v>1291</v>
      </c>
      <c r="C24" s="127">
        <f>IF(B30=0,0,D30)</f>
        <v>0</v>
      </c>
      <c r="D24" s="1636"/>
      <c r="E24" s="120"/>
      <c r="F24" s="120"/>
      <c r="G24" s="120"/>
      <c r="H24" s="120"/>
      <c r="I24" s="120"/>
    </row>
    <row r="25" spans="1:36" ht="14.25">
      <c r="A25" s="3360"/>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2129</v>
      </c>
      <c r="F30" s="120"/>
      <c r="G30" s="120"/>
      <c r="H30" s="120"/>
      <c r="I30" s="120"/>
    </row>
    <row r="31" spans="1:36" s="2132" customFormat="1" ht="26.45" customHeight="1" thickTop="1" thickBot="1">
      <c r="A31" s="2127"/>
      <c r="B31" s="2128"/>
      <c r="C31" s="2128"/>
      <c r="D31" s="2128"/>
      <c r="E31" s="2128"/>
      <c r="F31" s="2128"/>
      <c r="G31" s="2128"/>
      <c r="H31" s="2128"/>
      <c r="I31" s="2129" t="s">
        <v>2130</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2847</v>
      </c>
      <c r="D32" s="1640" t="s">
        <v>3487</v>
      </c>
      <c r="E32" s="120"/>
      <c r="F32" s="120"/>
      <c r="G32" s="120"/>
      <c r="H32" s="120"/>
      <c r="I32" s="120"/>
    </row>
    <row r="33" spans="1:15" ht="15">
      <c r="A33" s="739" t="s">
        <v>1306</v>
      </c>
      <c r="B33" s="122"/>
      <c r="C33" s="1641" t="s">
        <v>3488</v>
      </c>
      <c r="D33" s="1642" t="s">
        <v>3489</v>
      </c>
      <c r="E33" s="1643" t="s">
        <v>1307</v>
      </c>
      <c r="F33" s="1644" t="str">
        <f>IF(D32="楼面单价","取值（单价）","取值（总价）")</f>
        <v>取值（总价）</v>
      </c>
      <c r="G33" s="120"/>
      <c r="H33" s="120"/>
      <c r="I33" s="120"/>
    </row>
    <row r="34" spans="1:15" ht="15">
      <c r="A34" s="1645"/>
      <c r="B34" s="1646" t="s">
        <v>1308</v>
      </c>
      <c r="C34" s="139">
        <f ca="1">IF(C33="自定义",F34,C32-C35)</f>
        <v>1167</v>
      </c>
      <c r="D34" s="807">
        <f ca="1">IF(C33="自定义",ROUND(C34/C32,3),IF(C33="收益比率",SUMIF(INDIRECT("'"&amp;D33&amp;"'"&amp;"!b:b"),"土地收益比率",INDIRECT("'"&amp;D33&amp;"'"&amp;"!c:c")),SUMIF(INDIRECT("'"&amp;D33&amp;"'"&amp;"!b:b"),"土地成本比率",INDIRECT("'"&amp;D33&amp;"'"&amp;"!c:c"))))</f>
        <v>0.41000000000000003</v>
      </c>
      <c r="E34" s="1647" t="s">
        <v>1309</v>
      </c>
      <c r="F34" s="1242"/>
      <c r="G34" s="120"/>
      <c r="H34" s="120"/>
      <c r="I34" s="120"/>
    </row>
    <row r="35" spans="1:15" ht="15.75" thickBot="1">
      <c r="A35" s="1648"/>
      <c r="B35" s="1649" t="s">
        <v>1310</v>
      </c>
      <c r="C35" s="1089">
        <f ca="1">IF(C33="自定义",F35,ROUND(C32*D35,0))</f>
        <v>1680</v>
      </c>
      <c r="D35" s="1090">
        <f ca="1">IF(C33="自定义",ROUND(C35/C32,3),IF(C33="收益比率",SUMIF(INDIRECT("'"&amp;D33&amp;"'"&amp;"!b:b"),"建筑物收益比率",INDIRECT("'"&amp;D33&amp;"'"&amp;"!c:c")),SUMIF(INDIRECT("'"&amp;D33&amp;"'"&amp;"!b:b"),"建筑物成本比率",INDIRECT("'"&amp;D33&amp;"'"&amp;"!c:c"))))</f>
        <v>0.59</v>
      </c>
      <c r="E35" s="1650" t="s">
        <v>1311</v>
      </c>
      <c r="F35" s="145"/>
      <c r="G35" s="120"/>
      <c r="H35" s="120"/>
      <c r="I35" s="120"/>
    </row>
    <row r="36" spans="1:15" ht="15.75" thickBot="1">
      <c r="A36" s="3335" t="s">
        <v>1312</v>
      </c>
      <c r="B36" s="1651" t="s">
        <v>1313</v>
      </c>
      <c r="C36" s="136"/>
      <c r="D36" s="1652"/>
      <c r="E36" s="1566"/>
      <c r="F36" s="1653"/>
      <c r="G36" s="120"/>
      <c r="H36" s="120"/>
      <c r="I36" s="120"/>
    </row>
    <row r="37" spans="1:15" ht="15.75" thickBot="1">
      <c r="A37" s="3336"/>
      <c r="B37" s="1554" t="s">
        <v>1314</v>
      </c>
      <c r="C37" s="138"/>
      <c r="D37" s="1070"/>
      <c r="E37" s="1070"/>
      <c r="F37" s="1653"/>
      <c r="G37" s="120"/>
      <c r="H37" s="120"/>
      <c r="I37" s="120"/>
    </row>
    <row r="38" spans="1:15" ht="15.75" thickBot="1">
      <c r="A38" s="3337"/>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6" t="s">
        <v>1326</v>
      </c>
      <c r="B45" s="3357"/>
      <c r="C45" s="3358"/>
      <c r="D45" s="146">
        <f ca="1">ROUND(H101*F45,0)</f>
        <v>2847</v>
      </c>
      <c r="E45" s="147" t="s">
        <v>1327</v>
      </c>
      <c r="F45" s="148">
        <v>1</v>
      </c>
      <c r="G45" s="149" t="s">
        <v>1328</v>
      </c>
      <c r="H45" s="120"/>
      <c r="I45" s="120"/>
      <c r="J45" s="3275" t="s">
        <v>1329</v>
      </c>
      <c r="K45" s="3275"/>
      <c r="L45" s="3275"/>
      <c r="M45" s="3275"/>
      <c r="N45" s="3275"/>
      <c r="O45" s="3275"/>
    </row>
    <row r="46" spans="1:15" ht="14.25" customHeight="1">
      <c r="A46" s="3353" t="s">
        <v>1330</v>
      </c>
      <c r="B46" s="3354"/>
      <c r="C46" s="3354"/>
      <c r="D46" s="3354"/>
      <c r="E46" s="3354"/>
      <c r="F46" s="3354"/>
      <c r="G46" s="3355"/>
      <c r="H46" s="1667"/>
      <c r="I46" s="150"/>
      <c r="J46" s="2307">
        <v>1</v>
      </c>
      <c r="K46" s="3276" t="s">
        <v>1331</v>
      </c>
      <c r="L46" s="3276"/>
      <c r="M46" s="3277"/>
      <c r="N46" s="3277"/>
      <c r="O46" s="3277"/>
    </row>
    <row r="47" spans="1:15" ht="12" customHeight="1">
      <c r="A47" s="151" t="s">
        <v>1332</v>
      </c>
      <c r="B47" s="152"/>
      <c r="C47" s="153"/>
      <c r="D47" s="1023" t="s">
        <v>1333</v>
      </c>
      <c r="E47" s="293" t="s">
        <v>1334</v>
      </c>
      <c r="F47" s="154" t="s">
        <v>1335</v>
      </c>
      <c r="G47" s="2330" t="s">
        <v>1336</v>
      </c>
      <c r="H47" s="2331"/>
      <c r="I47" s="150"/>
      <c r="J47" s="2307">
        <v>2</v>
      </c>
      <c r="K47" s="3276" t="s">
        <v>1337</v>
      </c>
      <c r="L47" s="3276"/>
      <c r="M47" s="3278">
        <f>'数据-取费表'!B2</f>
        <v>45315</v>
      </c>
      <c r="N47" s="3278"/>
      <c r="O47" s="3278"/>
    </row>
    <row r="48" spans="1:15" ht="25.5">
      <c r="A48" s="3338" t="s">
        <v>1338</v>
      </c>
      <c r="B48" s="3339"/>
      <c r="C48" s="3339"/>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76" t="s">
        <v>1340</v>
      </c>
      <c r="L48" s="3276"/>
      <c r="M48" s="3279">
        <f ca="1">H101</f>
        <v>2847</v>
      </c>
      <c r="N48" s="3279"/>
      <c r="O48" s="3279"/>
    </row>
    <row r="49" spans="1:35" ht="25.5" customHeight="1">
      <c r="A49" s="2151" t="s">
        <v>1341</v>
      </c>
      <c r="B49" s="3324" t="s">
        <v>1342</v>
      </c>
      <c r="C49" s="3324"/>
      <c r="D49" s="1477">
        <v>0</v>
      </c>
      <c r="E49" s="315" t="s">
        <v>1343</v>
      </c>
      <c r="F49" s="2230" t="s">
        <v>28</v>
      </c>
      <c r="G49" s="3307"/>
      <c r="H49" s="2133" t="s">
        <v>2131</v>
      </c>
      <c r="I49" s="2134"/>
      <c r="J49" s="2307">
        <v>4</v>
      </c>
      <c r="K49" s="3276" t="str">
        <f>IF(项目基本情况!E8="房地产抵押价值","房地产抵押价值","抵押担保权已注销时的房地产抵押价值")</f>
        <v>房地产抵押价值</v>
      </c>
      <c r="L49" s="3276"/>
      <c r="M49" s="3279">
        <f ca="1">IF(项目基本情况!E8="房地产抵押价值",H107,H109)</f>
        <v>2847</v>
      </c>
      <c r="N49" s="3279"/>
      <c r="O49" s="3279"/>
    </row>
    <row r="50" spans="1:35" ht="25.5" customHeight="1">
      <c r="A50" s="2335"/>
      <c r="B50" s="3324" t="s">
        <v>1344</v>
      </c>
      <c r="C50" s="3324"/>
      <c r="D50" s="2188"/>
      <c r="E50" s="322"/>
      <c r="F50" s="2230"/>
      <c r="G50" s="3308"/>
      <c r="H50" s="2135" t="s">
        <v>2132</v>
      </c>
      <c r="I50" s="2134"/>
      <c r="J50" s="3275" t="s">
        <v>1345</v>
      </c>
      <c r="K50" s="3275"/>
      <c r="L50" s="3275"/>
      <c r="M50" s="3275"/>
      <c r="N50" s="3275"/>
      <c r="O50" s="3275"/>
    </row>
    <row r="51" spans="1:35" ht="20.45" customHeight="1">
      <c r="A51" s="2336"/>
      <c r="B51" s="3324" t="s">
        <v>1346</v>
      </c>
      <c r="C51" s="3324"/>
      <c r="D51" s="1023"/>
      <c r="E51" s="318"/>
      <c r="F51" s="2230"/>
      <c r="G51" s="3309"/>
      <c r="H51" s="2135" t="s">
        <v>2133</v>
      </c>
      <c r="I51" s="2134"/>
      <c r="J51" s="2308" t="s">
        <v>1347</v>
      </c>
      <c r="K51" s="3276" t="s">
        <v>1348</v>
      </c>
      <c r="L51" s="3276"/>
      <c r="M51" s="2308" t="s">
        <v>1349</v>
      </c>
      <c r="N51" s="2308" t="s">
        <v>1350</v>
      </c>
      <c r="O51" s="2308" t="s">
        <v>1351</v>
      </c>
    </row>
    <row r="52" spans="1:35" ht="24" customHeight="1">
      <c r="A52" s="2152" t="s">
        <v>1352</v>
      </c>
      <c r="B52" s="3324" t="s">
        <v>1353</v>
      </c>
      <c r="C52" s="3324"/>
      <c r="D52" s="1023">
        <f ca="1">ROUND(D45*'数据-取费表'!B41/(1+'数据-取费表'!C42),0)</f>
        <v>149</v>
      </c>
      <c r="E52" s="1255" t="s">
        <v>1354</v>
      </c>
      <c r="F52" s="2337">
        <f>'数据-取费表'!B41</f>
        <v>5.5000000000000007E-2</v>
      </c>
      <c r="G52" s="2338"/>
      <c r="H52" s="2328"/>
      <c r="I52" s="1668"/>
      <c r="J52" s="2307">
        <v>1</v>
      </c>
      <c r="K52" s="3301" t="s">
        <v>1355</v>
      </c>
      <c r="L52" s="3301"/>
      <c r="M52" s="2309" t="b">
        <f>D48</f>
        <v>0</v>
      </c>
      <c r="N52" s="2307" t="str">
        <f>E48</f>
        <v>销售额×税（费）率</v>
      </c>
      <c r="O52" s="2310">
        <f>F48</f>
        <v>5.5000000000000007E-2</v>
      </c>
    </row>
    <row r="53" spans="1:35" ht="12" customHeight="1">
      <c r="A53" s="2152" t="s">
        <v>1356</v>
      </c>
      <c r="B53" s="3325" t="s">
        <v>2288</v>
      </c>
      <c r="C53" s="3326"/>
      <c r="D53" s="1023">
        <f ca="1">ROUND(D45*'数据-取费表'!B41/(1+'数据-取费表'!C42),0)</f>
        <v>149</v>
      </c>
      <c r="E53" s="1255" t="s">
        <v>1354</v>
      </c>
      <c r="F53" s="2337">
        <f>'数据-取费表'!B41</f>
        <v>5.5000000000000007E-2</v>
      </c>
      <c r="G53" s="2338"/>
      <c r="H53" s="2328"/>
      <c r="I53" s="1668"/>
      <c r="J53" s="2307">
        <v>2</v>
      </c>
      <c r="K53" s="3301" t="s">
        <v>1357</v>
      </c>
      <c r="L53" s="3301"/>
      <c r="M53" s="2309">
        <f t="shared" ref="M53:O54" ca="1" si="0">D55</f>
        <v>1</v>
      </c>
      <c r="N53" s="2307" t="str">
        <f t="shared" si="0"/>
        <v>销售额×税（费）率</v>
      </c>
      <c r="O53" s="2310" t="str">
        <f t="shared" si="0"/>
        <v>免征</v>
      </c>
    </row>
    <row r="54" spans="1:35" ht="12" customHeight="1">
      <c r="A54" s="2152" t="s">
        <v>1358</v>
      </c>
      <c r="B54" s="3325" t="s">
        <v>2289</v>
      </c>
      <c r="C54" s="3326"/>
      <c r="D54" s="1023">
        <f ca="1">C68</f>
        <v>149</v>
      </c>
      <c r="E54" s="318" t="s">
        <v>1359</v>
      </c>
      <c r="F54" s="2337">
        <f>'数据-取费表'!B41</f>
        <v>5.5000000000000007E-2</v>
      </c>
      <c r="G54" s="2338"/>
      <c r="H54" s="2339"/>
      <c r="I54" s="1668"/>
      <c r="J54" s="2307">
        <v>3</v>
      </c>
      <c r="K54" s="3301" t="s">
        <v>1360</v>
      </c>
      <c r="L54" s="3301"/>
      <c r="M54" s="2309">
        <f t="shared" ca="1" si="0"/>
        <v>1613</v>
      </c>
      <c r="N54" s="2307" t="str">
        <f t="shared" si="0"/>
        <v>增值额×税（费）率</v>
      </c>
      <c r="O54" s="2311" t="str">
        <f t="shared" si="0"/>
        <v>免征</v>
      </c>
    </row>
    <row r="55" spans="1:35" ht="24" customHeight="1">
      <c r="A55" s="3362" t="s">
        <v>1361</v>
      </c>
      <c r="B55" s="3339"/>
      <c r="C55" s="3339"/>
      <c r="D55" s="12">
        <f ca="1">IF(H55="个人住宅",0,ROUND(D45*I55,0))</f>
        <v>1</v>
      </c>
      <c r="E55" s="1255" t="s">
        <v>1362</v>
      </c>
      <c r="F55" s="2337" t="str">
        <f>IF(H55="正常",I55,"免征")</f>
        <v>免征</v>
      </c>
      <c r="G55" s="2338"/>
      <c r="H55" s="2334"/>
      <c r="I55" s="156">
        <f>'数据-取费表'!B49</f>
        <v>5.0000000000000001E-4</v>
      </c>
      <c r="J55" s="2307">
        <f>IF(H59="非个人房产","",4)</f>
        <v>4</v>
      </c>
      <c r="K55" s="3301" t="str">
        <f>IF(H59="非个人房产","——","个人所得税")</f>
        <v>个人所得税</v>
      </c>
      <c r="L55" s="3301"/>
      <c r="M55" s="2312">
        <f ca="1">D59</f>
        <v>27</v>
      </c>
      <c r="N55" s="1882" t="str">
        <f>E59</f>
        <v>差额计税</v>
      </c>
      <c r="O55" s="2313">
        <f>F59</f>
        <v>0.01</v>
      </c>
    </row>
    <row r="56" spans="1:35" ht="24.75">
      <c r="A56" s="3362" t="s">
        <v>1363</v>
      </c>
      <c r="B56" s="3339"/>
      <c r="C56" s="3339"/>
      <c r="D56" s="12">
        <f ca="1">IF(H56="个人住宅",D57,D58)</f>
        <v>1613</v>
      </c>
      <c r="E56" s="1255" t="s">
        <v>1364</v>
      </c>
      <c r="F56" s="2337" t="str">
        <f>IF(H56="正常",F58,"免征")</f>
        <v>免征</v>
      </c>
      <c r="G56" s="2340" t="s">
        <v>1365</v>
      </c>
      <c r="H56" s="2341"/>
      <c r="I56" s="1669"/>
      <c r="J56" s="2307" t="str">
        <f>IF(项目基本情况!K6="上海银行",IF(J55="",4,J55+1),"")</f>
        <v/>
      </c>
      <c r="K56" s="3282" t="str">
        <f>IF(项目基本情况!K6="上海银行","其他处置费用","")</f>
        <v/>
      </c>
      <c r="L56" s="3283"/>
      <c r="M56" s="2309" t="str">
        <f>IF(项目基本情况!K6="上海银行",M69,"")</f>
        <v/>
      </c>
      <c r="N56" s="3282" t="str">
        <f>IF(项目基本情况!K6="上海银行","包含处置中涉及的律师、诉讼、拍卖、评估等费用","")</f>
        <v/>
      </c>
      <c r="O56" s="3285"/>
    </row>
    <row r="57" spans="1:35" ht="12.75">
      <c r="A57" s="2152" t="s">
        <v>1341</v>
      </c>
      <c r="B57" s="3325" t="s">
        <v>1366</v>
      </c>
      <c r="C57" s="3326"/>
      <c r="D57" s="1477">
        <v>0</v>
      </c>
      <c r="E57" s="315" t="s">
        <v>1343</v>
      </c>
      <c r="F57" s="293"/>
      <c r="G57" s="2338"/>
      <c r="H57" s="2342"/>
      <c r="I57" s="1669"/>
      <c r="J57" s="3301">
        <f>IF(AND(J55="",J56=""),4,IF(项目基本情况!K6="上海银行",结果表!J56+1,结果表!J55+1))</f>
        <v>5</v>
      </c>
      <c r="K57" s="3301" t="s">
        <v>1367</v>
      </c>
      <c r="L57" s="2314" t="s">
        <v>1368</v>
      </c>
      <c r="M57" s="2315"/>
      <c r="N57" s="2316">
        <f ca="1">SUMIF(M52:M56,"&lt;9e307")</f>
        <v>1641</v>
      </c>
      <c r="O57" s="2317"/>
      <c r="P57" s="2461">
        <f ca="1">N57/M49</f>
        <v>0.57639620653319279</v>
      </c>
    </row>
    <row r="58" spans="1:35" ht="24.75">
      <c r="A58" s="2152" t="s">
        <v>1352</v>
      </c>
      <c r="B58" s="3325" t="s">
        <v>1369</v>
      </c>
      <c r="C58" s="3324"/>
      <c r="D58" s="12">
        <f ca="1">IF(H58="转让取得",C81,C97)</f>
        <v>1613</v>
      </c>
      <c r="E58" s="1255" t="s">
        <v>1364</v>
      </c>
      <c r="F58" s="293" t="s">
        <v>28</v>
      </c>
      <c r="G58" s="2338"/>
      <c r="H58" s="2341"/>
      <c r="I58" s="1669"/>
      <c r="J58" s="3301"/>
      <c r="K58" s="3301"/>
      <c r="L58" s="2314" t="s">
        <v>1370</v>
      </c>
      <c r="M58" s="2318"/>
      <c r="N58" s="2319" t="str">
        <f ca="1">NUMBERSTRING(INT(N57*10000),2)&amp;"元整"</f>
        <v>壹仟陆佰肆拾壹万元整</v>
      </c>
      <c r="O58" s="2320"/>
    </row>
    <row r="59" spans="1:35" ht="24.75" thickBot="1">
      <c r="A59" s="3305" t="s">
        <v>1371</v>
      </c>
      <c r="B59" s="3306"/>
      <c r="C59" s="3306"/>
      <c r="D59" s="2343">
        <f ca="1">IF(H59="非个人房产","——",IF(H59="个人住宅（满五唯一有凭证）",0,IF(H59="个人其他（无凭证）",ROUND(D45*F59,0),ROUND(C67*F59,0))))</f>
        <v>27</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2134</v>
      </c>
      <c r="J59" s="3303">
        <f>J57+1</f>
        <v>6</v>
      </c>
      <c r="K59" s="3301" t="s">
        <v>1372</v>
      </c>
      <c r="L59" s="2307" t="s">
        <v>1368</v>
      </c>
      <c r="M59" s="2321"/>
      <c r="N59" s="2322">
        <f ca="1">M49-N57</f>
        <v>1206</v>
      </c>
      <c r="O59" s="2323"/>
    </row>
    <row r="60" spans="1:35" ht="12" customHeight="1">
      <c r="A60" s="1670"/>
      <c r="B60" s="645"/>
      <c r="C60" s="645"/>
      <c r="D60" s="645"/>
      <c r="E60" s="1465"/>
      <c r="F60" s="1669"/>
      <c r="G60" s="1669"/>
      <c r="H60" s="150"/>
      <c r="I60" s="120"/>
      <c r="J60" s="3304"/>
      <c r="K60" s="3301"/>
      <c r="L60" s="2314" t="s">
        <v>1370</v>
      </c>
      <c r="M60" s="2318"/>
      <c r="N60" s="2319" t="str">
        <f ca="1">NUMBERSTRING(INT(N59*10000),2)&amp;"元整"</f>
        <v>壹仟贰佰零陆万元整</v>
      </c>
      <c r="O60" s="2320"/>
    </row>
    <row r="61" spans="1:35" ht="13.5" thickBot="1">
      <c r="A61" s="3361" t="s">
        <v>1373</v>
      </c>
      <c r="B61" s="3361"/>
      <c r="C61" s="3361"/>
      <c r="D61" s="3361"/>
      <c r="E61" s="3361"/>
      <c r="F61" s="1669"/>
      <c r="G61" s="1669"/>
      <c r="H61" s="150"/>
      <c r="I61" s="120"/>
      <c r="J61" s="2307">
        <f>J59+1</f>
        <v>7</v>
      </c>
      <c r="K61" s="3301" t="s">
        <v>1374</v>
      </c>
      <c r="L61" s="3301"/>
      <c r="M61" s="2324"/>
      <c r="N61" s="2325">
        <f ca="1">ROUND(N59*10000/'数据-汇总表'!E3,0)</f>
        <v>1682</v>
      </c>
      <c r="O61" s="2326"/>
    </row>
    <row r="62" spans="1:35" ht="12.75">
      <c r="A62" s="3320" t="s">
        <v>1375</v>
      </c>
      <c r="B62" s="3321"/>
      <c r="C62" s="1864"/>
      <c r="D62" s="1864" t="s">
        <v>1376</v>
      </c>
      <c r="E62" s="157" t="s">
        <v>1377</v>
      </c>
      <c r="F62" s="1669"/>
      <c r="G62" s="1669"/>
      <c r="H62" s="150"/>
      <c r="I62" s="120"/>
    </row>
    <row r="63" spans="1:35" ht="12.75">
      <c r="A63" s="164" t="s">
        <v>330</v>
      </c>
      <c r="B63" s="158" t="s">
        <v>1378</v>
      </c>
      <c r="C63" s="2347">
        <f ca="1">ROUND((C64+C65)/(1+'数据-取费表'!C42),0)</f>
        <v>2711</v>
      </c>
      <c r="D63" s="158"/>
      <c r="E63" s="159"/>
      <c r="F63" s="1669"/>
      <c r="G63" s="1669"/>
      <c r="H63" s="150"/>
      <c r="I63" s="120"/>
      <c r="J63" s="3284" t="s">
        <v>1379</v>
      </c>
      <c r="K63" s="1244" t="s">
        <v>1380</v>
      </c>
      <c r="L63" s="1244">
        <f ca="1">IF(M49&gt;10000,M49*0.5%,IF(AND(M49&gt;1000,M49&lt;=10000),M49*1%,IF(AND(M49&gt;100,M49&lt;=1000),M49*3%,IF(AND(M49&gt;10,M49&lt;=100),M49*5%,M49*8%))))</f>
        <v>28.47</v>
      </c>
      <c r="M63" s="293">
        <f ca="1">ROUND(L63,1)</f>
        <v>28.5</v>
      </c>
      <c r="N63" s="2327"/>
      <c r="Z63" s="1622"/>
      <c r="AI63" s="1560"/>
    </row>
    <row r="64" spans="1:35" ht="14.25" customHeight="1">
      <c r="A64" s="160" t="s">
        <v>325</v>
      </c>
      <c r="B64" s="161" t="s">
        <v>1381</v>
      </c>
      <c r="C64" s="2348">
        <f ca="1">D45</f>
        <v>2847</v>
      </c>
      <c r="D64" s="161" t="s">
        <v>26</v>
      </c>
      <c r="E64" s="163"/>
      <c r="F64" s="1669"/>
      <c r="G64" s="1669"/>
      <c r="H64" s="150"/>
      <c r="I64" s="120"/>
      <c r="J64" s="3284"/>
      <c r="K64" s="1244" t="s">
        <v>1382</v>
      </c>
      <c r="L64" s="1244">
        <f ca="1">IF(M49&gt;2000,M49*0.5%,IF(AND(M49&gt;1000,M49&lt;=2000),M49*0.6%,IF(AND(M49&gt;500,M49&lt;=1000),M49*0.7%,IF(AND(M49&gt;200,M49&lt;=500),M49*0.8%,IF(AND(M49&gt;100,M49&lt;=200),M49*0.9%,IF(AND(M49&gt;50,M49&lt;=100),M49*1%,IF(AND(M49&gt;20,M49&lt;=50),M49*1.5%,IF(AND(M49&gt;10,M49&lt;=20),M49*2%,IF(AND(M49&gt;1,M49&lt;=10),M49*2.5%)))))))))</f>
        <v>14.234999999999999</v>
      </c>
      <c r="M64" s="293">
        <f t="shared" ref="M64:M65" ca="1" si="1">ROUND(L64,1)</f>
        <v>14.2</v>
      </c>
      <c r="N64" s="2328" t="s">
        <v>1383</v>
      </c>
      <c r="Z64" s="1622"/>
      <c r="AI64" s="1560"/>
    </row>
    <row r="65" spans="1:35" ht="14.25" customHeight="1">
      <c r="A65" s="160" t="s">
        <v>326</v>
      </c>
      <c r="B65" s="161" t="s">
        <v>1384</v>
      </c>
      <c r="C65" s="2349"/>
      <c r="D65" s="161"/>
      <c r="E65" s="163"/>
      <c r="F65" s="1669"/>
      <c r="G65" s="1669"/>
      <c r="H65" s="150"/>
      <c r="I65" s="120"/>
      <c r="J65" s="3284"/>
      <c r="K65" s="1244" t="s">
        <v>1385</v>
      </c>
      <c r="L65" s="1244">
        <f ca="1">IF(M49&gt;1000,M49*0.1%,IF(AND(M49&gt;500,M49&lt;=1000),M49*0.5%,IF(AND(M49&gt;50,M49&lt;=500),M49*1%,IF(AND(M49&gt;1,M49&lt;=50),M49*1.5%))))</f>
        <v>2.847</v>
      </c>
      <c r="M65" s="293">
        <f t="shared" ca="1" si="1"/>
        <v>2.8</v>
      </c>
      <c r="N65" s="2328" t="s">
        <v>1383</v>
      </c>
      <c r="Z65" s="1622"/>
      <c r="AI65" s="1560"/>
    </row>
    <row r="66" spans="1:35" ht="14.25" customHeight="1">
      <c r="A66" s="164" t="s">
        <v>327</v>
      </c>
      <c r="B66" s="165" t="s">
        <v>1386</v>
      </c>
      <c r="C66" s="2350"/>
      <c r="D66" s="165" t="s">
        <v>26</v>
      </c>
      <c r="E66" s="1250" t="s">
        <v>671</v>
      </c>
      <c r="F66" s="1669"/>
      <c r="G66" s="1669"/>
      <c r="H66" s="150"/>
      <c r="I66" s="120"/>
      <c r="J66" s="3284"/>
      <c r="K66" s="1244" t="s">
        <v>1387</v>
      </c>
      <c r="L66" s="1244">
        <f ca="1">M49*0.5%</f>
        <v>14.234999999999999</v>
      </c>
      <c r="M66" s="293">
        <f ca="1">IF(L66&gt;0.5,0.5,ROUND(L66,0))</f>
        <v>0.5</v>
      </c>
      <c r="N66" s="2328" t="s">
        <v>1388</v>
      </c>
      <c r="Z66" s="1622"/>
      <c r="AI66" s="1560"/>
    </row>
    <row r="67" spans="1:35" ht="14.25" customHeight="1">
      <c r="A67" s="164" t="s">
        <v>328</v>
      </c>
      <c r="B67" s="165" t="s">
        <v>1389</v>
      </c>
      <c r="C67" s="2351">
        <f ca="1">C63-C66</f>
        <v>2711</v>
      </c>
      <c r="D67" s="161" t="s">
        <v>26</v>
      </c>
      <c r="E67" s="163"/>
      <c r="F67" s="1669"/>
      <c r="G67" s="1669"/>
      <c r="H67" s="150"/>
      <c r="I67" s="120"/>
      <c r="J67" s="3284"/>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7"/>
      <c r="Z67" s="1622"/>
      <c r="AI67" s="1560"/>
    </row>
    <row r="68" spans="1:35" ht="14.25" customHeight="1" thickBot="1">
      <c r="A68" s="167" t="s">
        <v>329</v>
      </c>
      <c r="B68" s="168" t="s">
        <v>1391</v>
      </c>
      <c r="C68" s="2352">
        <f ca="1">IF(C67&lt;=0,0,ROUND(C67*D68,0))</f>
        <v>149</v>
      </c>
      <c r="D68" s="2353">
        <f>'数据-取费表'!B41</f>
        <v>5.5000000000000007E-2</v>
      </c>
      <c r="E68" s="169"/>
      <c r="F68" s="1669"/>
      <c r="G68" s="1669"/>
      <c r="H68" s="150"/>
      <c r="I68" s="120"/>
      <c r="J68" s="3284"/>
      <c r="K68" s="1244" t="s">
        <v>1392</v>
      </c>
      <c r="L68" s="1244">
        <f ca="1">IF(M49&gt;10000,M49*0.5%,IF(AND(M49&gt;5000,M49&lt;=10000),M49*1%,IF(AND(M49&gt;1000,M49&lt;=5000),M49*2%,IF(AND(M49&gt;200,M49&lt;=1000),M49*3%,M49*5%))))</f>
        <v>56.94</v>
      </c>
      <c r="M68" s="293">
        <f ca="1">ROUND(L68,1)</f>
        <v>56.9</v>
      </c>
      <c r="N68" s="2327"/>
      <c r="Z68" s="1622"/>
      <c r="AI68" s="1560"/>
    </row>
    <row r="69" spans="1:35" ht="16.5" customHeight="1">
      <c r="A69" s="1671"/>
      <c r="B69" s="1672"/>
      <c r="C69" s="1673"/>
      <c r="D69" s="1674"/>
      <c r="E69" s="1675"/>
      <c r="F69" s="1465"/>
      <c r="G69" s="1465"/>
      <c r="H69" s="1466"/>
      <c r="I69" s="645"/>
      <c r="J69" s="3284"/>
      <c r="K69" s="1244" t="s">
        <v>1393</v>
      </c>
      <c r="L69" s="1244"/>
      <c r="M69" s="293">
        <f ca="1">ROUND(SUM(M63:M68),0)</f>
        <v>105</v>
      </c>
      <c r="N69" s="2329">
        <f ca="1">M69/M49</f>
        <v>3.6880927291886197E-2</v>
      </c>
      <c r="Z69" s="1622"/>
      <c r="AI69" s="1560"/>
    </row>
    <row r="70" spans="1:35" s="641" customFormat="1" ht="15" thickBot="1">
      <c r="A70" s="3328" t="s">
        <v>1394</v>
      </c>
      <c r="B70" s="3329"/>
      <c r="C70" s="3329"/>
      <c r="D70" s="3329"/>
      <c r="E70" s="3329"/>
      <c r="F70" s="3329"/>
      <c r="G70" s="3329"/>
      <c r="H70" s="3329"/>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20" t="s">
        <v>1375</v>
      </c>
      <c r="B71" s="3321"/>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2711</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14</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25" t="s">
        <v>1402</v>
      </c>
      <c r="F76" s="3324"/>
      <c r="G76" s="3324"/>
      <c r="H76" s="332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14</v>
      </c>
      <c r="D78" s="2360">
        <f>'数据-取费表'!B43</f>
        <v>5.000000000000001E-3</v>
      </c>
      <c r="E78" s="3317" t="s">
        <v>1406</v>
      </c>
      <c r="F78" s="3318"/>
      <c r="G78" s="3318"/>
      <c r="H78" s="331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2697</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192.64285714285714</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1613</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8" t="s">
        <v>1410</v>
      </c>
      <c r="B83" s="3329"/>
      <c r="C83" s="3329"/>
      <c r="D83" s="3329"/>
      <c r="E83" s="3329"/>
      <c r="F83" s="3329"/>
      <c r="G83" s="3329"/>
      <c r="H83" s="33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20" t="s">
        <v>1375</v>
      </c>
      <c r="B84" s="3321"/>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2711</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14</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7"/>
      <c r="G88" s="185" t="s">
        <v>1414</v>
      </c>
      <c r="H88" s="1683"/>
      <c r="I88" s="1680"/>
      <c r="J88" s="2305"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7"/>
      <c r="G90" s="3286" t="s">
        <v>2126</v>
      </c>
      <c r="H90" s="3287"/>
      <c r="I90" s="1680"/>
      <c r="J90" s="2305"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317" t="s">
        <v>1419</v>
      </c>
      <c r="F91" s="3318"/>
      <c r="G91" s="331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317" t="s">
        <v>1422</v>
      </c>
      <c r="F92" s="3318"/>
      <c r="G92" s="3318"/>
      <c r="H92" s="3319"/>
      <c r="I92" s="1680"/>
      <c r="J92" s="2306"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14</v>
      </c>
      <c r="D93" s="2360">
        <f>'数据-取费表'!B43</f>
        <v>5.000000000000001E-3</v>
      </c>
      <c r="E93" s="3317" t="s">
        <v>1406</v>
      </c>
      <c r="F93" s="3318"/>
      <c r="G93" s="3318"/>
      <c r="H93" s="331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366" t="s">
        <v>1426</v>
      </c>
      <c r="F94" s="3367"/>
      <c r="G94" s="3367"/>
      <c r="H94" s="336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2697</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192.64285714285714</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1613</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7" t="s">
        <v>1428</v>
      </c>
      <c r="B100" s="3268"/>
      <c r="C100" s="3268"/>
      <c r="D100" s="3302"/>
      <c r="E100" s="3268" t="s">
        <v>1429</v>
      </c>
      <c r="F100" s="3268"/>
      <c r="G100" s="3268"/>
      <c r="H100" s="3302"/>
      <c r="I100" s="120"/>
    </row>
    <row r="101" spans="1:35" ht="18.75" customHeight="1">
      <c r="A101" s="3310" t="s">
        <v>1430</v>
      </c>
      <c r="B101" s="3311"/>
      <c r="C101" s="2368" t="str">
        <f>C4</f>
        <v>成本法</v>
      </c>
      <c r="D101" s="2369" t="str">
        <f>D4</f>
        <v>收益法（汇总）</v>
      </c>
      <c r="E101" s="3280" t="s">
        <v>1431</v>
      </c>
      <c r="F101" s="3281"/>
      <c r="G101" s="1686" t="s">
        <v>1432</v>
      </c>
      <c r="H101" s="2378">
        <f ca="1">H118</f>
        <v>2847</v>
      </c>
      <c r="I101" s="120"/>
    </row>
    <row r="102" spans="1:35" ht="18.75" customHeight="1">
      <c r="A102" s="3312" t="s">
        <v>1433</v>
      </c>
      <c r="B102" s="2367" t="s">
        <v>1432</v>
      </c>
      <c r="C102" s="2368">
        <f ca="1">IF(D32="楼面单价",ROUND(C19,0),C19)</f>
        <v>2952</v>
      </c>
      <c r="D102" s="2369">
        <f ca="1">IF(D32="楼面单价",ROUND(D19,0),D19)</f>
        <v>2741</v>
      </c>
      <c r="E102" s="3280"/>
      <c r="F102" s="3281"/>
      <c r="G102" s="1686" t="s">
        <v>1434</v>
      </c>
      <c r="H102" s="2338">
        <f ca="1">I118</f>
        <v>3970</v>
      </c>
      <c r="I102" s="120"/>
    </row>
    <row r="103" spans="1:35" ht="42.75" customHeight="1">
      <c r="A103" s="3312"/>
      <c r="B103" s="2367" t="s">
        <v>1434</v>
      </c>
      <c r="C103" s="2370">
        <f ca="1">C20</f>
        <v>4117</v>
      </c>
      <c r="D103" s="2371">
        <f ca="1">D20</f>
        <v>3823</v>
      </c>
      <c r="E103" s="3273" t="s">
        <v>1435</v>
      </c>
      <c r="F103" s="3274"/>
      <c r="G103" s="1687" t="s">
        <v>1436</v>
      </c>
      <c r="H103" s="2378">
        <f>IF(D36="正常操作",H104+H105+H106,H105+H106)</f>
        <v>0</v>
      </c>
      <c r="I103" s="120"/>
    </row>
    <row r="104" spans="1:35" ht="18.75" customHeight="1">
      <c r="A104" s="3312" t="s">
        <v>1437</v>
      </c>
      <c r="B104" s="2372" t="s">
        <v>1432</v>
      </c>
      <c r="C104" s="2373">
        <f ca="1">H118</f>
        <v>2847</v>
      </c>
      <c r="D104" s="2374"/>
      <c r="E104" s="1554" t="s">
        <v>1438</v>
      </c>
      <c r="F104" s="1547"/>
      <c r="G104" s="1687" t="s">
        <v>1436</v>
      </c>
      <c r="H104" s="2379">
        <f>IF(D36="同一抵押权人同一抵押物续贷",C36&amp;"（续贷，未扣减，详见特别提示）",C36)</f>
        <v>0</v>
      </c>
      <c r="I104" s="120"/>
    </row>
    <row r="105" spans="1:35" ht="18.75" customHeight="1" thickBot="1">
      <c r="A105" s="3322"/>
      <c r="B105" s="2375" t="s">
        <v>1434</v>
      </c>
      <c r="C105" s="2376">
        <f ca="1">I118</f>
        <v>3970</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13" t="str">
        <f>IF(项目基本情况!E8="已注销","——","3.房地产抵押价值")</f>
        <v>3.房地产抵押价值</v>
      </c>
      <c r="F107" s="3281"/>
      <c r="G107" s="1686" t="s">
        <v>1432</v>
      </c>
      <c r="H107" s="2378">
        <f ca="1">IF(E107="——","——",H101-H103)</f>
        <v>2847</v>
      </c>
      <c r="I107" s="120"/>
    </row>
    <row r="108" spans="1:35" ht="18.75" customHeight="1">
      <c r="A108" s="120"/>
      <c r="B108" s="120"/>
      <c r="C108" s="120"/>
      <c r="D108" s="120"/>
      <c r="E108" s="3313"/>
      <c r="F108" s="3281"/>
      <c r="G108" s="1686" t="s">
        <v>1434</v>
      </c>
      <c r="H108" s="2338">
        <f ca="1">IF(H107=H101,H102,ROUND(H107*10000/'数据-汇总表'!E3,0))</f>
        <v>3970</v>
      </c>
      <c r="I108" s="120"/>
    </row>
    <row r="109" spans="1:35" ht="18.75" customHeight="1">
      <c r="A109" s="120"/>
      <c r="B109" s="120"/>
      <c r="C109" s="120"/>
      <c r="D109" s="120"/>
      <c r="E109" s="3313" t="str">
        <f>IF(项目基本情况!E8="已注销及未注销","4.抵押担保权已注销时的房地产抵押价值",IF(项目基本情况!E8="已注销","3.抵押担保权已注销时的房地产抵押价值","——"))</f>
        <v>——</v>
      </c>
      <c r="F109" s="3281"/>
      <c r="G109" s="1686" t="s">
        <v>1432</v>
      </c>
      <c r="H109" s="2381" t="str">
        <f>IF(E109="——","——",H101-H105-H106)</f>
        <v>——</v>
      </c>
      <c r="I109" s="120"/>
    </row>
    <row r="110" spans="1:35" ht="18.75" customHeight="1">
      <c r="A110" s="120"/>
      <c r="B110" s="120"/>
      <c r="C110" s="120"/>
      <c r="D110" s="120"/>
      <c r="E110" s="3313"/>
      <c r="F110" s="3281"/>
      <c r="G110" s="1686" t="s">
        <v>1434</v>
      </c>
      <c r="H110" s="2338" t="str">
        <f>IF(H109="——","——",ROUND(H109*10000/'数据-汇总表'!E3,0))</f>
        <v>——</v>
      </c>
      <c r="I110" s="120"/>
    </row>
    <row r="111" spans="1:35" ht="18.75" customHeight="1">
      <c r="A111" s="120"/>
      <c r="B111" s="120"/>
      <c r="C111" s="120"/>
      <c r="D111" s="120"/>
      <c r="E111" s="3314" t="str">
        <f>IF(项目基本情况!E9="抵押净值",IF(OR(项目基本情况!E8="已注销",项目基本情况!E8="房地产抵押价值"),"4.抵押净值","5.抵押净值"),"——")</f>
        <v>——</v>
      </c>
      <c r="F111" s="3300"/>
      <c r="G111" s="1686" t="s">
        <v>1432</v>
      </c>
      <c r="H111" s="2378" t="str">
        <f>IF(E111="——","——",N59)</f>
        <v>——</v>
      </c>
      <c r="I111" s="120"/>
    </row>
    <row r="112" spans="1:35" ht="18.75" customHeight="1" thickBot="1">
      <c r="A112" s="120"/>
      <c r="B112" s="120"/>
      <c r="C112" s="120"/>
      <c r="D112" s="120"/>
      <c r="E112" s="3315"/>
      <c r="F112" s="3316"/>
      <c r="G112" s="1689" t="s">
        <v>1434</v>
      </c>
      <c r="H112" s="2382" t="str">
        <f>IF(E111="——","——",N61)</f>
        <v>——</v>
      </c>
      <c r="I112" s="120"/>
    </row>
    <row r="113" spans="1:27" ht="18.75" customHeight="1">
      <c r="A113" s="120"/>
      <c r="B113" s="120"/>
      <c r="C113" s="120"/>
      <c r="D113" s="120"/>
      <c r="E113" s="3323" t="s">
        <v>1440</v>
      </c>
      <c r="F113" s="3323"/>
      <c r="G113" s="3323"/>
      <c r="H113" s="3323"/>
      <c r="I113" s="120"/>
    </row>
    <row r="114" spans="1:27" ht="3.75" customHeight="1">
      <c r="A114" s="645"/>
      <c r="B114" s="645"/>
      <c r="C114" s="645"/>
      <c r="D114" s="645"/>
      <c r="E114" s="1670"/>
      <c r="F114" s="1670"/>
      <c r="G114" s="1670"/>
      <c r="H114" s="1670"/>
      <c r="I114" s="645"/>
    </row>
    <row r="115" spans="1:27" ht="18.75" customHeight="1">
      <c r="A115" s="3331" t="s">
        <v>1442</v>
      </c>
      <c r="B115" s="3332"/>
      <c r="C115" s="3332"/>
      <c r="D115" s="3332"/>
      <c r="E115" s="3332"/>
      <c r="F115" s="3332"/>
      <c r="G115" s="3332"/>
      <c r="H115" s="3332"/>
      <c r="I115" s="3333"/>
    </row>
    <row r="116" spans="1:27" ht="27" customHeight="1">
      <c r="A116" s="3288" t="s">
        <v>1443</v>
      </c>
      <c r="B116" s="3292" t="s">
        <v>3550</v>
      </c>
      <c r="C116" s="3292" t="s">
        <v>3551</v>
      </c>
      <c r="D116" s="3298" t="s">
        <v>1444</v>
      </c>
      <c r="E116" s="3299"/>
      <c r="F116" s="3330" t="s">
        <v>3552</v>
      </c>
      <c r="G116" s="3330"/>
      <c r="H116" s="3288" t="s">
        <v>1445</v>
      </c>
      <c r="I116" s="3288"/>
    </row>
    <row r="117" spans="1:27" ht="18.75" customHeight="1">
      <c r="A117" s="3288"/>
      <c r="B117" s="3293"/>
      <c r="C117" s="3293"/>
      <c r="D117" s="2149" t="s">
        <v>1446</v>
      </c>
      <c r="E117" s="2149" t="s">
        <v>1447</v>
      </c>
      <c r="F117" s="2149" t="s">
        <v>1446</v>
      </c>
      <c r="G117" s="2149" t="s">
        <v>1448</v>
      </c>
      <c r="H117" s="2149" t="s">
        <v>1446</v>
      </c>
      <c r="I117" s="2149" t="s">
        <v>1448</v>
      </c>
    </row>
    <row r="118" spans="1:27" ht="24.75" customHeight="1">
      <c r="A118" s="2383" t="str">
        <f>项目基本情况!S2</f>
        <v>北京市延庆县康庄镇康祥路11号1-6幢工业用房房地产</v>
      </c>
      <c r="B118" s="2149">
        <f>M18</f>
        <v>7170.4100000000008</v>
      </c>
      <c r="C118" s="2149">
        <f>M19</f>
        <v>14571.48</v>
      </c>
      <c r="D118" s="2149">
        <f ca="1">ROUND(IF(D32="总价",C34,E118*B118/10000),0)</f>
        <v>1167</v>
      </c>
      <c r="E118" s="2149">
        <f ca="1">ROUND(IF(C33="自定义",IF(D32="楼面单价",C34,D118*10000/B118),I118-G118),0)</f>
        <v>1627</v>
      </c>
      <c r="F118" s="2149">
        <f ca="1">ROUND(IF(D32="总价",C35,G118*B118/10000),0)</f>
        <v>1680</v>
      </c>
      <c r="G118" s="2149">
        <f ca="1">ROUND(IF(D32="楼面单价",C35,F118*10000/B118),0)</f>
        <v>2343</v>
      </c>
      <c r="H118" s="2149">
        <f ca="1">ROUND(IF(D32="总价",C32,I118*B118/10000),0)</f>
        <v>2847</v>
      </c>
      <c r="I118" s="2149">
        <f ca="1">ROUND(IF(D32="楼面单价",C32,H118*10000/B118),0)</f>
        <v>3970</v>
      </c>
    </row>
    <row r="119" spans="1:27" ht="18.75" customHeight="1">
      <c r="A119" s="3288" t="s">
        <v>1449</v>
      </c>
      <c r="B119" s="3288"/>
      <c r="C119" s="3288"/>
      <c r="D119" s="3294" t="str">
        <f ca="1">NUMBERSTRING(INT(D118*10000),2)&amp;"元整"</f>
        <v>壹仟壹佰陆拾柒万元整</v>
      </c>
      <c r="E119" s="3295"/>
      <c r="F119" s="3294" t="str">
        <f ca="1">NUMBERSTRING(INT(F118*10000),2)&amp;"元整"</f>
        <v>壹仟陆佰捌拾万元整</v>
      </c>
      <c r="G119" s="3295"/>
      <c r="H119" s="3294" t="str">
        <f ca="1">NUMBERSTRING(INT(H118*10000),2)&amp;"元整"</f>
        <v>贰仟捌佰肆拾柒万元整</v>
      </c>
      <c r="I119" s="3295"/>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4" t="s">
        <v>1449</v>
      </c>
      <c r="B121" s="3296"/>
      <c r="C121" s="3295"/>
      <c r="D121" s="3294" t="str">
        <f>IF(D120=0,"零元整",NUMBERSTRING(INT(D120*10000),2)&amp;"元整")</f>
        <v>零元整</v>
      </c>
      <c r="E121" s="3296"/>
      <c r="F121" s="3296"/>
      <c r="G121" s="3296"/>
      <c r="H121" s="3296"/>
      <c r="I121" s="3295"/>
      <c r="AA121" s="683"/>
    </row>
    <row r="122" spans="1:27" ht="18.75" customHeight="1">
      <c r="A122" s="3300" t="str">
        <f>IF(项目基本情况!B9="房地产市场价值","",MID(E107,3,LEN(E107)-2))</f>
        <v>房地产抵押价值</v>
      </c>
      <c r="B122" s="3300"/>
      <c r="C122" s="3300"/>
      <c r="D122" s="3289">
        <f ca="1">H107</f>
        <v>2847</v>
      </c>
      <c r="E122" s="3290"/>
      <c r="F122" s="3290"/>
      <c r="G122" s="3290"/>
      <c r="H122" s="3290"/>
      <c r="I122" s="3291"/>
      <c r="AA122" s="683"/>
    </row>
    <row r="123" spans="1:27" ht="18.75" customHeight="1">
      <c r="A123" s="3288" t="s">
        <v>1449</v>
      </c>
      <c r="B123" s="3288"/>
      <c r="C123" s="3288"/>
      <c r="D123" s="3294" t="str">
        <f ca="1">NUMBERSTRING(INT(D122*10000),2)&amp;"元整"</f>
        <v>贰仟捌佰肆拾柒万元整</v>
      </c>
      <c r="E123" s="3296"/>
      <c r="F123" s="3296"/>
      <c r="G123" s="3296"/>
      <c r="H123" s="3296"/>
      <c r="I123" s="3295"/>
      <c r="AA123" s="683"/>
    </row>
    <row r="124" spans="1:27" ht="18.75" customHeight="1">
      <c r="A124" s="3300" t="str">
        <f>IF(项目基本情况!B9="房地产市场价值","",MID(E109,3,LEN(E109)-2))</f>
        <v/>
      </c>
      <c r="B124" s="3300"/>
      <c r="C124" s="3300"/>
      <c r="D124" s="3289" t="str">
        <f>H109</f>
        <v>——</v>
      </c>
      <c r="E124" s="3290"/>
      <c r="F124" s="3290"/>
      <c r="G124" s="3290"/>
      <c r="H124" s="3290"/>
      <c r="I124" s="3291"/>
      <c r="AA124" s="683"/>
    </row>
    <row r="125" spans="1:27" ht="18.75" customHeight="1">
      <c r="A125" s="3288" t="s">
        <v>1449</v>
      </c>
      <c r="B125" s="3288"/>
      <c r="C125" s="3288"/>
      <c r="D125" s="3294" t="e">
        <f>NUMBERSTRING(INT(D124*10000),2)&amp;"元整"</f>
        <v>#VALUE!</v>
      </c>
      <c r="E125" s="3296"/>
      <c r="F125" s="3296"/>
      <c r="G125" s="3296"/>
      <c r="H125" s="3296"/>
      <c r="I125" s="3295"/>
      <c r="AA125" s="683"/>
    </row>
    <row r="126" spans="1:27" ht="18.75" customHeight="1">
      <c r="A126" s="3300" t="str">
        <f>IF(项目基本情况!B9="房地产市场价值","",MID(E111,3,LEN(E111)-2))</f>
        <v/>
      </c>
      <c r="B126" s="3300"/>
      <c r="C126" s="3300"/>
      <c r="D126" s="3289" t="str">
        <f>H111</f>
        <v>——</v>
      </c>
      <c r="E126" s="3290"/>
      <c r="F126" s="3290"/>
      <c r="G126" s="3290"/>
      <c r="H126" s="3290"/>
      <c r="I126" s="3291"/>
      <c r="AA126" s="683"/>
    </row>
    <row r="127" spans="1:27" ht="18.75" customHeight="1">
      <c r="A127" s="3288" t="s">
        <v>1449</v>
      </c>
      <c r="B127" s="3288"/>
      <c r="C127" s="3288"/>
      <c r="D127" s="3294" t="e">
        <f>NUMBERSTRING(INT(D126*10000),2)&amp;"元整"</f>
        <v>#VALUE!</v>
      </c>
      <c r="E127" s="3296"/>
      <c r="F127" s="3296"/>
      <c r="G127" s="3296"/>
      <c r="H127" s="3296"/>
      <c r="I127" s="3295"/>
      <c r="AA127" s="683"/>
    </row>
    <row r="128" spans="1:27" ht="21.75" customHeight="1">
      <c r="A128" s="3297" t="s">
        <v>1450</v>
      </c>
      <c r="B128" s="3297"/>
      <c r="C128" s="3297"/>
      <c r="D128" s="3297"/>
      <c r="E128" s="3297"/>
      <c r="F128" s="3297"/>
      <c r="G128" s="3297"/>
      <c r="H128" s="3297"/>
      <c r="I128" s="3297"/>
      <c r="AA128" s="683"/>
    </row>
    <row r="129" spans="1:35" ht="21.75" customHeight="1">
      <c r="A129" s="1690" t="s">
        <v>1451</v>
      </c>
      <c r="B129" s="1691"/>
      <c r="C129" s="1692" t="s">
        <v>1452</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1453</v>
      </c>
      <c r="G135" s="1705"/>
      <c r="H135" s="1705"/>
      <c r="I135" s="1706" t="s">
        <v>1454</v>
      </c>
    </row>
    <row r="136" spans="1:35" ht="21.75" customHeight="1">
      <c r="A136" s="683"/>
      <c r="B136" s="1707"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1456</v>
      </c>
    </row>
    <row r="139" spans="1:35" ht="21.75" customHeight="1">
      <c r="A139" s="683"/>
      <c r="B139" s="1707" t="s">
        <v>1457</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1456</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D7">
    <cfRule type="cellIs" dxfId="160" priority="10" stopIfTrue="1" operator="equal">
      <formula>25</formula>
    </cfRule>
  </conditionalFormatting>
  <conditionalFormatting sqref="C8:D13">
    <cfRule type="cellIs" dxfId="159" priority="8" stopIfTrue="1" operator="equal">
      <formula>15</formula>
    </cfRule>
  </conditionalFormatting>
  <conditionalFormatting sqref="C14:D16">
    <cfRule type="cellIs" dxfId="158" priority="6" stopIfTrue="1" operator="equal">
      <formula>30</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O12"/>
  <sheetViews>
    <sheetView tabSelected="1" workbookViewId="0">
      <selection activeCell="G22" sqref="G22"/>
    </sheetView>
  </sheetViews>
  <sheetFormatPr defaultRowHeight="13.5"/>
  <cols>
    <col min="2" max="2" width="5.5" customWidth="1"/>
    <col min="3" max="3" width="10.375" customWidth="1"/>
    <col min="4" max="4" width="16.625" customWidth="1"/>
    <col min="6" max="6" width="12.25" customWidth="1"/>
    <col min="9" max="9" width="5.75" customWidth="1"/>
    <col min="10" max="10" width="5" customWidth="1"/>
    <col min="11" max="14" width="9" style="2810"/>
  </cols>
  <sheetData>
    <row r="3" spans="3:15">
      <c r="C3" s="1404" t="s">
        <v>3576</v>
      </c>
      <c r="D3" s="1404" t="s">
        <v>3560</v>
      </c>
      <c r="E3" s="1404" t="s">
        <v>3561</v>
      </c>
      <c r="F3" s="1404" t="s">
        <v>3563</v>
      </c>
      <c r="G3" s="1404" t="s">
        <v>3564</v>
      </c>
      <c r="H3" s="1404" t="s">
        <v>3565</v>
      </c>
      <c r="K3" s="1420" t="s">
        <v>3572</v>
      </c>
      <c r="L3" s="1420" t="s">
        <v>3573</v>
      </c>
      <c r="M3" s="3526" t="s">
        <v>3574</v>
      </c>
      <c r="N3" s="3526" t="s">
        <v>3575</v>
      </c>
    </row>
    <row r="4" spans="3:15">
      <c r="C4">
        <f>'数据-取费表'!M6</f>
        <v>1227</v>
      </c>
      <c r="D4" t="s">
        <v>3554</v>
      </c>
      <c r="E4">
        <f>'数据-基础表'!I13</f>
        <v>1407.88</v>
      </c>
      <c r="F4">
        <f>'数据-基础表'!E13</f>
        <v>2861.05</v>
      </c>
      <c r="G4">
        <f ca="1">'收益法（汇总）'!M6</f>
        <v>3834</v>
      </c>
      <c r="H4">
        <f ca="1">ROUND(E4*G4/10000,0)</f>
        <v>540</v>
      </c>
      <c r="K4" s="2810">
        <f ca="1">ROUND($K$10*E4/$E$10,0)</f>
        <v>229</v>
      </c>
      <c r="L4" s="2810">
        <f ca="1">ROUND($O$4*E4/SUM($E$4:$E$7),0)</f>
        <v>297</v>
      </c>
      <c r="M4" s="3527">
        <f ca="1">K4+L4</f>
        <v>526</v>
      </c>
      <c r="N4" s="3527">
        <f ca="1">ROUND(M4*10000/E4,0)</f>
        <v>3736</v>
      </c>
      <c r="O4">
        <f ca="1">ROUND($L$10*C4/$L$11,0)</f>
        <v>1177</v>
      </c>
    </row>
    <row r="5" spans="3:15">
      <c r="D5" t="s">
        <v>3555</v>
      </c>
      <c r="E5">
        <f>'数据-基础表'!I14</f>
        <v>1743.44</v>
      </c>
      <c r="F5">
        <f>'数据-基础表'!E14</f>
        <v>3542.96</v>
      </c>
      <c r="G5">
        <f ca="1">G4</f>
        <v>3834</v>
      </c>
      <c r="H5">
        <f t="shared" ref="H5:H8" ca="1" si="0">ROUND(E5*G5/10000,0)</f>
        <v>668</v>
      </c>
      <c r="K5" s="2810">
        <f ca="1">ROUND($K$10*E5/$E$10,0)</f>
        <v>284</v>
      </c>
      <c r="L5" s="2810">
        <f ca="1">ROUND($O$4*E5/SUM($E$4:$E$7),0)</f>
        <v>368</v>
      </c>
      <c r="M5" s="3527">
        <f t="shared" ref="M5:M10" ca="1" si="1">K5+L5</f>
        <v>652</v>
      </c>
      <c r="N5" s="3527">
        <f ca="1">ROUND(M5*10000/E5,0)</f>
        <v>3740</v>
      </c>
    </row>
    <row r="6" spans="3:15">
      <c r="D6" t="s">
        <v>3556</v>
      </c>
      <c r="E6">
        <f>'数据-基础表'!I15</f>
        <v>1743.44</v>
      </c>
      <c r="F6">
        <f>'数据-基础表'!E15</f>
        <v>3542.96</v>
      </c>
      <c r="G6">
        <f ca="1">G4</f>
        <v>3834</v>
      </c>
      <c r="H6">
        <f t="shared" ca="1" si="0"/>
        <v>668</v>
      </c>
      <c r="K6" s="2810">
        <f ca="1">ROUND($K$10*E6/$E$10,0)</f>
        <v>284</v>
      </c>
      <c r="L6" s="2810">
        <f ca="1">ROUND($O$4*E6/SUM($E$4:$E$7),0)</f>
        <v>368</v>
      </c>
      <c r="M6" s="3527">
        <f t="shared" ca="1" si="1"/>
        <v>652</v>
      </c>
      <c r="N6" s="3527">
        <f ca="1">ROUND(M6*10000/E6,0)</f>
        <v>3740</v>
      </c>
    </row>
    <row r="7" spans="3:15">
      <c r="D7" t="s">
        <v>3557</v>
      </c>
      <c r="E7">
        <f>'数据-基础表'!I16</f>
        <v>684.01</v>
      </c>
      <c r="F7">
        <f>'数据-基础表'!E16</f>
        <v>1390.02</v>
      </c>
      <c r="G7">
        <f ca="1">G4</f>
        <v>3834</v>
      </c>
      <c r="H7">
        <f t="shared" ca="1" si="0"/>
        <v>262</v>
      </c>
      <c r="K7" s="2810">
        <f ca="1">ROUND($K$10*E7/$E$10,0)</f>
        <v>111</v>
      </c>
      <c r="L7" s="2810">
        <f ca="1">ROUND($O$4*E7/SUM($E$4:$E$7),0)</f>
        <v>144</v>
      </c>
      <c r="M7" s="3527">
        <f t="shared" ca="1" si="1"/>
        <v>255</v>
      </c>
      <c r="N7" s="3527">
        <f ca="1">ROUND(M7*10000/E7,0)</f>
        <v>3728</v>
      </c>
    </row>
    <row r="8" spans="3:15">
      <c r="C8">
        <f>'数据-取费表'!M7</f>
        <v>525</v>
      </c>
      <c r="D8" t="s">
        <v>3558</v>
      </c>
      <c r="E8">
        <f>'数据-基础表'!I17</f>
        <v>1069.44</v>
      </c>
      <c r="F8">
        <f>'数据-基础表'!E17</f>
        <v>2173.2800000000002</v>
      </c>
      <c r="G8">
        <f ca="1">'收益法（汇总）'!M7</f>
        <v>4448</v>
      </c>
      <c r="H8">
        <f t="shared" ca="1" si="0"/>
        <v>476</v>
      </c>
      <c r="K8" s="2810">
        <f ca="1">ROUND($K$10*E8/$E$10,0)</f>
        <v>174</v>
      </c>
      <c r="L8" s="2810">
        <f ca="1">ROUND(O8*E8/(E8+E9),0)</f>
        <v>338</v>
      </c>
      <c r="M8" s="3527">
        <f t="shared" ca="1" si="1"/>
        <v>512</v>
      </c>
      <c r="N8" s="3527">
        <f ca="1">ROUND(M8*10000/E8,0)</f>
        <v>4788</v>
      </c>
      <c r="O8">
        <f ca="1">L10-O4</f>
        <v>503</v>
      </c>
    </row>
    <row r="9" spans="3:15">
      <c r="D9" t="s">
        <v>3559</v>
      </c>
      <c r="E9">
        <f>'数据-基础表'!I18</f>
        <v>522.20000000000005</v>
      </c>
      <c r="F9">
        <f>'数据-基础表'!E18+0.01</f>
        <v>1061.21</v>
      </c>
      <c r="G9">
        <f ca="1">G8</f>
        <v>4448</v>
      </c>
      <c r="H9">
        <f ca="1">H12-H4-H5-H6-H7-H8</f>
        <v>233</v>
      </c>
      <c r="K9" s="2810">
        <f ca="1">K10-SUM(K4:K8)</f>
        <v>85</v>
      </c>
      <c r="L9" s="2810">
        <f ca="1">O8-L8</f>
        <v>165</v>
      </c>
      <c r="M9" s="3527">
        <f t="shared" ca="1" si="1"/>
        <v>250</v>
      </c>
      <c r="N9" s="3527">
        <f ca="1">ROUND(M9*10000/E9,0)</f>
        <v>4787</v>
      </c>
    </row>
    <row r="10" spans="3:15" s="3528" customFormat="1">
      <c r="C10" s="3528">
        <f>SUM(C4:C9)</f>
        <v>1752</v>
      </c>
      <c r="D10" s="3528" t="s">
        <v>3562</v>
      </c>
      <c r="E10" s="3528">
        <f>SUM(E4:E9)</f>
        <v>7170.4100000000008</v>
      </c>
      <c r="F10" s="3528">
        <f>SUM(F4:F9)</f>
        <v>14571.480000000003</v>
      </c>
      <c r="H10" s="3528">
        <f t="shared" ref="H10" ca="1" si="2">SUM(H4:H9)</f>
        <v>2847</v>
      </c>
      <c r="K10" s="3529">
        <f ca="1">结果表!D118</f>
        <v>1167</v>
      </c>
      <c r="L10" s="3529">
        <f ca="1">结果表!F118</f>
        <v>1680</v>
      </c>
      <c r="M10" s="3530">
        <f t="shared" ca="1" si="1"/>
        <v>2847</v>
      </c>
      <c r="N10" s="3530">
        <f ca="1">ROUND(M10*10000/E10,0)</f>
        <v>3970</v>
      </c>
    </row>
    <row r="11" spans="3:15">
      <c r="L11" s="2810">
        <f>'数据-取费表'!M16</f>
        <v>1752</v>
      </c>
    </row>
    <row r="12" spans="3:15">
      <c r="G12" s="1404" t="s">
        <v>3571</v>
      </c>
      <c r="H12" s="3182">
        <v>2847</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5" t="str">
        <f>项目基本情况!B1</f>
        <v>北京市延庆县康庄镇康祥路11号1-6幢工业用房房地产抵押价值预评估</v>
      </c>
      <c r="C37" s="3185"/>
      <c r="D37" s="3185"/>
      <c r="E37" s="3185"/>
      <c r="F37" s="3185"/>
      <c r="G37" s="3185"/>
      <c r="H37" s="3185"/>
      <c r="I37" s="318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7" sqref="J2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1458</v>
      </c>
      <c r="B1" s="1373"/>
      <c r="C1" s="189"/>
      <c r="D1" s="189"/>
      <c r="E1" s="189"/>
      <c r="F1" s="189"/>
      <c r="G1" s="1061">
        <f>MATCH(B1,'数据-取费表'!A6:A16,0)+5</f>
        <v>8</v>
      </c>
    </row>
    <row r="2" spans="1:9" s="191" customFormat="1" ht="18" customHeight="1">
      <c r="A2" s="192" t="s">
        <v>1459</v>
      </c>
      <c r="B2" s="193">
        <f ca="1">IF(D2="——",C52,C52-E2)</f>
        <v>2952</v>
      </c>
      <c r="C2" s="190" t="s">
        <v>1460</v>
      </c>
      <c r="D2" s="1710" t="s">
        <v>43</v>
      </c>
      <c r="E2" s="1088" t="e">
        <f ca="1">SUMIF(INDIRECT("'"&amp;G2&amp;"'"&amp;"!A:A"),"承租人权益价值",INDIRECT("'"&amp;G2&amp;"'"&amp;"!c:c"))</f>
        <v>#REF!</v>
      </c>
      <c r="F2" s="1711" t="s">
        <v>1460</v>
      </c>
      <c r="G2" s="1712"/>
    </row>
    <row r="3" spans="1:9" s="191" customFormat="1" ht="18" customHeight="1" thickBot="1">
      <c r="A3" s="194" t="s">
        <v>1461</v>
      </c>
      <c r="B3" s="195">
        <f ca="1">ROUND(B2*10000/(IF(B1="",'数据-汇总表'!E3,INDIRECT("'数据-取费表'!k"&amp;$G$1))),0)</f>
        <v>4117</v>
      </c>
      <c r="C3" s="190" t="s">
        <v>1462</v>
      </c>
      <c r="D3" s="190"/>
      <c r="E3" s="190"/>
      <c r="F3" s="190"/>
      <c r="G3" s="190"/>
    </row>
    <row r="4" spans="1:9" s="199" customFormat="1" ht="15.75">
      <c r="A4" s="196" t="s">
        <v>1463</v>
      </c>
      <c r="B4" s="197"/>
      <c r="C4" s="197"/>
      <c r="D4" s="197"/>
      <c r="E4" s="197"/>
      <c r="F4" s="197"/>
      <c r="G4" s="198"/>
    </row>
    <row r="5" spans="1:9" s="205" customFormat="1" ht="13.5" customHeight="1">
      <c r="A5" s="246" t="s">
        <v>1464</v>
      </c>
      <c r="B5" s="201" t="s">
        <v>1465</v>
      </c>
      <c r="C5" s="202">
        <f ca="1">C6+C7+C8</f>
        <v>1025</v>
      </c>
      <c r="D5" s="202" t="s">
        <v>1466</v>
      </c>
      <c r="E5" s="203" t="s">
        <v>1467</v>
      </c>
      <c r="F5" s="203" t="s">
        <v>1468</v>
      </c>
      <c r="G5" s="204"/>
    </row>
    <row r="6" spans="1:9" s="205" customFormat="1" ht="13.5" customHeight="1">
      <c r="A6" s="731" t="s">
        <v>1469</v>
      </c>
      <c r="B6" s="206" t="s">
        <v>1470</v>
      </c>
      <c r="C6" s="207">
        <f>基准地价修正!B2</f>
        <v>890</v>
      </c>
      <c r="D6" s="208"/>
      <c r="E6" s="209"/>
      <c r="F6" s="209"/>
      <c r="G6" s="210"/>
    </row>
    <row r="7" spans="1:9" s="205" customFormat="1" ht="13.5" customHeight="1">
      <c r="A7" s="731" t="s">
        <v>1471</v>
      </c>
      <c r="B7" s="206" t="s">
        <v>1472</v>
      </c>
      <c r="C7" s="211">
        <f>ROUND(C6*F7,0)</f>
        <v>27</v>
      </c>
      <c r="D7" s="211"/>
      <c r="E7" s="209"/>
      <c r="F7" s="212">
        <f>IF(项目基本情况!B8="出让",0,'数据-取费表'!B48+'数据-取费表'!B49)</f>
        <v>3.0499999999999999E-2</v>
      </c>
      <c r="G7" s="210"/>
    </row>
    <row r="8" spans="1:9" s="214" customFormat="1">
      <c r="A8" s="731" t="s">
        <v>1473</v>
      </c>
      <c r="B8" s="206" t="s">
        <v>1474</v>
      </c>
      <c r="C8" s="211">
        <f ca="1">IF(G8="已包含在土地购买价格中","0",IF(B1="",'数据-取费表'!B29,IF(G9="全部缴纳",C9+C10,H9)))</f>
        <v>108</v>
      </c>
      <c r="D8" s="213"/>
      <c r="E8" s="211"/>
      <c r="F8" s="212"/>
      <c r="G8" s="1713" t="s">
        <v>3410</v>
      </c>
    </row>
    <row r="9" spans="1:9" s="205" customFormat="1" ht="13.5" customHeight="1">
      <c r="A9" s="732" t="s">
        <v>355</v>
      </c>
      <c r="B9" s="215" t="s">
        <v>1475</v>
      </c>
      <c r="C9" s="216">
        <f ca="1">ROUND(D9*E9/10000,0)</f>
        <v>0</v>
      </c>
      <c r="D9" s="794">
        <f ca="1">IF(B1="",'数据-汇总表'!E5,IF(INDIRECT("'数据-取费表'!c"&amp;$G$1)="住宅",INDIRECT("'数据-取费表'!k"&amp;$G$1),0))</f>
        <v>0</v>
      </c>
      <c r="E9" s="216">
        <f>'数据-取费表'!B27</f>
        <v>100</v>
      </c>
      <c r="F9" s="212"/>
      <c r="G9" s="1714" t="s">
        <v>3411</v>
      </c>
      <c r="H9" s="1069"/>
      <c r="I9" s="1715" t="s">
        <v>1476</v>
      </c>
    </row>
    <row r="10" spans="1:9" s="205" customFormat="1" ht="13.5" customHeight="1">
      <c r="A10" s="732" t="s">
        <v>356</v>
      </c>
      <c r="B10" s="215" t="s">
        <v>1477</v>
      </c>
      <c r="C10" s="216">
        <f ca="1">ROUND(D10*E10/10000,0)</f>
        <v>108</v>
      </c>
      <c r="D10" s="794">
        <f ca="1">IF(B1="",'数据-汇总表'!E6,IF(INDIRECT("'数据-取费表'!c"&amp;$G$1)="住宅",INDIRECT("'数据-取费表'!s"&amp;$G$1),INDIRECT("'数据-取费表'!k"&amp;$G$1)+INDIRECT("'数据-取费表'!s"&amp;$G$1)))</f>
        <v>7170.4100000000008</v>
      </c>
      <c r="E10" s="216">
        <f>'数据-取费表'!B28</f>
        <v>150</v>
      </c>
      <c r="F10" s="212"/>
      <c r="G10" s="217"/>
    </row>
    <row r="11" spans="1:9" s="205" customFormat="1" ht="13.5" hidden="1" customHeight="1">
      <c r="A11" s="218" t="s">
        <v>4</v>
      </c>
      <c r="B11" s="206" t="s">
        <v>1478</v>
      </c>
      <c r="C11" s="202"/>
      <c r="D11" s="209"/>
      <c r="E11" s="209"/>
      <c r="F11" s="209"/>
      <c r="G11" s="210"/>
    </row>
    <row r="12" spans="1:9" s="205" customFormat="1" ht="13.5" hidden="1" customHeight="1">
      <c r="A12" s="218" t="s">
        <v>5</v>
      </c>
      <c r="B12" s="206" t="s">
        <v>1479</v>
      </c>
      <c r="C12" s="202">
        <v>0</v>
      </c>
      <c r="D12" s="209"/>
      <c r="E12" s="219"/>
      <c r="F12" s="212">
        <v>3.0499999999999999E-2</v>
      </c>
      <c r="G12" s="210"/>
    </row>
    <row r="13" spans="1:9" s="205" customFormat="1" ht="13.5" hidden="1" customHeight="1">
      <c r="A13" s="218" t="s">
        <v>6</v>
      </c>
      <c r="B13" s="206" t="s">
        <v>1480</v>
      </c>
      <c r="C13" s="202"/>
      <c r="D13" s="209"/>
      <c r="E13" s="209"/>
      <c r="F13" s="209"/>
      <c r="G13" s="210"/>
    </row>
    <row r="14" spans="1:9" s="205" customFormat="1" ht="13.5" hidden="1" customHeight="1">
      <c r="A14" s="218" t="s">
        <v>7</v>
      </c>
      <c r="B14" s="206" t="s">
        <v>1481</v>
      </c>
      <c r="C14" s="202"/>
      <c r="D14" s="209"/>
      <c r="E14" s="209"/>
      <c r="F14" s="209"/>
      <c r="G14" s="210" t="s">
        <v>1482</v>
      </c>
    </row>
    <row r="15" spans="1:9" s="205" customFormat="1" ht="13.5" hidden="1" customHeight="1">
      <c r="A15" s="218" t="s">
        <v>8</v>
      </c>
      <c r="B15" s="206" t="s">
        <v>1483</v>
      </c>
      <c r="C15" s="211"/>
      <c r="D15" s="209"/>
      <c r="E15" s="209"/>
      <c r="F15" s="209"/>
      <c r="G15" s="210" t="s">
        <v>1484</v>
      </c>
    </row>
    <row r="16" spans="1:9" s="205" customFormat="1" ht="13.5" hidden="1" customHeight="1">
      <c r="A16" s="218" t="s">
        <v>9</v>
      </c>
      <c r="B16" s="206" t="s">
        <v>1481</v>
      </c>
      <c r="C16" s="211"/>
      <c r="D16" s="209"/>
      <c r="E16" s="209"/>
      <c r="F16" s="209"/>
      <c r="G16" s="210"/>
    </row>
    <row r="17" spans="1:7" s="205" customFormat="1" ht="13.5" hidden="1" customHeight="1">
      <c r="A17" s="218" t="s">
        <v>10</v>
      </c>
      <c r="B17" s="206" t="s">
        <v>1485</v>
      </c>
      <c r="C17" s="220"/>
      <c r="D17" s="220"/>
      <c r="E17" s="220"/>
      <c r="F17" s="220"/>
      <c r="G17" s="210" t="s">
        <v>1484</v>
      </c>
    </row>
    <row r="18" spans="1:7" s="205" customFormat="1" ht="13.5" hidden="1" customHeight="1">
      <c r="A18" s="218" t="s">
        <v>11</v>
      </c>
      <c r="B18" s="206" t="s">
        <v>1486</v>
      </c>
      <c r="C18" s="211">
        <v>0</v>
      </c>
      <c r="D18" s="209"/>
      <c r="E18" s="209"/>
      <c r="F18" s="212">
        <v>3.0499999999999999E-2</v>
      </c>
      <c r="G18" s="210" t="s">
        <v>1487</v>
      </c>
    </row>
    <row r="19" spans="1:7" s="214" customFormat="1" ht="13.5" customHeight="1">
      <c r="A19" s="246" t="s">
        <v>1488</v>
      </c>
      <c r="B19" s="201" t="s">
        <v>1489</v>
      </c>
      <c r="C19" s="202" t="str">
        <f>IF(G19="已包含在土地取得成本中","0",ROUND(D19*E19/10000,0))</f>
        <v>0</v>
      </c>
      <c r="D19" s="203">
        <f ca="1">D9+D10</f>
        <v>7170.4100000000008</v>
      </c>
      <c r="E19" s="202">
        <f>'数据-取费表'!B31</f>
        <v>200</v>
      </c>
      <c r="F19" s="222"/>
      <c r="G19" s="1713" t="s">
        <v>3412</v>
      </c>
    </row>
    <row r="20" spans="1:7" s="205" customFormat="1" ht="13.5" customHeight="1">
      <c r="A20" s="246" t="s">
        <v>1490</v>
      </c>
      <c r="B20" s="201" t="s">
        <v>1491</v>
      </c>
      <c r="C20" s="223">
        <f ca="1">ROUND((C5+C19)*F20,0)</f>
        <v>21</v>
      </c>
      <c r="D20" s="223"/>
      <c r="E20" s="223"/>
      <c r="F20" s="224">
        <f>'数据-取费表'!B37</f>
        <v>0.02</v>
      </c>
      <c r="G20" s="225" t="s">
        <v>1492</v>
      </c>
    </row>
    <row r="21" spans="1:7" s="205" customFormat="1" ht="13.5" customHeight="1">
      <c r="A21" s="246" t="s">
        <v>1493</v>
      </c>
      <c r="B21" s="201" t="s">
        <v>1494</v>
      </c>
      <c r="C21" s="226">
        <f>F21</f>
        <v>0.01</v>
      </c>
      <c r="D21" s="227" t="s">
        <v>1495</v>
      </c>
      <c r="E21" s="223"/>
      <c r="F21" s="224">
        <f>'数据-取费表'!B38</f>
        <v>0.01</v>
      </c>
      <c r="G21" s="225" t="s">
        <v>1496</v>
      </c>
    </row>
    <row r="22" spans="1:7" s="205" customFormat="1" ht="13.5" customHeight="1">
      <c r="A22" s="246" t="s">
        <v>1497</v>
      </c>
      <c r="B22" s="201" t="s">
        <v>1498</v>
      </c>
      <c r="C22" s="1040">
        <f ca="1">ROUND(SUM(C23:C25),0)</f>
        <v>35</v>
      </c>
      <c r="D22" s="226">
        <f ca="1">C26</f>
        <v>2.0000000000000001E-4</v>
      </c>
      <c r="E22" s="227" t="s">
        <v>1495</v>
      </c>
      <c r="F22" s="228">
        <f ca="1">'数据-取费表'!B40</f>
        <v>3.4500000000000003E-2</v>
      </c>
      <c r="G22" s="225" t="str">
        <f>IF('数据-取费表'!B22&lt;=1,"单利计息","复利计息")</f>
        <v>单利计息</v>
      </c>
    </row>
    <row r="23" spans="1:7" s="205" customFormat="1" ht="13.5" customHeight="1">
      <c r="A23" s="733" t="s">
        <v>1499</v>
      </c>
      <c r="B23" s="206" t="s">
        <v>1500</v>
      </c>
      <c r="C23" s="1041">
        <f ca="1">ROUND(IF('数据-取费表'!B22&lt;=1,C5*F22*'数据-取费表'!B23,C5*(POWER((1+F22),'数据-取费表'!B23)-1)),0)</f>
        <v>35</v>
      </c>
      <c r="D23" s="229"/>
      <c r="E23" s="229"/>
      <c r="F23" s="230"/>
      <c r="G23" s="231" t="s">
        <v>1501</v>
      </c>
    </row>
    <row r="24" spans="1:7" s="205" customFormat="1" ht="13.5" customHeight="1">
      <c r="A24" s="733" t="s">
        <v>1502</v>
      </c>
      <c r="B24" s="206" t="s">
        <v>1503</v>
      </c>
      <c r="C24" s="1041">
        <f ca="1">ROUND(IF('数据-取费表'!B22&lt;=1,C19*F22*('数据-取费表'!B19/2+'数据-取费表'!B21),C19*(POWER((1+F22),('数据-取费表'!B19/2+'数据-取费表'!B21))-1)),0)</f>
        <v>0</v>
      </c>
      <c r="D24" s="229"/>
      <c r="E24" s="229"/>
      <c r="F24" s="230"/>
      <c r="G24" s="231" t="s">
        <v>1504</v>
      </c>
    </row>
    <row r="25" spans="1:7" s="205" customFormat="1" ht="24">
      <c r="A25" s="733" t="s">
        <v>1505</v>
      </c>
      <c r="B25" s="206" t="s">
        <v>1506</v>
      </c>
      <c r="C25" s="1041">
        <f ca="1">ROUND(IF('数据-取费表'!B22&lt;=1,C20*F22*'数据-取费表'!B23/2,C20*(POWER((1+F22),'数据-取费表'!B23/2)-1)),0)</f>
        <v>0</v>
      </c>
      <c r="D25" s="229"/>
      <c r="E25" s="232"/>
      <c r="F25" s="230"/>
      <c r="G25" s="233" t="s">
        <v>1507</v>
      </c>
    </row>
    <row r="26" spans="1:7" s="205" customFormat="1">
      <c r="A26" s="733" t="s">
        <v>350</v>
      </c>
      <c r="B26" s="206" t="s">
        <v>1508</v>
      </c>
      <c r="C26" s="229">
        <f ca="1">ROUND(IF('数据-取费表'!B22&lt;=1,F21*F22*'数据-取费表'!B23/2,F21*(POWER((1+F22),'数据-取费表'!B23/2)-1)),4)</f>
        <v>2.0000000000000001E-4</v>
      </c>
      <c r="D26" s="229"/>
      <c r="E26" s="232"/>
      <c r="F26" s="230"/>
      <c r="G26" s="234"/>
    </row>
    <row r="27" spans="1:7" s="205" customFormat="1" ht="24.75">
      <c r="A27" s="246" t="s">
        <v>1509</v>
      </c>
      <c r="B27" s="235" t="s">
        <v>1510</v>
      </c>
      <c r="C27" s="236">
        <f ca="1">C28</f>
        <v>52</v>
      </c>
      <c r="D27" s="226">
        <f ca="1">C29</f>
        <v>5.0000000000000001E-4</v>
      </c>
      <c r="E27" s="227" t="s">
        <v>1511</v>
      </c>
      <c r="F27" s="237">
        <f ca="1">IF(B1="",'数据-取费表'!Q16,INDIRECT("'数据-取费表'!q"&amp;$G$1))</f>
        <v>0.05</v>
      </c>
      <c r="G27" s="238" t="s">
        <v>1512</v>
      </c>
    </row>
    <row r="28" spans="1:7" s="205" customFormat="1" ht="13.5" customHeight="1">
      <c r="A28" s="733" t="s">
        <v>346</v>
      </c>
      <c r="B28" s="239" t="s">
        <v>1513</v>
      </c>
      <c r="C28" s="240">
        <f ca="1">ROUND((C5+C19+C20)*F27*'数据-取费表'!B21/'数据-取费表'!B20,0)</f>
        <v>52</v>
      </c>
      <c r="D28" s="226"/>
      <c r="E28" s="227"/>
      <c r="F28" s="237"/>
      <c r="G28" s="238"/>
    </row>
    <row r="29" spans="1:7" s="205" customFormat="1" ht="13.5" customHeight="1">
      <c r="A29" s="733" t="s">
        <v>347</v>
      </c>
      <c r="B29" s="239" t="s">
        <v>1514</v>
      </c>
      <c r="C29" s="229">
        <f ca="1">ROUND(C21*F27*'数据-取费表'!B21/'数据-取费表'!B20,4)</f>
        <v>5.0000000000000001E-4</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1209</v>
      </c>
      <c r="D31" s="221"/>
      <c r="E31" s="202"/>
      <c r="F31" s="241"/>
      <c r="G31" s="225" t="s">
        <v>1519</v>
      </c>
    </row>
    <row r="32" spans="1:7" s="199" customFormat="1" ht="15.75">
      <c r="A32" s="243" t="s">
        <v>1520</v>
      </c>
      <c r="B32" s="244"/>
      <c r="C32" s="244"/>
      <c r="D32" s="244"/>
      <c r="E32" s="244"/>
      <c r="F32" s="244"/>
      <c r="G32" s="245"/>
    </row>
    <row r="33" spans="1:7" s="205" customFormat="1" ht="13.5" customHeight="1">
      <c r="A33" s="246" t="s">
        <v>337</v>
      </c>
      <c r="B33" s="201" t="s">
        <v>1521</v>
      </c>
      <c r="C33" s="247">
        <f ca="1">SUM(C34:C38)</f>
        <v>1974</v>
      </c>
      <c r="D33" s="223"/>
      <c r="E33" s="203"/>
      <c r="F33" s="232"/>
      <c r="G33" s="225"/>
    </row>
    <row r="34" spans="1:7" s="249" customFormat="1" ht="13.5" customHeight="1">
      <c r="A34" s="733" t="s">
        <v>346</v>
      </c>
      <c r="B34" s="206" t="s">
        <v>1522</v>
      </c>
      <c r="C34" s="211">
        <f ca="1">IF(B1="",IF(F34=100%,'数据-取费表'!M16,'数据-取费表'!O16),IF(F34=100%,INDIRECT("'数据-取费表'!m"&amp;$G$1)+INDIRECT("'数据-取费表'!t"&amp;$G$1),INDIRECT("'数据-取费表'!o"&amp;$G$1)+INDIRECT("'数据-取费表'!aq"&amp;$G$1)))</f>
        <v>1752</v>
      </c>
      <c r="D34" s="208"/>
      <c r="E34" s="211"/>
      <c r="F34" s="248">
        <f ca="1">IF('数据-取费表'!B24=0,1,IF(B1="",'数据-取费表'!N16,INDIRECT("'数据-取费表'!n"&amp;$G$1)))</f>
        <v>1</v>
      </c>
      <c r="G34" s="210" t="s">
        <v>1523</v>
      </c>
    </row>
    <row r="35" spans="1:7" ht="13.5" customHeight="1">
      <c r="A35" s="733" t="s">
        <v>351</v>
      </c>
      <c r="B35" s="206" t="s">
        <v>1524</v>
      </c>
      <c r="C35" s="211">
        <f ca="1">ROUND(C34*F35,0)</f>
        <v>53</v>
      </c>
      <c r="D35" s="211"/>
      <c r="E35" s="211"/>
      <c r="F35" s="250">
        <f>'数据-取费表'!B33</f>
        <v>0.03</v>
      </c>
      <c r="G35" s="210" t="s">
        <v>1525</v>
      </c>
    </row>
    <row r="36" spans="1:7" ht="24">
      <c r="A36" s="733" t="s">
        <v>352</v>
      </c>
      <c r="B36" s="206" t="s">
        <v>1526</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1527</v>
      </c>
    </row>
    <row r="37" spans="1:7" s="249" customFormat="1" ht="13.5" customHeight="1">
      <c r="A37" s="733" t="s">
        <v>353</v>
      </c>
      <c r="B37" s="206" t="s">
        <v>1528</v>
      </c>
      <c r="C37" s="240">
        <f ca="1">ROUND(E37*D37*F34/10000,0)</f>
        <v>143</v>
      </c>
      <c r="D37" s="208">
        <f ca="1">D19</f>
        <v>7170.4100000000008</v>
      </c>
      <c r="E37" s="240">
        <f>'数据-取费表'!B35</f>
        <v>200</v>
      </c>
      <c r="F37" s="250"/>
      <c r="G37" s="252" t="s">
        <v>1529</v>
      </c>
    </row>
    <row r="38" spans="1:7" ht="13.5" customHeight="1">
      <c r="A38" s="733" t="s">
        <v>354</v>
      </c>
      <c r="B38" s="206" t="s">
        <v>1530</v>
      </c>
      <c r="C38" s="211">
        <f ca="1">ROUND(C34*F38,0)</f>
        <v>26</v>
      </c>
      <c r="D38" s="211"/>
      <c r="E38" s="211"/>
      <c r="F38" s="250">
        <f>'数据-取费表'!B36</f>
        <v>1.4999999999999999E-2</v>
      </c>
      <c r="G38" s="210" t="s">
        <v>1525</v>
      </c>
    </row>
    <row r="39" spans="1:7" s="205" customFormat="1" ht="13.5" customHeight="1">
      <c r="A39" s="246" t="s">
        <v>1531</v>
      </c>
      <c r="B39" s="201" t="s">
        <v>1532</v>
      </c>
      <c r="C39" s="223">
        <f ca="1">ROUND(C33*F20,0)</f>
        <v>39</v>
      </c>
      <c r="D39" s="223"/>
      <c r="E39" s="223"/>
      <c r="F39" s="224">
        <f>F20</f>
        <v>0.02</v>
      </c>
      <c r="G39" s="225" t="s">
        <v>1533</v>
      </c>
    </row>
    <row r="40" spans="1:7" s="205" customFormat="1" ht="13.5" customHeight="1">
      <c r="A40" s="246" t="s">
        <v>1534</v>
      </c>
      <c r="B40" s="201" t="s">
        <v>1535</v>
      </c>
      <c r="C40" s="226">
        <f>F21</f>
        <v>0.01</v>
      </c>
      <c r="D40" s="227" t="s">
        <v>1536</v>
      </c>
      <c r="E40" s="223"/>
      <c r="F40" s="224">
        <f>F21</f>
        <v>0.01</v>
      </c>
      <c r="G40" s="225" t="s">
        <v>1537</v>
      </c>
    </row>
    <row r="41" spans="1:7" s="205" customFormat="1" ht="13.5" customHeight="1">
      <c r="A41" s="246" t="s">
        <v>1538</v>
      </c>
      <c r="B41" s="201" t="s">
        <v>1539</v>
      </c>
      <c r="C41" s="223">
        <f ca="1">ROUND(SUM(C42:C43),0)</f>
        <v>35</v>
      </c>
      <c r="D41" s="226">
        <f ca="1">C44</f>
        <v>2.0000000000000001E-4</v>
      </c>
      <c r="E41" s="227" t="s">
        <v>1536</v>
      </c>
      <c r="F41" s="228">
        <f ca="1">F22</f>
        <v>3.4500000000000003E-2</v>
      </c>
      <c r="G41" s="225" t="str">
        <f>IF('数据-取费表'!B22&lt;=1,"单利计息","复利计息")</f>
        <v>单利计息</v>
      </c>
    </row>
    <row r="42" spans="1:7" ht="13.5" customHeight="1">
      <c r="A42" s="733" t="s">
        <v>346</v>
      </c>
      <c r="B42" s="206" t="s">
        <v>1540</v>
      </c>
      <c r="C42" s="229">
        <f ca="1">ROUND(IF('数据-取费表'!B22&lt;=1,C33*F22*'数据-取费表'!B21/2,C33*(POWER((1+F22),'数据-取费表'!B21/2)-1)),0)</f>
        <v>34</v>
      </c>
      <c r="D42" s="229"/>
      <c r="E42" s="229"/>
      <c r="F42" s="230"/>
      <c r="G42" s="3371" t="s">
        <v>1541</v>
      </c>
    </row>
    <row r="43" spans="1:7" ht="13.5" customHeight="1">
      <c r="A43" s="733" t="s">
        <v>347</v>
      </c>
      <c r="B43" s="206" t="s">
        <v>1542</v>
      </c>
      <c r="C43" s="229">
        <f ca="1">ROUND(IF('数据-取费表'!B22&lt;=1,C39*F22*'数据-取费表'!B21/2,C39*(POWER((1+F22),'数据-取费表'!B21/2)-1)),0)</f>
        <v>1</v>
      </c>
      <c r="D43" s="229"/>
      <c r="E43" s="229"/>
      <c r="F43" s="230"/>
      <c r="G43" s="3372"/>
    </row>
    <row r="44" spans="1:7" ht="13.5" customHeight="1">
      <c r="A44" s="733" t="s">
        <v>348</v>
      </c>
      <c r="B44" s="206" t="s">
        <v>1543</v>
      </c>
      <c r="C44" s="229">
        <f ca="1">ROUND(IF('数据-取费表'!B22&lt;=1,C40*F22*'数据-取费表'!B21/2,C40*(POWER((1+F22),'数据-取费表'!B21/2)-1)),4)</f>
        <v>2.0000000000000001E-4</v>
      </c>
      <c r="D44" s="229"/>
      <c r="E44" s="229"/>
      <c r="F44" s="230"/>
      <c r="G44" s="3373"/>
    </row>
    <row r="45" spans="1:7" s="205" customFormat="1" ht="13.5" customHeight="1">
      <c r="A45" s="246" t="s">
        <v>1544</v>
      </c>
      <c r="B45" s="235" t="s">
        <v>1510</v>
      </c>
      <c r="C45" s="236">
        <f ca="1">C46</f>
        <v>101</v>
      </c>
      <c r="D45" s="226">
        <f ca="1">C47</f>
        <v>5.0000000000000001E-4</v>
      </c>
      <c r="E45" s="227" t="s">
        <v>1536</v>
      </c>
      <c r="F45" s="237">
        <f ca="1">F27</f>
        <v>0.05</v>
      </c>
      <c r="G45" s="238" t="s">
        <v>1545</v>
      </c>
    </row>
    <row r="46" spans="1:7" s="205" customFormat="1" ht="13.5" customHeight="1">
      <c r="A46" s="733" t="s">
        <v>346</v>
      </c>
      <c r="B46" s="239" t="s">
        <v>1546</v>
      </c>
      <c r="C46" s="240">
        <f ca="1">ROUND((C33+C39)*F27,0)</f>
        <v>101</v>
      </c>
      <c r="D46" s="254"/>
      <c r="E46" s="227"/>
      <c r="F46" s="237"/>
      <c r="G46" s="238"/>
    </row>
    <row r="47" spans="1:7" s="205" customFormat="1" ht="13.5" customHeight="1">
      <c r="A47" s="733" t="s">
        <v>347</v>
      </c>
      <c r="B47" s="239" t="s">
        <v>1547</v>
      </c>
      <c r="C47" s="229">
        <f ca="1">ROUND(C40*F27,4)</f>
        <v>5.0000000000000001E-4</v>
      </c>
      <c r="D47" s="254"/>
      <c r="E47" s="227"/>
      <c r="F47" s="237"/>
      <c r="G47" s="238"/>
    </row>
    <row r="48" spans="1:7" s="205" customFormat="1" ht="13.5" customHeight="1">
      <c r="A48" s="246" t="s">
        <v>1509</v>
      </c>
      <c r="B48" s="201" t="s">
        <v>1548</v>
      </c>
      <c r="C48" s="226">
        <f>ROUND(F30/(1+'数据-取费表'!C42),4)</f>
        <v>5.2400000000000002E-2</v>
      </c>
      <c r="D48" s="227" t="s">
        <v>1536</v>
      </c>
      <c r="E48" s="223"/>
      <c r="F48" s="228">
        <f>F30</f>
        <v>5.5000000000000007E-2</v>
      </c>
      <c r="G48" s="225" t="s">
        <v>1549</v>
      </c>
    </row>
    <row r="49" spans="1:7" ht="16.5" customHeight="1">
      <c r="A49" s="246" t="s">
        <v>1515</v>
      </c>
      <c r="B49" s="201" t="s">
        <v>1550</v>
      </c>
      <c r="C49" s="223">
        <f ca="1">ROUND((C33+C39+C41+C45)/(1-C40-D41-D45-C48),0)</f>
        <v>2294</v>
      </c>
      <c r="D49" s="223"/>
      <c r="E49" s="223"/>
      <c r="F49" s="255"/>
      <c r="G49" s="225" t="s">
        <v>1551</v>
      </c>
    </row>
    <row r="50" spans="1:7" s="249" customFormat="1" ht="24">
      <c r="A50" s="246" t="s">
        <v>1552</v>
      </c>
      <c r="B50" s="201" t="s">
        <v>1553</v>
      </c>
      <c r="C50" s="223"/>
      <c r="D50" s="223"/>
      <c r="E50" s="223"/>
      <c r="F50" s="255">
        <f>IF('数据-取费表'!B24=0,'数据-取费表'!N16,1)</f>
        <v>0.76</v>
      </c>
      <c r="G50" s="238" t="s">
        <v>1554</v>
      </c>
    </row>
    <row r="51" spans="1:7" ht="16.5" customHeight="1">
      <c r="A51" s="246" t="s">
        <v>1555</v>
      </c>
      <c r="B51" s="201" t="s">
        <v>1556</v>
      </c>
      <c r="C51" s="223">
        <f ca="1">ROUND(C49*F50,0)</f>
        <v>1743</v>
      </c>
      <c r="D51" s="223"/>
      <c r="E51" s="223"/>
      <c r="F51" s="255"/>
      <c r="G51" s="225" t="s">
        <v>1557</v>
      </c>
    </row>
    <row r="52" spans="1:7" s="199" customFormat="1" ht="16.5" thickBot="1">
      <c r="A52" s="256" t="s">
        <v>1558</v>
      </c>
      <c r="B52" s="257"/>
      <c r="C52" s="258">
        <f ca="1">C31+C51</f>
        <v>2952</v>
      </c>
      <c r="D52" s="257"/>
      <c r="E52" s="257"/>
      <c r="F52" s="257"/>
      <c r="G52" s="259"/>
    </row>
    <row r="55" spans="1:7" ht="15">
      <c r="B55" s="261" t="s">
        <v>1559</v>
      </c>
      <c r="C55" s="262"/>
    </row>
    <row r="56" spans="1:7">
      <c r="B56" s="264" t="s">
        <v>802</v>
      </c>
      <c r="C56" s="266">
        <f ca="1">1-C57</f>
        <v>0.41000000000000003</v>
      </c>
    </row>
    <row r="57" spans="1:7">
      <c r="B57" s="264" t="s">
        <v>803</v>
      </c>
      <c r="C57" s="265">
        <f ca="1">ROUND(C51/C52,3)</f>
        <v>0.59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90" zoomScaleNormal="70" zoomScaleSheetLayoutView="90" workbookViewId="0">
      <selection activeCell="G15" sqref="G1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733" t="s">
        <v>1763</v>
      </c>
      <c r="C1" s="1154" t="s">
        <v>1659</v>
      </c>
      <c r="D1" s="1141" t="s">
        <v>3434</v>
      </c>
      <c r="E1" s="3121" t="s">
        <v>3420</v>
      </c>
      <c r="F1" s="1734" t="s">
        <v>3417</v>
      </c>
      <c r="G1" s="1151" t="s">
        <v>1764</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1459</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1460</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1461</v>
      </c>
      <c r="B3" s="535">
        <f>IF(C2="——",C49,ROUND(B2*10000/D3,0))</f>
        <v>31282</v>
      </c>
      <c r="C3" s="343" t="s">
        <v>1765</v>
      </c>
      <c r="D3" s="342">
        <f>IF(D1="",'数据-汇总表'!E3,SUMIF('数据-汇总表'!$C19:$C33,D1,'数据-汇总表'!$E19:$E33))</f>
        <v>0</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397" t="s">
        <v>1772</v>
      </c>
      <c r="Q4" s="3398"/>
      <c r="R4" s="3380" t="s">
        <v>1768</v>
      </c>
      <c r="S4" s="3381"/>
      <c r="T4" s="3380" t="s">
        <v>1769</v>
      </c>
      <c r="U4" s="3381"/>
      <c r="V4" s="3377" t="s">
        <v>1770</v>
      </c>
      <c r="W4" s="3377"/>
      <c r="X4" s="1264"/>
      <c r="Y4" s="3380" t="s">
        <v>1772</v>
      </c>
      <c r="Z4" s="3381"/>
      <c r="AA4" s="3374" t="s">
        <v>1768</v>
      </c>
      <c r="AB4" s="3377" t="s">
        <v>1769</v>
      </c>
      <c r="AC4" s="3374" t="s">
        <v>1770</v>
      </c>
    </row>
    <row r="5" spans="1:29" ht="15">
      <c r="A5" s="347"/>
      <c r="B5" s="348"/>
      <c r="C5" s="3386" t="s">
        <v>1670</v>
      </c>
      <c r="D5" s="3387"/>
      <c r="E5" s="3384" t="b">
        <f>'比较法-商业'!C10='比较法-商业'!F65</f>
        <v>1</v>
      </c>
      <c r="F5" s="3385"/>
      <c r="G5" s="3386" t="s">
        <v>1672</v>
      </c>
      <c r="H5" s="3387"/>
      <c r="I5" s="3386" t="s">
        <v>1673</v>
      </c>
      <c r="J5" s="3387"/>
      <c r="K5" s="536"/>
      <c r="L5" s="2483"/>
      <c r="M5" s="2484"/>
      <c r="N5" s="2484"/>
      <c r="O5" s="2484"/>
      <c r="P5" s="3399"/>
      <c r="Q5" s="3400"/>
      <c r="R5" s="3382"/>
      <c r="S5" s="3383"/>
      <c r="T5" s="3382"/>
      <c r="U5" s="3383"/>
      <c r="V5" s="3377"/>
      <c r="W5" s="3377"/>
      <c r="X5" s="1264"/>
      <c r="Y5" s="3382"/>
      <c r="Z5" s="3383"/>
      <c r="AA5" s="3375"/>
      <c r="AB5" s="3377"/>
      <c r="AC5" s="3375"/>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01"/>
      <c r="Q6" s="3402"/>
      <c r="R6" s="3382"/>
      <c r="S6" s="3383"/>
      <c r="T6" s="3403"/>
      <c r="U6" s="3404"/>
      <c r="V6" s="3377"/>
      <c r="W6" s="3377"/>
      <c r="X6" s="1264"/>
      <c r="Y6" s="3403"/>
      <c r="Z6" s="3404"/>
      <c r="AA6" s="3376"/>
      <c r="AB6" s="3377"/>
      <c r="AC6" s="3376"/>
    </row>
    <row r="7" spans="1:29" s="101" customFormat="1" ht="15.75" thickBot="1">
      <c r="A7" s="351" t="s">
        <v>1676</v>
      </c>
      <c r="B7" s="352"/>
      <c r="C7" s="353">
        <f>'数据-取费表'!B2</f>
        <v>45315</v>
      </c>
      <c r="D7" s="354">
        <v>100</v>
      </c>
      <c r="E7" s="355">
        <f>C7</f>
        <v>45315</v>
      </c>
      <c r="F7" s="356">
        <f>SUMIF(58:58,YEAR(E7)&amp;"-"&amp;MONTH(E7),59:59)</f>
        <v>100</v>
      </c>
      <c r="G7" s="355">
        <f>C7</f>
        <v>45315</v>
      </c>
      <c r="H7" s="354">
        <f>SUMIF(58:58,YEAR(G7)&amp;"-"&amp;MONTH(G7),59:59)</f>
        <v>100</v>
      </c>
      <c r="I7" s="355">
        <f>C7</f>
        <v>45315</v>
      </c>
      <c r="J7" s="354">
        <f>SUMIF(58:58,YEAR(I7)&amp;"-"&amp;MONTH(I7),59:59)</f>
        <v>100</v>
      </c>
      <c r="K7" s="38"/>
      <c r="L7" s="2485"/>
      <c r="M7" s="2437"/>
      <c r="N7" s="2437"/>
      <c r="O7" s="2437"/>
      <c r="P7" s="3378" t="s">
        <v>1677</v>
      </c>
      <c r="Q7" s="3405"/>
      <c r="R7" s="663" t="s">
        <v>14</v>
      </c>
      <c r="S7" s="664">
        <f t="shared" ref="S7:S15" si="0">F7</f>
        <v>100</v>
      </c>
      <c r="T7" s="663" t="s">
        <v>14</v>
      </c>
      <c r="U7" s="664">
        <f t="shared" ref="U7:U15" si="1">H7</f>
        <v>100</v>
      </c>
      <c r="V7" s="663" t="s">
        <v>14</v>
      </c>
      <c r="W7" s="664">
        <f t="shared" ref="W7:W15" si="2">J7</f>
        <v>100</v>
      </c>
      <c r="X7" s="665"/>
      <c r="Y7" s="3378" t="s">
        <v>1677</v>
      </c>
      <c r="Z7" s="3379"/>
      <c r="AA7" s="50">
        <f>D7/F7</f>
        <v>1</v>
      </c>
      <c r="AB7" s="50">
        <f>D7/H7</f>
        <v>1</v>
      </c>
      <c r="AC7" s="50">
        <f>D7/J7</f>
        <v>1</v>
      </c>
    </row>
    <row r="8" spans="1:29" s="101" customFormat="1" ht="15.75" thickBot="1">
      <c r="A8" s="351" t="s">
        <v>1678</v>
      </c>
      <c r="B8" s="352"/>
      <c r="C8" s="357" t="s">
        <v>3426</v>
      </c>
      <c r="D8" s="354">
        <v>100</v>
      </c>
      <c r="E8" s="357" t="s">
        <v>3427</v>
      </c>
      <c r="F8" s="356">
        <f>SUMIF(61:61,E8,62:62)-SUMIF(61:61,C8,62:62)+100</f>
        <v>105</v>
      </c>
      <c r="G8" s="357" t="s">
        <v>3427</v>
      </c>
      <c r="H8" s="354">
        <f>SUMIF(61:61,G8,62:62)-SUMIF(61:61,C8,62:62)+100</f>
        <v>105</v>
      </c>
      <c r="I8" s="357" t="s">
        <v>3427</v>
      </c>
      <c r="J8" s="354">
        <f>SUMIF(61:61,I8,62:62)-SUMIF(61:61,C8,62:62)+100</f>
        <v>105</v>
      </c>
      <c r="K8" s="38"/>
      <c r="L8" s="2485"/>
      <c r="M8" s="2437"/>
      <c r="N8" s="2437"/>
      <c r="O8" s="2437"/>
      <c r="P8" s="3378" t="s">
        <v>1680</v>
      </c>
      <c r="Q8" s="3379"/>
      <c r="R8" s="663" t="s">
        <v>14</v>
      </c>
      <c r="S8" s="664">
        <f t="shared" si="0"/>
        <v>105</v>
      </c>
      <c r="T8" s="663" t="s">
        <v>14</v>
      </c>
      <c r="U8" s="664">
        <f t="shared" si="1"/>
        <v>105</v>
      </c>
      <c r="V8" s="663" t="s">
        <v>14</v>
      </c>
      <c r="W8" s="664">
        <f t="shared" si="2"/>
        <v>105</v>
      </c>
      <c r="X8" s="665"/>
      <c r="Y8" s="3378" t="s">
        <v>1680</v>
      </c>
      <c r="Z8" s="3379"/>
      <c r="AA8" s="50">
        <f t="shared" ref="AA8:AA46" si="3">D8/F8</f>
        <v>0.95238095238095233</v>
      </c>
      <c r="AB8" s="50">
        <f t="shared" ref="AB8:AB46" si="4">D8/H8</f>
        <v>0.95238095238095233</v>
      </c>
      <c r="AC8" s="50">
        <f t="shared" ref="AC8:AC46" si="5">D8/J8</f>
        <v>0.95238095238095233</v>
      </c>
    </row>
    <row r="9" spans="1:29" s="101" customFormat="1">
      <c r="A9" s="358" t="s">
        <v>1681</v>
      </c>
      <c r="B9" s="60" t="s">
        <v>1682</v>
      </c>
      <c r="C9" s="3164" t="s">
        <v>3451</v>
      </c>
      <c r="D9" s="59">
        <v>100</v>
      </c>
      <c r="E9" s="360" t="s">
        <v>673</v>
      </c>
      <c r="F9" s="60">
        <f>SUMIF(63:63,E9,64:64)-SUMIF(63:63,C9,64:64)+100</f>
        <v>100</v>
      </c>
      <c r="G9" s="360" t="s">
        <v>673</v>
      </c>
      <c r="H9" s="59">
        <f>SUMIF(63:63,G9,64:64)-SUMIF(63:63,C9,64:64)+100</f>
        <v>100</v>
      </c>
      <c r="I9" s="360" t="s">
        <v>673</v>
      </c>
      <c r="J9" s="59">
        <f>SUMIF(63:63,I9,64:64)-SUMIF(63:63,C9,64:64)+100</f>
        <v>100</v>
      </c>
      <c r="K9" s="38"/>
      <c r="L9" s="2485"/>
      <c r="M9" s="2437"/>
      <c r="N9" s="2437"/>
      <c r="O9" s="2437"/>
      <c r="P9" s="3392"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50">
        <f t="shared" si="5"/>
        <v>1</v>
      </c>
    </row>
    <row r="10" spans="1:29" s="365" customFormat="1" ht="27">
      <c r="A10" s="362"/>
      <c r="B10" s="363" t="s">
        <v>1685</v>
      </c>
      <c r="C10" s="3129" t="str">
        <f>F65</f>
        <v>20（含）-10</v>
      </c>
      <c r="D10" s="118">
        <v>100</v>
      </c>
      <c r="E10" s="3130" t="str">
        <f>F65</f>
        <v>20（含）-10</v>
      </c>
      <c r="F10" s="363">
        <f>SUMIF(65:65,E10,66:66)-SUMIF(65:65,C10,66:66)+100</f>
        <v>100</v>
      </c>
      <c r="G10" s="3129" t="str">
        <f>F65</f>
        <v>20（含）-10</v>
      </c>
      <c r="H10" s="118">
        <f>SUMIF(65:65,G10,66:66)-SUMIF(65:65,C10,66:66)+100</f>
        <v>100</v>
      </c>
      <c r="I10" s="3129" t="str">
        <f>F65</f>
        <v>20（含）-10</v>
      </c>
      <c r="J10" s="118">
        <f>SUMIF(65:65,I10,66:66)-SUMIF(65:65,C10,66:66)+100</f>
        <v>100</v>
      </c>
      <c r="K10" s="38"/>
      <c r="L10" s="2486"/>
      <c r="M10" s="2487"/>
      <c r="N10" s="2487"/>
      <c r="O10" s="2487"/>
      <c r="P10" s="3392"/>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50">
        <f t="shared" si="5"/>
        <v>1</v>
      </c>
    </row>
    <row r="11" spans="1:29" ht="15">
      <c r="A11" s="366"/>
      <c r="B11" s="363" t="s">
        <v>1686</v>
      </c>
      <c r="C11" s="367">
        <v>1</v>
      </c>
      <c r="D11" s="118">
        <v>100</v>
      </c>
      <c r="E11" s="368"/>
      <c r="F11" s="363">
        <f>LOOKUP(E11,68:68,69:69)-LOOKUP(C11,68:68,69:69)+100</f>
        <v>100</v>
      </c>
      <c r="G11" s="367"/>
      <c r="H11" s="118">
        <f>LOOKUP(G11,68:68,69:69)-LOOKUP(C11,68:68,69:69)+100</f>
        <v>100</v>
      </c>
      <c r="I11" s="367"/>
      <c r="J11" s="118">
        <f>LOOKUP(I11,68:68,69:69)-LOOKUP(C11,68:68,69:69)+100</f>
        <v>100</v>
      </c>
      <c r="K11" s="537"/>
      <c r="L11" s="2488"/>
      <c r="M11" s="2484"/>
      <c r="N11" s="2484"/>
      <c r="O11" s="2484"/>
      <c r="P11" s="3392"/>
      <c r="Q11" s="529" t="str">
        <f t="shared" si="6"/>
        <v>容积率</v>
      </c>
      <c r="R11" s="663" t="s">
        <v>14</v>
      </c>
      <c r="S11" s="664">
        <f t="shared" si="0"/>
        <v>100</v>
      </c>
      <c r="T11" s="663" t="s">
        <v>14</v>
      </c>
      <c r="U11" s="664">
        <f t="shared" si="1"/>
        <v>100</v>
      </c>
      <c r="V11" s="663" t="s">
        <v>14</v>
      </c>
      <c r="W11" s="664">
        <f t="shared" si="2"/>
        <v>100</v>
      </c>
      <c r="X11" s="665"/>
      <c r="Y11" s="3343"/>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92"/>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92"/>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92"/>
      <c r="Q14" s="529">
        <f t="shared" si="6"/>
        <v>111</v>
      </c>
      <c r="R14" s="663" t="s">
        <v>14</v>
      </c>
      <c r="S14" s="664">
        <f t="shared" si="0"/>
        <v>100</v>
      </c>
      <c r="T14" s="663" t="s">
        <v>14</v>
      </c>
      <c r="U14" s="664">
        <f t="shared" si="1"/>
        <v>100</v>
      </c>
      <c r="V14" s="663" t="s">
        <v>14</v>
      </c>
      <c r="W14" s="664">
        <f t="shared" si="2"/>
        <v>100</v>
      </c>
      <c r="X14" s="665"/>
      <c r="Y14" s="3343"/>
      <c r="Z14" s="50">
        <f t="shared" si="7"/>
        <v>111</v>
      </c>
      <c r="AA14" s="50">
        <f t="shared" si="3"/>
        <v>1</v>
      </c>
      <c r="AB14" s="50">
        <f t="shared" si="4"/>
        <v>1</v>
      </c>
      <c r="AC14" s="50">
        <f t="shared" si="5"/>
        <v>1</v>
      </c>
    </row>
    <row r="15" spans="1:29" ht="71.25">
      <c r="A15" s="378" t="s">
        <v>1687</v>
      </c>
      <c r="B15" s="58" t="s">
        <v>1774</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06" t="s">
        <v>1688</v>
      </c>
      <c r="Q15" s="1262" t="str">
        <f t="shared" si="6"/>
        <v>商业繁华度</v>
      </c>
      <c r="R15" s="666" t="s">
        <v>14</v>
      </c>
      <c r="S15" s="667">
        <f t="shared" si="0"/>
        <v>100</v>
      </c>
      <c r="T15" s="666" t="s">
        <v>14</v>
      </c>
      <c r="U15" s="667">
        <f t="shared" si="1"/>
        <v>100</v>
      </c>
      <c r="V15" s="666" t="s">
        <v>14</v>
      </c>
      <c r="W15" s="667">
        <f t="shared" si="2"/>
        <v>100</v>
      </c>
      <c r="X15" s="1264"/>
      <c r="Y15" s="3408" t="s">
        <v>1688</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07"/>
      <c r="Q16" s="1262"/>
      <c r="R16" s="666"/>
      <c r="S16" s="667"/>
      <c r="T16" s="666"/>
      <c r="U16" s="667"/>
      <c r="V16" s="666"/>
      <c r="W16" s="667"/>
      <c r="X16" s="1264"/>
      <c r="Y16" s="3409"/>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07"/>
      <c r="Q17" s="1262" t="str">
        <f>B17</f>
        <v>交通便捷度</v>
      </c>
      <c r="R17" s="666" t="s">
        <v>14</v>
      </c>
      <c r="S17" s="667">
        <f>F17</f>
        <v>100</v>
      </c>
      <c r="T17" s="666" t="s">
        <v>14</v>
      </c>
      <c r="U17" s="667">
        <f>H17</f>
        <v>100</v>
      </c>
      <c r="V17" s="666" t="s">
        <v>14</v>
      </c>
      <c r="W17" s="667">
        <f>J17</f>
        <v>100</v>
      </c>
      <c r="X17" s="1264"/>
      <c r="Y17" s="340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07"/>
      <c r="Q18" s="1262"/>
      <c r="R18" s="666"/>
      <c r="S18" s="667"/>
      <c r="T18" s="666"/>
      <c r="U18" s="667"/>
      <c r="V18" s="666"/>
      <c r="W18" s="667"/>
      <c r="X18" s="1264"/>
      <c r="Y18" s="3409"/>
      <c r="Z18" s="1263"/>
      <c r="AA18" s="1263">
        <v>1</v>
      </c>
      <c r="AB18" s="1263">
        <v>1</v>
      </c>
      <c r="AC18" s="1263">
        <v>1</v>
      </c>
    </row>
    <row r="19" spans="1:29" ht="42.75">
      <c r="A19" s="366"/>
      <c r="B19" s="389" t="s">
        <v>1775</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07"/>
      <c r="Q19" s="1262" t="str">
        <f>B19</f>
        <v>公共配套设施</v>
      </c>
      <c r="R19" s="666" t="s">
        <v>14</v>
      </c>
      <c r="S19" s="667">
        <f>F19</f>
        <v>100</v>
      </c>
      <c r="T19" s="666" t="s">
        <v>14</v>
      </c>
      <c r="U19" s="667">
        <f>H19</f>
        <v>100</v>
      </c>
      <c r="V19" s="666" t="s">
        <v>14</v>
      </c>
      <c r="W19" s="667">
        <f>J19</f>
        <v>100</v>
      </c>
      <c r="X19" s="1264"/>
      <c r="Y19" s="340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07"/>
      <c r="Q20" s="1262"/>
      <c r="R20" s="666"/>
      <c r="S20" s="667"/>
      <c r="T20" s="666"/>
      <c r="U20" s="667"/>
      <c r="V20" s="666"/>
      <c r="W20" s="667"/>
      <c r="X20" s="1264"/>
      <c r="Y20" s="3409"/>
      <c r="Z20" s="1263"/>
      <c r="AA20" s="1263">
        <v>1</v>
      </c>
      <c r="AB20" s="1263">
        <v>1</v>
      </c>
      <c r="AC20" s="1263">
        <v>1</v>
      </c>
    </row>
    <row r="21" spans="1:29" ht="28.5">
      <c r="A21" s="366"/>
      <c r="B21" s="585" t="s">
        <v>1776</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07"/>
      <c r="Q21" s="1262" t="str">
        <f>B21</f>
        <v>基础设施水平</v>
      </c>
      <c r="R21" s="666" t="s">
        <v>14</v>
      </c>
      <c r="S21" s="667">
        <f>F21</f>
        <v>100</v>
      </c>
      <c r="T21" s="666" t="s">
        <v>14</v>
      </c>
      <c r="U21" s="667">
        <f>H21</f>
        <v>100</v>
      </c>
      <c r="V21" s="666" t="s">
        <v>14</v>
      </c>
      <c r="W21" s="667">
        <f>J21</f>
        <v>100</v>
      </c>
      <c r="X21" s="1264"/>
      <c r="Y21" s="340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07"/>
      <c r="Q22" s="1262"/>
      <c r="R22" s="666"/>
      <c r="S22" s="667"/>
      <c r="T22" s="666"/>
      <c r="U22" s="667"/>
      <c r="V22" s="666"/>
      <c r="W22" s="667"/>
      <c r="X22" s="1264"/>
      <c r="Y22" s="3409"/>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07"/>
      <c r="Q23" s="1262" t="str">
        <f>B23</f>
        <v>自然及人文环境</v>
      </c>
      <c r="R23" s="666" t="s">
        <v>14</v>
      </c>
      <c r="S23" s="667">
        <f>F23</f>
        <v>100</v>
      </c>
      <c r="T23" s="666" t="s">
        <v>14</v>
      </c>
      <c r="U23" s="667">
        <f>H23</f>
        <v>100</v>
      </c>
      <c r="V23" s="666" t="s">
        <v>14</v>
      </c>
      <c r="W23" s="667">
        <f>J23</f>
        <v>100</v>
      </c>
      <c r="X23" s="1264"/>
      <c r="Y23" s="3409"/>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07"/>
      <c r="Q24" s="1262"/>
      <c r="R24" s="666"/>
      <c r="S24" s="667"/>
      <c r="T24" s="666"/>
      <c r="U24" s="667"/>
      <c r="V24" s="666"/>
      <c r="W24" s="667"/>
      <c r="X24" s="1264"/>
      <c r="Y24" s="3409"/>
      <c r="Z24" s="1263"/>
      <c r="AA24" s="1263">
        <v>1</v>
      </c>
      <c r="AB24" s="1263">
        <v>1</v>
      </c>
      <c r="AC24" s="1263">
        <v>1</v>
      </c>
    </row>
    <row r="25" spans="1:29" ht="15">
      <c r="A25" s="366"/>
      <c r="B25" s="363" t="s">
        <v>1777</v>
      </c>
      <c r="C25" s="541" t="s">
        <v>3443</v>
      </c>
      <c r="D25" s="373">
        <v>100</v>
      </c>
      <c r="E25" s="541" t="s">
        <v>3443</v>
      </c>
      <c r="F25" s="399">
        <f>SUMIF(86:86,E25,87:87)-SUMIF(86:86,C25,87:87)+100</f>
        <v>100</v>
      </c>
      <c r="G25" s="541" t="s">
        <v>3445</v>
      </c>
      <c r="H25" s="373">
        <f>SUMIF(86:86,G25,87:87)-SUMIF(86:86,C25,87:87)+100</f>
        <v>98</v>
      </c>
      <c r="I25" s="541" t="s">
        <v>3443</v>
      </c>
      <c r="J25" s="373">
        <f>SUMIF(86:86,I25,87:87)-SUMIF(86:86,C25,87:87)+100</f>
        <v>100</v>
      </c>
      <c r="K25" s="537">
        <v>2</v>
      </c>
      <c r="L25" s="2489"/>
      <c r="M25" s="2484"/>
      <c r="N25" s="2484"/>
      <c r="O25" s="2484"/>
      <c r="P25" s="3407"/>
      <c r="Q25" s="1262" t="str">
        <f t="shared" ref="Q25:Q46" si="11">B25</f>
        <v>临街状况</v>
      </c>
      <c r="R25" s="666" t="s">
        <v>14</v>
      </c>
      <c r="S25" s="667">
        <f>F25</f>
        <v>100</v>
      </c>
      <c r="T25" s="666" t="s">
        <v>14</v>
      </c>
      <c r="U25" s="667">
        <f>H25</f>
        <v>98</v>
      </c>
      <c r="V25" s="666" t="s">
        <v>14</v>
      </c>
      <c r="W25" s="667">
        <f>J25</f>
        <v>100</v>
      </c>
      <c r="X25" s="1264"/>
      <c r="Y25" s="3409"/>
      <c r="Z25" s="1263" t="str">
        <f>Q25</f>
        <v>临街状况</v>
      </c>
      <c r="AA25" s="1263">
        <f t="shared" si="3"/>
        <v>1</v>
      </c>
      <c r="AB25" s="1263">
        <f t="shared" si="4"/>
        <v>1.0204081632653061</v>
      </c>
      <c r="AC25" s="1263">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07"/>
      <c r="Q26" s="1262" t="str">
        <f t="shared" si="11"/>
        <v>平面位置/可视性</v>
      </c>
      <c r="R26" s="666" t="s">
        <v>14</v>
      </c>
      <c r="S26" s="667">
        <f>F26</f>
        <v>100</v>
      </c>
      <c r="T26" s="666" t="s">
        <v>14</v>
      </c>
      <c r="U26" s="667">
        <f>H26</f>
        <v>100</v>
      </c>
      <c r="V26" s="666" t="s">
        <v>14</v>
      </c>
      <c r="W26" s="667">
        <f>J26</f>
        <v>100</v>
      </c>
      <c r="X26" s="1264"/>
      <c r="Y26" s="3409"/>
      <c r="Z26" s="1263" t="str">
        <f>Q26</f>
        <v>平面位置/可视性</v>
      </c>
      <c r="AA26" s="1263">
        <f t="shared" si="3"/>
        <v>1</v>
      </c>
      <c r="AB26" s="1263">
        <f t="shared" si="4"/>
        <v>1</v>
      </c>
      <c r="AC26" s="1263">
        <f t="shared" si="5"/>
        <v>1</v>
      </c>
    </row>
    <row r="27" spans="1:29" s="101" customFormat="1" ht="15">
      <c r="A27" s="369"/>
      <c r="B27" s="389" t="s">
        <v>1779</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07"/>
      <c r="Q27" s="529" t="str">
        <f t="shared" si="11"/>
        <v>人流量</v>
      </c>
      <c r="R27" s="663" t="s">
        <v>14</v>
      </c>
      <c r="S27" s="664">
        <f>F27</f>
        <v>100</v>
      </c>
      <c r="T27" s="663" t="s">
        <v>14</v>
      </c>
      <c r="U27" s="664">
        <f>H27</f>
        <v>100</v>
      </c>
      <c r="V27" s="663" t="s">
        <v>14</v>
      </c>
      <c r="W27" s="664">
        <f>J27</f>
        <v>100</v>
      </c>
      <c r="X27" s="665"/>
      <c r="Y27" s="3409"/>
      <c r="Z27" s="50" t="str">
        <f>Q27</f>
        <v>人流量</v>
      </c>
      <c r="AA27" s="1263">
        <f>D27/F27</f>
        <v>1</v>
      </c>
      <c r="AB27" s="1263">
        <f>D27/H27</f>
        <v>1</v>
      </c>
      <c r="AC27" s="1263">
        <f>D27/J27</f>
        <v>1</v>
      </c>
    </row>
    <row r="28" spans="1:29" ht="15">
      <c r="A28" s="366"/>
      <c r="B28" s="363" t="s">
        <v>1780</v>
      </c>
      <c r="C28" s="541" t="s">
        <v>3436</v>
      </c>
      <c r="D28" s="373">
        <v>100</v>
      </c>
      <c r="E28" s="541" t="s">
        <v>3447</v>
      </c>
      <c r="F28" s="399">
        <f>SUMIF(92:92,E28,93:93)-SUMIF(92:92,C28,93:93)+100</f>
        <v>87</v>
      </c>
      <c r="G28" s="541" t="s">
        <v>3438</v>
      </c>
      <c r="H28" s="373">
        <f>SUMIF(92:92,G28,93:93)-SUMIF(92:92,C28,93:93)+100</f>
        <v>85</v>
      </c>
      <c r="I28" s="541" t="s">
        <v>3424</v>
      </c>
      <c r="J28" s="373">
        <f>SUMIF(92:92,I28,93:93)-SUMIF(92:92,C28,93:93)+100</f>
        <v>115</v>
      </c>
      <c r="K28" s="538"/>
      <c r="L28" s="2489"/>
      <c r="M28" s="2484"/>
      <c r="N28" s="2484"/>
      <c r="O28" s="2484"/>
      <c r="P28" s="3407"/>
      <c r="Q28" s="1262" t="str">
        <f t="shared" si="11"/>
        <v>楼层</v>
      </c>
      <c r="R28" s="666" t="s">
        <v>14</v>
      </c>
      <c r="S28" s="667">
        <f t="shared" ref="S28:S46" si="12">F28</f>
        <v>87</v>
      </c>
      <c r="T28" s="666" t="s">
        <v>14</v>
      </c>
      <c r="U28" s="667">
        <f t="shared" ref="U28:U46" si="13">H28</f>
        <v>85</v>
      </c>
      <c r="V28" s="666" t="s">
        <v>14</v>
      </c>
      <c r="W28" s="667">
        <f t="shared" ref="W28:W46" si="14">J28</f>
        <v>115</v>
      </c>
      <c r="X28" s="1264"/>
      <c r="Y28" s="3409"/>
      <c r="Z28" s="1263" t="str">
        <f t="shared" ref="Z28:Z46" si="15">Q28</f>
        <v>楼层</v>
      </c>
      <c r="AA28" s="1263">
        <f t="shared" si="3"/>
        <v>1.1494252873563218</v>
      </c>
      <c r="AB28" s="1263">
        <f t="shared" si="4"/>
        <v>1.1764705882352942</v>
      </c>
      <c r="AC28" s="1263">
        <f t="shared" si="5"/>
        <v>0.86956521739130432</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07"/>
      <c r="Q29" s="1262">
        <f t="shared" si="11"/>
        <v>111</v>
      </c>
      <c r="R29" s="666" t="s">
        <v>14</v>
      </c>
      <c r="S29" s="667">
        <f t="shared" si="12"/>
        <v>100</v>
      </c>
      <c r="T29" s="666" t="s">
        <v>14</v>
      </c>
      <c r="U29" s="667">
        <f t="shared" si="13"/>
        <v>100</v>
      </c>
      <c r="V29" s="666" t="s">
        <v>14</v>
      </c>
      <c r="W29" s="667">
        <f t="shared" si="14"/>
        <v>100</v>
      </c>
      <c r="X29" s="1264"/>
      <c r="Y29" s="340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07"/>
      <c r="Q30" s="1262">
        <f t="shared" si="11"/>
        <v>111</v>
      </c>
      <c r="R30" s="666" t="s">
        <v>14</v>
      </c>
      <c r="S30" s="667">
        <f t="shared" si="12"/>
        <v>100</v>
      </c>
      <c r="T30" s="666" t="s">
        <v>14</v>
      </c>
      <c r="U30" s="667">
        <f t="shared" si="13"/>
        <v>100</v>
      </c>
      <c r="V30" s="666" t="s">
        <v>14</v>
      </c>
      <c r="W30" s="667">
        <f t="shared" si="14"/>
        <v>100</v>
      </c>
      <c r="X30" s="1264"/>
      <c r="Y30" s="3409"/>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07"/>
      <c r="Q31" s="1262">
        <f t="shared" si="11"/>
        <v>111</v>
      </c>
      <c r="R31" s="666" t="s">
        <v>14</v>
      </c>
      <c r="S31" s="667">
        <f t="shared" si="12"/>
        <v>100</v>
      </c>
      <c r="T31" s="666" t="s">
        <v>14</v>
      </c>
      <c r="U31" s="667">
        <f t="shared" si="13"/>
        <v>100</v>
      </c>
      <c r="V31" s="666" t="s">
        <v>14</v>
      </c>
      <c r="W31" s="667">
        <f t="shared" si="14"/>
        <v>100</v>
      </c>
      <c r="X31" s="1264"/>
      <c r="Y31" s="3409"/>
      <c r="Z31" s="1263">
        <f t="shared" si="15"/>
        <v>111</v>
      </c>
      <c r="AA31" s="1263">
        <f t="shared" si="3"/>
        <v>1</v>
      </c>
      <c r="AB31" s="1263">
        <f t="shared" si="4"/>
        <v>1</v>
      </c>
      <c r="AC31" s="1263">
        <f t="shared" si="5"/>
        <v>1</v>
      </c>
    </row>
    <row r="32" spans="1:29" ht="15">
      <c r="A32" s="378" t="s">
        <v>1691</v>
      </c>
      <c r="B32" s="60" t="s">
        <v>1781</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10" t="s">
        <v>1693</v>
      </c>
      <c r="Q32" s="1262" t="str">
        <f t="shared" si="11"/>
        <v>商业类型</v>
      </c>
      <c r="R32" s="666" t="s">
        <v>14</v>
      </c>
      <c r="S32" s="667">
        <f t="shared" si="12"/>
        <v>100</v>
      </c>
      <c r="T32" s="666" t="s">
        <v>14</v>
      </c>
      <c r="U32" s="667">
        <f t="shared" si="13"/>
        <v>100</v>
      </c>
      <c r="V32" s="666" t="s">
        <v>14</v>
      </c>
      <c r="W32" s="667">
        <f t="shared" si="14"/>
        <v>100</v>
      </c>
      <c r="X32" s="1264"/>
      <c r="Y32" s="3413" t="s">
        <v>1693</v>
      </c>
      <c r="Z32" s="1263" t="str">
        <f t="shared" si="15"/>
        <v>商业类型</v>
      </c>
      <c r="AA32" s="1263">
        <f t="shared" si="3"/>
        <v>1</v>
      </c>
      <c r="AB32" s="1263">
        <f t="shared" si="4"/>
        <v>1</v>
      </c>
      <c r="AC32" s="1263">
        <f t="shared" si="5"/>
        <v>1</v>
      </c>
    </row>
    <row r="33" spans="1:29" s="407" customFormat="1" ht="15">
      <c r="A33" s="405"/>
      <c r="B33" s="363" t="s">
        <v>1694</v>
      </c>
      <c r="C33" s="406">
        <f>'数据-汇总表'!E3</f>
        <v>7170.4100000000008</v>
      </c>
      <c r="D33" s="118">
        <v>100</v>
      </c>
      <c r="E33" s="368">
        <v>589.98</v>
      </c>
      <c r="F33" s="363">
        <f>LOOKUP(E33,103:103,104:104)-LOOKUP(C33,103:103,104:104)+100</f>
        <v>101</v>
      </c>
      <c r="G33" s="367">
        <v>67.959999999999994</v>
      </c>
      <c r="H33" s="118">
        <f>LOOKUP(G33,103:103,104:104)-LOOKUP(C33,103:103,104:104)+100</f>
        <v>106</v>
      </c>
      <c r="I33" s="367">
        <v>81.36</v>
      </c>
      <c r="J33" s="118">
        <f>LOOKUP(I33,103:103,104:104)-LOOKUP(C33,103:103,104:104)+100</f>
        <v>106</v>
      </c>
      <c r="K33" s="538"/>
      <c r="L33" s="2488"/>
      <c r="M33" s="2490"/>
      <c r="N33" s="2490"/>
      <c r="O33" s="2490"/>
      <c r="P33" s="3411"/>
      <c r="Q33" s="530" t="str">
        <f t="shared" si="11"/>
        <v>项目建筑规模</v>
      </c>
      <c r="R33" s="668" t="s">
        <v>14</v>
      </c>
      <c r="S33" s="669">
        <f t="shared" si="12"/>
        <v>101</v>
      </c>
      <c r="T33" s="668" t="s">
        <v>14</v>
      </c>
      <c r="U33" s="669">
        <f t="shared" si="13"/>
        <v>106</v>
      </c>
      <c r="V33" s="668" t="s">
        <v>14</v>
      </c>
      <c r="W33" s="669">
        <f t="shared" si="14"/>
        <v>106</v>
      </c>
      <c r="X33" s="670"/>
      <c r="Y33" s="3413"/>
      <c r="Z33" s="671" t="str">
        <f t="shared" si="15"/>
        <v>项目建筑规模</v>
      </c>
      <c r="AA33" s="1263">
        <f t="shared" si="3"/>
        <v>0.99009900990099009</v>
      </c>
      <c r="AB33" s="1263">
        <f t="shared" si="4"/>
        <v>0.94339622641509435</v>
      </c>
      <c r="AC33" s="1263">
        <f t="shared" si="5"/>
        <v>0.94339622641509435</v>
      </c>
    </row>
    <row r="34" spans="1:29" ht="15">
      <c r="A34" s="408"/>
      <c r="B34" s="363" t="s">
        <v>1695</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11"/>
      <c r="Q34" s="1262" t="str">
        <f t="shared" si="11"/>
        <v>建筑结构</v>
      </c>
      <c r="R34" s="666" t="s">
        <v>14</v>
      </c>
      <c r="S34" s="667">
        <f t="shared" si="12"/>
        <v>100</v>
      </c>
      <c r="T34" s="666" t="s">
        <v>14</v>
      </c>
      <c r="U34" s="667">
        <f t="shared" si="13"/>
        <v>100</v>
      </c>
      <c r="V34" s="666" t="s">
        <v>14</v>
      </c>
      <c r="W34" s="667">
        <f t="shared" si="14"/>
        <v>100</v>
      </c>
      <c r="X34" s="1264"/>
      <c r="Y34" s="3413"/>
      <c r="Z34" s="1263" t="str">
        <f t="shared" si="15"/>
        <v>建筑结构</v>
      </c>
      <c r="AA34" s="1263">
        <f t="shared" si="3"/>
        <v>1</v>
      </c>
      <c r="AB34" s="1263">
        <f t="shared" si="4"/>
        <v>1</v>
      </c>
      <c r="AC34" s="1263">
        <f t="shared" si="5"/>
        <v>1</v>
      </c>
    </row>
    <row r="35" spans="1:29" ht="15">
      <c r="A35" s="408"/>
      <c r="B35" s="363" t="s">
        <v>1782</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11"/>
      <c r="Q35" s="1262" t="str">
        <f t="shared" si="11"/>
        <v>公共部分装修</v>
      </c>
      <c r="R35" s="666" t="s">
        <v>14</v>
      </c>
      <c r="S35" s="667">
        <f t="shared" si="12"/>
        <v>100</v>
      </c>
      <c r="T35" s="666" t="s">
        <v>14</v>
      </c>
      <c r="U35" s="667">
        <f t="shared" si="13"/>
        <v>100</v>
      </c>
      <c r="V35" s="666" t="s">
        <v>14</v>
      </c>
      <c r="W35" s="667">
        <f t="shared" si="14"/>
        <v>100</v>
      </c>
      <c r="X35" s="1264"/>
      <c r="Y35" s="3413"/>
      <c r="Z35" s="1263" t="str">
        <f t="shared" si="15"/>
        <v>公共部分装修</v>
      </c>
      <c r="AA35" s="1263">
        <f t="shared" si="3"/>
        <v>1</v>
      </c>
      <c r="AB35" s="1263">
        <f t="shared" si="4"/>
        <v>1</v>
      </c>
      <c r="AC35" s="1263">
        <f t="shared" si="5"/>
        <v>1</v>
      </c>
    </row>
    <row r="36" spans="1:29" ht="15">
      <c r="A36" s="408"/>
      <c r="B36" s="363" t="s">
        <v>1783</v>
      </c>
      <c r="C36" s="410">
        <f>'数据-取费表'!N6</f>
        <v>0.76</v>
      </c>
      <c r="D36" s="373">
        <v>100</v>
      </c>
      <c r="E36" s="410">
        <v>0.8</v>
      </c>
      <c r="F36" s="399">
        <f>LOOKUP(E36,110:110,111:111)-LOOKUP(C36,110:110,111:111)+100</f>
        <v>101</v>
      </c>
      <c r="G36" s="410">
        <v>0.8</v>
      </c>
      <c r="H36" s="399">
        <f>LOOKUP(G36,110:110,111:111)-LOOKUP(C36,110:110,111:111)+100</f>
        <v>101</v>
      </c>
      <c r="I36" s="410">
        <v>0.8</v>
      </c>
      <c r="J36" s="373">
        <f>LOOKUP(I36,110:110,111:111)-LOOKUP(C36,110:110,111:111)+100</f>
        <v>101</v>
      </c>
      <c r="K36" s="537">
        <v>1</v>
      </c>
      <c r="L36" s="2489"/>
      <c r="M36" s="2484"/>
      <c r="N36" s="2484"/>
      <c r="O36" s="2484"/>
      <c r="P36" s="3411"/>
      <c r="Q36" s="1262" t="str">
        <f t="shared" si="11"/>
        <v>成新度</v>
      </c>
      <c r="R36" s="666" t="s">
        <v>14</v>
      </c>
      <c r="S36" s="667">
        <f t="shared" si="12"/>
        <v>101</v>
      </c>
      <c r="T36" s="666" t="s">
        <v>14</v>
      </c>
      <c r="U36" s="667">
        <f t="shared" si="13"/>
        <v>101</v>
      </c>
      <c r="V36" s="666" t="s">
        <v>14</v>
      </c>
      <c r="W36" s="667">
        <f t="shared" si="14"/>
        <v>101</v>
      </c>
      <c r="X36" s="1264"/>
      <c r="Y36" s="3413"/>
      <c r="Z36" s="1263" t="str">
        <f t="shared" si="15"/>
        <v>成新度</v>
      </c>
      <c r="AA36" s="1263">
        <f t="shared" si="3"/>
        <v>0.99009900990099009</v>
      </c>
      <c r="AB36" s="1263">
        <f t="shared" si="4"/>
        <v>0.99009900990099009</v>
      </c>
      <c r="AC36" s="1263">
        <f t="shared" si="5"/>
        <v>0.99009900990099009</v>
      </c>
    </row>
    <row r="37" spans="1:29" s="101" customFormat="1" ht="15">
      <c r="A37" s="409"/>
      <c r="B37" s="363" t="s">
        <v>1784</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11"/>
      <c r="Q37" s="529" t="str">
        <f t="shared" si="11"/>
        <v>市政基础设施</v>
      </c>
      <c r="R37" s="663" t="s">
        <v>14</v>
      </c>
      <c r="S37" s="664">
        <f t="shared" si="12"/>
        <v>100</v>
      </c>
      <c r="T37" s="663" t="s">
        <v>14</v>
      </c>
      <c r="U37" s="664">
        <f t="shared" si="13"/>
        <v>100</v>
      </c>
      <c r="V37" s="663" t="s">
        <v>14</v>
      </c>
      <c r="W37" s="664">
        <f t="shared" si="14"/>
        <v>100</v>
      </c>
      <c r="X37" s="665"/>
      <c r="Y37" s="3413"/>
      <c r="Z37" s="50" t="str">
        <f t="shared" si="15"/>
        <v>市政基础设施</v>
      </c>
      <c r="AA37" s="50">
        <f t="shared" si="3"/>
        <v>1</v>
      </c>
      <c r="AB37" s="50">
        <f t="shared" si="4"/>
        <v>1</v>
      </c>
      <c r="AC37" s="50">
        <f t="shared" si="5"/>
        <v>1</v>
      </c>
    </row>
    <row r="38" spans="1:29" ht="15">
      <c r="A38" s="408"/>
      <c r="B38" s="363" t="s">
        <v>1785</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11" t="s">
        <v>1693</v>
      </c>
      <c r="Q38" s="1262" t="str">
        <f t="shared" si="11"/>
        <v>业态</v>
      </c>
      <c r="R38" s="666" t="s">
        <v>14</v>
      </c>
      <c r="S38" s="667">
        <f t="shared" si="12"/>
        <v>100</v>
      </c>
      <c r="T38" s="666" t="s">
        <v>14</v>
      </c>
      <c r="U38" s="667">
        <f t="shared" si="13"/>
        <v>100</v>
      </c>
      <c r="V38" s="666" t="s">
        <v>14</v>
      </c>
      <c r="W38" s="667">
        <f t="shared" si="14"/>
        <v>100</v>
      </c>
      <c r="X38" s="1264"/>
      <c r="Y38" s="3413" t="s">
        <v>1693</v>
      </c>
      <c r="Z38" s="1263" t="str">
        <f t="shared" si="15"/>
        <v>业态</v>
      </c>
      <c r="AA38" s="1263">
        <f t="shared" si="3"/>
        <v>1</v>
      </c>
      <c r="AB38" s="1263">
        <f t="shared" si="4"/>
        <v>1</v>
      </c>
      <c r="AC38" s="1263">
        <f t="shared" si="5"/>
        <v>1</v>
      </c>
    </row>
    <row r="39" spans="1:29" ht="15">
      <c r="A39" s="408"/>
      <c r="B39" s="363" t="s">
        <v>1786</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11"/>
      <c r="Q39" s="1262" t="str">
        <f t="shared" si="11"/>
        <v>层高</v>
      </c>
      <c r="R39" s="666" t="s">
        <v>14</v>
      </c>
      <c r="S39" s="667">
        <f t="shared" si="12"/>
        <v>100</v>
      </c>
      <c r="T39" s="666" t="s">
        <v>14</v>
      </c>
      <c r="U39" s="667">
        <f t="shared" si="13"/>
        <v>100</v>
      </c>
      <c r="V39" s="666" t="s">
        <v>14</v>
      </c>
      <c r="W39" s="667">
        <f t="shared" si="14"/>
        <v>100</v>
      </c>
      <c r="X39" s="1264"/>
      <c r="Y39" s="3413"/>
      <c r="Z39" s="1263" t="str">
        <f t="shared" si="15"/>
        <v>层高</v>
      </c>
      <c r="AA39" s="1263">
        <f t="shared" si="3"/>
        <v>1</v>
      </c>
      <c r="AB39" s="1263">
        <f t="shared" si="4"/>
        <v>1</v>
      </c>
      <c r="AC39" s="1263">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11"/>
      <c r="Q40" s="1262" t="str">
        <f t="shared" si="11"/>
        <v>单套建筑面积</v>
      </c>
      <c r="R40" s="666" t="s">
        <v>14</v>
      </c>
      <c r="S40" s="667">
        <f t="shared" si="12"/>
        <v>100</v>
      </c>
      <c r="T40" s="666" t="s">
        <v>14</v>
      </c>
      <c r="U40" s="667">
        <f t="shared" si="13"/>
        <v>100</v>
      </c>
      <c r="V40" s="666" t="s">
        <v>14</v>
      </c>
      <c r="W40" s="667">
        <f t="shared" si="14"/>
        <v>100</v>
      </c>
      <c r="X40" s="1264"/>
      <c r="Y40" s="3413"/>
      <c r="Z40" s="1263" t="str">
        <f t="shared" si="15"/>
        <v>单套建筑面积</v>
      </c>
      <c r="AA40" s="1263">
        <f t="shared" si="3"/>
        <v>1</v>
      </c>
      <c r="AB40" s="1263">
        <f t="shared" si="4"/>
        <v>1</v>
      </c>
      <c r="AC40" s="1263">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11"/>
      <c r="Q41" s="530" t="str">
        <f t="shared" si="11"/>
        <v>进深比</v>
      </c>
      <c r="R41" s="668" t="s">
        <v>14</v>
      </c>
      <c r="S41" s="669">
        <f t="shared" si="12"/>
        <v>100</v>
      </c>
      <c r="T41" s="668" t="s">
        <v>14</v>
      </c>
      <c r="U41" s="669">
        <f t="shared" si="13"/>
        <v>100</v>
      </c>
      <c r="V41" s="668" t="s">
        <v>14</v>
      </c>
      <c r="W41" s="669">
        <f t="shared" si="14"/>
        <v>100</v>
      </c>
      <c r="X41" s="670"/>
      <c r="Y41" s="3413"/>
      <c r="Z41" s="671" t="str">
        <f t="shared" si="15"/>
        <v>进深比</v>
      </c>
      <c r="AA41" s="1263">
        <f t="shared" si="3"/>
        <v>1</v>
      </c>
      <c r="AB41" s="1263">
        <f t="shared" si="4"/>
        <v>1</v>
      </c>
      <c r="AC41" s="1263">
        <f t="shared" si="5"/>
        <v>1</v>
      </c>
    </row>
    <row r="42" spans="1:29" ht="15">
      <c r="A42" s="408"/>
      <c r="B42" s="363" t="s">
        <v>1789</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11"/>
      <c r="Q42" s="1262" t="str">
        <f t="shared" si="11"/>
        <v>内部装修</v>
      </c>
      <c r="R42" s="666" t="s">
        <v>14</v>
      </c>
      <c r="S42" s="667">
        <f t="shared" si="12"/>
        <v>100</v>
      </c>
      <c r="T42" s="666" t="s">
        <v>14</v>
      </c>
      <c r="U42" s="667">
        <f t="shared" si="13"/>
        <v>100</v>
      </c>
      <c r="V42" s="666" t="s">
        <v>14</v>
      </c>
      <c r="W42" s="667">
        <f t="shared" si="14"/>
        <v>100</v>
      </c>
      <c r="X42" s="1264"/>
      <c r="Y42" s="3413"/>
      <c r="Z42" s="1263" t="str">
        <f t="shared" si="15"/>
        <v>内部装修</v>
      </c>
      <c r="AA42" s="1263">
        <f t="shared" si="3"/>
        <v>1</v>
      </c>
      <c r="AB42" s="1263">
        <f t="shared" si="4"/>
        <v>1</v>
      </c>
      <c r="AC42" s="1263">
        <f t="shared" si="5"/>
        <v>1</v>
      </c>
    </row>
    <row r="43" spans="1:29" ht="15">
      <c r="A43" s="408"/>
      <c r="B43" s="363" t="s">
        <v>1704</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11"/>
      <c r="Q43" s="1262" t="str">
        <f t="shared" si="11"/>
        <v>内部装修维护情况</v>
      </c>
      <c r="R43" s="666" t="s">
        <v>14</v>
      </c>
      <c r="S43" s="667">
        <f t="shared" si="12"/>
        <v>100</v>
      </c>
      <c r="T43" s="666" t="s">
        <v>14</v>
      </c>
      <c r="U43" s="667">
        <f t="shared" si="13"/>
        <v>100</v>
      </c>
      <c r="V43" s="666" t="s">
        <v>14</v>
      </c>
      <c r="W43" s="667">
        <f t="shared" si="14"/>
        <v>100</v>
      </c>
      <c r="X43" s="1264"/>
      <c r="Y43" s="3413"/>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11"/>
      <c r="Q44" s="529">
        <f t="shared" si="11"/>
        <v>111</v>
      </c>
      <c r="R44" s="663" t="s">
        <v>14</v>
      </c>
      <c r="S44" s="664">
        <f t="shared" si="12"/>
        <v>100</v>
      </c>
      <c r="T44" s="663" t="s">
        <v>14</v>
      </c>
      <c r="U44" s="664">
        <f t="shared" si="13"/>
        <v>100</v>
      </c>
      <c r="V44" s="663" t="s">
        <v>14</v>
      </c>
      <c r="W44" s="664">
        <f t="shared" si="14"/>
        <v>100</v>
      </c>
      <c r="X44" s="665"/>
      <c r="Y44" s="3413"/>
      <c r="Z44" s="50">
        <f t="shared" si="15"/>
        <v>111</v>
      </c>
      <c r="AA44" s="50">
        <f t="shared" si="3"/>
        <v>1</v>
      </c>
      <c r="AB44" s="50">
        <f t="shared" si="4"/>
        <v>1</v>
      </c>
      <c r="AC44" s="50">
        <f t="shared" si="5"/>
        <v>1</v>
      </c>
    </row>
    <row r="45" spans="1:29" ht="15">
      <c r="A45" s="408"/>
      <c r="B45" s="3159" t="s">
        <v>3425</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11"/>
      <c r="Q45" s="1262" t="str">
        <f t="shared" si="11"/>
        <v>建成年代</v>
      </c>
      <c r="R45" s="666" t="s">
        <v>14</v>
      </c>
      <c r="S45" s="667">
        <f t="shared" si="12"/>
        <v>100</v>
      </c>
      <c r="T45" s="666" t="s">
        <v>14</v>
      </c>
      <c r="U45" s="667">
        <f t="shared" si="13"/>
        <v>100</v>
      </c>
      <c r="V45" s="666" t="s">
        <v>14</v>
      </c>
      <c r="W45" s="667">
        <f t="shared" si="14"/>
        <v>100</v>
      </c>
      <c r="X45" s="1264"/>
      <c r="Y45" s="3413"/>
      <c r="Z45" s="1263" t="str">
        <f t="shared" si="15"/>
        <v>建成年代</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12"/>
      <c r="Q46" s="1262">
        <f t="shared" si="11"/>
        <v>111</v>
      </c>
      <c r="R46" s="666" t="s">
        <v>14</v>
      </c>
      <c r="S46" s="667">
        <f t="shared" si="12"/>
        <v>100</v>
      </c>
      <c r="T46" s="666" t="s">
        <v>14</v>
      </c>
      <c r="U46" s="667">
        <f t="shared" si="13"/>
        <v>100</v>
      </c>
      <c r="V46" s="666" t="s">
        <v>14</v>
      </c>
      <c r="W46" s="667">
        <f t="shared" si="14"/>
        <v>100</v>
      </c>
      <c r="X46" s="1264"/>
      <c r="Y46" s="3414"/>
      <c r="Z46" s="1263">
        <f t="shared" si="15"/>
        <v>111</v>
      </c>
      <c r="AA46" s="1263">
        <f t="shared" si="3"/>
        <v>1</v>
      </c>
      <c r="AB46" s="1263">
        <f t="shared" si="4"/>
        <v>1</v>
      </c>
      <c r="AC46" s="1263">
        <f t="shared" si="5"/>
        <v>1</v>
      </c>
    </row>
    <row r="47" spans="1:29" ht="15">
      <c r="A47" s="415" t="s">
        <v>1705</v>
      </c>
      <c r="B47" s="416"/>
      <c r="C47" s="1080" t="s">
        <v>0</v>
      </c>
      <c r="D47" s="417"/>
      <c r="E47" s="418">
        <v>30000</v>
      </c>
      <c r="F47" s="419"/>
      <c r="G47" s="420">
        <v>36000</v>
      </c>
      <c r="H47" s="421"/>
      <c r="I47" s="418">
        <v>30000</v>
      </c>
      <c r="J47" s="421"/>
      <c r="K47" s="673"/>
      <c r="L47" s="2491"/>
      <c r="M47" s="2484"/>
      <c r="N47" s="2484"/>
      <c r="O47" s="2484"/>
      <c r="P47" s="3415" t="str">
        <f>A47</f>
        <v>成交单价（元/平方米）</v>
      </c>
      <c r="Q47" s="3415"/>
      <c r="R47" s="3377">
        <f>E47</f>
        <v>30000</v>
      </c>
      <c r="S47" s="3377"/>
      <c r="T47" s="3377">
        <f>G47</f>
        <v>36000</v>
      </c>
      <c r="U47" s="3377"/>
      <c r="V47" s="3377">
        <f>I47</f>
        <v>30000</v>
      </c>
      <c r="W47" s="3377"/>
      <c r="X47" s="384"/>
      <c r="Y47" s="672"/>
      <c r="Z47" s="384"/>
      <c r="AA47" s="384"/>
      <c r="AB47" s="384"/>
      <c r="AC47" s="384"/>
    </row>
    <row r="48" spans="1:29" ht="15.75" thickBot="1">
      <c r="A48" s="422" t="s">
        <v>1790</v>
      </c>
      <c r="B48" s="423"/>
      <c r="C48" s="1081">
        <f>R49</f>
        <v>31282</v>
      </c>
      <c r="D48" s="2140" t="s">
        <v>2135</v>
      </c>
      <c r="E48" s="1082">
        <f>R48</f>
        <v>32194</v>
      </c>
      <c r="F48" s="2141"/>
      <c r="G48" s="1081">
        <f>T48</f>
        <v>38445</v>
      </c>
      <c r="H48" s="2141"/>
      <c r="I48" s="1082">
        <f>V48</f>
        <v>23206</v>
      </c>
      <c r="J48" s="2141"/>
      <c r="K48" s="2143">
        <f>F48+H48+J48</f>
        <v>0</v>
      </c>
      <c r="L48" s="2491"/>
      <c r="M48" s="2484"/>
      <c r="N48" s="2484"/>
      <c r="O48" s="2484"/>
      <c r="P48" s="3415" t="str">
        <f>A48</f>
        <v>比较价值（元/平方米）</v>
      </c>
      <c r="Q48" s="3415"/>
      <c r="R48" s="3377">
        <f>IF(F1="售价",ROUND(PRODUCT(R47,AA7:AA46),0),ROUND(PRODUCT(R47,AA7:AA46),1))</f>
        <v>32194</v>
      </c>
      <c r="S48" s="3377"/>
      <c r="T48" s="3377">
        <f>IF(F1="售价",ROUND(PRODUCT(T47,AB7:AB46),0),ROUND(PRODUCT(T47,AB7:AB46),1))</f>
        <v>38445</v>
      </c>
      <c r="U48" s="3377"/>
      <c r="V48" s="3377">
        <f>IF(F1="售价",ROUND(PRODUCT(V47,AC7:AC46),0),ROUND(PRODUCT(V47,AC7:AC46),1))</f>
        <v>23206</v>
      </c>
      <c r="W48" s="3377"/>
      <c r="X48" s="384"/>
      <c r="Y48" s="384"/>
      <c r="Z48" s="384"/>
      <c r="AA48" s="384"/>
      <c r="AB48" s="384"/>
      <c r="AC48" s="384"/>
    </row>
    <row r="49" spans="1:29" ht="15.75" thickBot="1">
      <c r="A49" s="426" t="s">
        <v>1791</v>
      </c>
      <c r="B49" s="427"/>
      <c r="C49" s="350">
        <f>R49</f>
        <v>31282</v>
      </c>
      <c r="D49" s="350"/>
      <c r="E49" s="350"/>
      <c r="F49" s="350"/>
      <c r="G49" s="350"/>
      <c r="H49" s="350"/>
      <c r="I49" s="350"/>
      <c r="J49" s="350"/>
      <c r="K49" s="674"/>
      <c r="L49" s="2491"/>
      <c r="M49" s="2484"/>
      <c r="N49" s="2484"/>
      <c r="O49" s="2484"/>
      <c r="P49" s="3416" t="str">
        <f>A49</f>
        <v>估价对象XX用房的比较价值（楼面单价，元/平方米）</v>
      </c>
      <c r="Q49" s="3417"/>
      <c r="R49" s="3418">
        <f>IF(F1="售价",ROUND(IF(D48="简单平均",AVERAGE(R48:V48),R48*F48+T48*H48+V48*J48),0),ROUND(IF(D48="简单平均",AVERAGE(R48:V48),R48*F48+T48*H48+V48*J48),1))</f>
        <v>31282</v>
      </c>
      <c r="S49" s="3418"/>
      <c r="T49" s="3418"/>
      <c r="U49" s="3418"/>
      <c r="V49" s="3418"/>
      <c r="W49" s="341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1792</v>
      </c>
      <c r="D52" s="432"/>
      <c r="E52" s="433">
        <f>IF(E47&lt;E48,E48/E47-1,E47/E48-1)</f>
        <v>7.3133333333333272E-2</v>
      </c>
      <c r="F52" s="434" t="str">
        <f>IF(OR(E52&gt;=0.3,E52&lt;=-0.3),"超过30%","")</f>
        <v/>
      </c>
      <c r="G52" s="433">
        <f>IF(G47&lt;G48,G48/G47-1,G47/G48-1)</f>
        <v>6.7916666666666625E-2</v>
      </c>
      <c r="H52" s="434" t="str">
        <f>IF(OR(G52&gt;=0.3,G52&lt;=-0.3),"超过30%","")</f>
        <v/>
      </c>
      <c r="I52" s="433">
        <f>IF(I47&lt;I48,I48/I47-1,I47/I48-1)</f>
        <v>0.29276911143669748</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1793</v>
      </c>
      <c r="D53" s="435"/>
      <c r="E53" s="433">
        <f>IF(E48&lt;G48,G48/E48-1,E48/G48-1)</f>
        <v>0.1941666148971859</v>
      </c>
      <c r="F53" s="434" t="str">
        <f>IF(OR(E53&gt;=0.2,E53&lt;=-0.2),"超过20%","")</f>
        <v/>
      </c>
      <c r="G53" s="433">
        <f>IF(G48&lt;I48,I48/G48-1,G48/I48-1)</f>
        <v>0.65668361630612782</v>
      </c>
      <c r="H53" s="434" t="str">
        <f>IF(OR(G53&gt;=0.2,G53&lt;=-0.2),"超过20%","")</f>
        <v>超过20%</v>
      </c>
      <c r="I53" s="433">
        <f>IF(I48&lt;E48,E48/I48-1,I48/E48-1)</f>
        <v>0.38731362578643447</v>
      </c>
      <c r="J53" s="434" t="str">
        <f>IF(OR(I53&gt;=0.2,I53&lt;=-0.2),"超过20%","")</f>
        <v>超过20%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1794</v>
      </c>
      <c r="D54" s="435"/>
      <c r="E54" s="433">
        <f>IF(E47&lt;G47,G47/E47-1,E47/G47-1)</f>
        <v>0.19999999999999996</v>
      </c>
      <c r="F54" s="434" t="str">
        <f>IF(OR(E54&gt;=0.3,E54&lt;=-0.3),"超过30%","")</f>
        <v/>
      </c>
      <c r="G54" s="433">
        <f>IF(G47&lt;I47,I47/G47-1,G47/I47-1)</f>
        <v>0.19999999999999996</v>
      </c>
      <c r="H54" s="434" t="str">
        <f>IF(OR(G54&gt;=0.3,G54&lt;=-0.3),"超过30%","")</f>
        <v/>
      </c>
      <c r="I54" s="433">
        <f>IF(I47&lt;E47,E47/I47-1,I47/E47-1)</f>
        <v>0</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1795</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1676</v>
      </c>
      <c r="B58" s="440"/>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6"/>
      <c r="Q58" s="2507"/>
      <c r="R58" s="2507"/>
      <c r="S58" s="2507"/>
      <c r="T58" s="2507"/>
      <c r="U58" s="2507"/>
      <c r="V58" s="2507"/>
      <c r="W58" s="2507"/>
      <c r="X58" s="2507"/>
      <c r="Y58" s="2507"/>
      <c r="Z58" s="2507"/>
      <c r="AA58" s="2507"/>
      <c r="AB58" s="2507"/>
      <c r="AC58" s="2507"/>
    </row>
    <row r="59" spans="1:29" s="101" customFormat="1" ht="15">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75" thickBot="1">
      <c r="A60" s="448" t="s">
        <v>1713</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5">
      <c r="A61" s="454" t="s">
        <v>1678</v>
      </c>
      <c r="B61" s="443"/>
      <c r="C61" s="455" t="s">
        <v>1773</v>
      </c>
      <c r="D61" s="3160" t="s">
        <v>3428</v>
      </c>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5.75" thickBot="1">
      <c r="A62" s="454"/>
      <c r="B62" s="443"/>
      <c r="C62" s="444">
        <v>100</v>
      </c>
      <c r="D62" s="445">
        <v>105</v>
      </c>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1716</v>
      </c>
      <c r="B63" s="459" t="s">
        <v>1682</v>
      </c>
      <c r="C63" s="460" t="str">
        <f>C9</f>
        <v>商业</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1685</v>
      </c>
      <c r="C65" s="512" t="s">
        <v>3429</v>
      </c>
      <c r="D65" s="512" t="s">
        <v>3430</v>
      </c>
      <c r="E65" s="512" t="s">
        <v>3431</v>
      </c>
      <c r="F65" s="512" t="s">
        <v>3432</v>
      </c>
      <c r="G65" s="512" t="s">
        <v>3433</v>
      </c>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v>100</v>
      </c>
      <c r="D66" s="466">
        <v>98</v>
      </c>
      <c r="E66" s="466">
        <v>96</v>
      </c>
      <c r="F66" s="466">
        <v>94</v>
      </c>
      <c r="G66" s="466">
        <v>92</v>
      </c>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1686</v>
      </c>
      <c r="C67" s="477" t="str">
        <f>C68&amp;"（含）"&amp;"-"&amp;D68</f>
        <v>0（含）-1</v>
      </c>
      <c r="D67" s="477" t="str">
        <f t="shared" ref="D67:L67" si="17">D68&amp;"（含）"&amp;"-"&amp;E68</f>
        <v>1（含）-2</v>
      </c>
      <c r="E67" s="477" t="str">
        <f t="shared" si="17"/>
        <v>2（含）-3</v>
      </c>
      <c r="F67" s="477" t="str">
        <f t="shared" si="17"/>
        <v>3（含）-4</v>
      </c>
      <c r="G67" s="477" t="str">
        <f t="shared" si="17"/>
        <v>4（含）-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v>0</v>
      </c>
      <c r="D68" s="479">
        <v>1</v>
      </c>
      <c r="E68" s="479">
        <v>2</v>
      </c>
      <c r="F68" s="479">
        <v>3</v>
      </c>
      <c r="G68" s="479">
        <v>4</v>
      </c>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1687</v>
      </c>
      <c r="B76" s="459" t="s">
        <v>1717</v>
      </c>
      <c r="C76" s="503" t="s">
        <v>1718</v>
      </c>
      <c r="D76" s="503" t="s">
        <v>1719</v>
      </c>
      <c r="E76" s="503" t="s">
        <v>1720</v>
      </c>
      <c r="F76" s="503" t="s">
        <v>1721</v>
      </c>
      <c r="G76" s="503" t="s">
        <v>1722</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1723</v>
      </c>
      <c r="C78" s="508" t="s">
        <v>1718</v>
      </c>
      <c r="D78" s="508" t="s">
        <v>1719</v>
      </c>
      <c r="E78" s="508" t="s">
        <v>1720</v>
      </c>
      <c r="F78" s="508" t="s">
        <v>1721</v>
      </c>
      <c r="G78" s="508" t="s">
        <v>1722</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1724</v>
      </c>
      <c r="C80" s="508" t="s">
        <v>1718</v>
      </c>
      <c r="D80" s="508" t="s">
        <v>1719</v>
      </c>
      <c r="E80" s="508" t="s">
        <v>1720</v>
      </c>
      <c r="F80" s="508" t="s">
        <v>1721</v>
      </c>
      <c r="G80" s="508" t="s">
        <v>1722</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1776</v>
      </c>
      <c r="C82" s="580" t="s">
        <v>1796</v>
      </c>
      <c r="D82" s="580" t="s">
        <v>1797</v>
      </c>
      <c r="E82" s="580" t="s">
        <v>1798</v>
      </c>
      <c r="F82" s="580" t="s">
        <v>1799</v>
      </c>
      <c r="G82" s="580" t="s">
        <v>1800</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1730</v>
      </c>
      <c r="C84" s="508" t="s">
        <v>1718</v>
      </c>
      <c r="D84" s="508" t="s">
        <v>1719</v>
      </c>
      <c r="E84" s="508" t="s">
        <v>1720</v>
      </c>
      <c r="F84" s="508" t="s">
        <v>1721</v>
      </c>
      <c r="G84" s="508" t="s">
        <v>1722</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75" thickTop="1">
      <c r="A86" s="369"/>
      <c r="B86" s="468" t="s">
        <v>1801</v>
      </c>
      <c r="C86" s="3163" t="s">
        <v>3441</v>
      </c>
      <c r="D86" s="3163" t="s">
        <v>3442</v>
      </c>
      <c r="E86" s="3163" t="s">
        <v>3444</v>
      </c>
      <c r="F86" s="3163" t="s">
        <v>3446</v>
      </c>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9"/>
      <c r="O87" s="2519"/>
      <c r="P87" s="2510"/>
      <c r="Q87" s="2505"/>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t="s">
        <v>3421</v>
      </c>
      <c r="D92" s="484" t="s">
        <v>3422</v>
      </c>
      <c r="E92" s="484" t="s">
        <v>3423</v>
      </c>
      <c r="F92" s="484" t="s">
        <v>3440</v>
      </c>
      <c r="G92" s="484" t="s">
        <v>3439</v>
      </c>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v>100</v>
      </c>
      <c r="D93" s="466">
        <v>70</v>
      </c>
      <c r="E93" s="466">
        <f>ROUND((C93+D93)/2,2)</f>
        <v>85</v>
      </c>
      <c r="F93" s="466">
        <v>45</v>
      </c>
      <c r="G93" s="466">
        <f>ROUND((C93+D93+F93)/3,0)</f>
        <v>72</v>
      </c>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1691</v>
      </c>
      <c r="B100" s="459" t="s">
        <v>1802</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1734</v>
      </c>
      <c r="C102" s="508" t="str">
        <f>C103&amp;"(含)"&amp;"-"&amp;D103</f>
        <v>0(含)-100</v>
      </c>
      <c r="D102" s="508" t="str">
        <f t="shared" ref="D102:L102" si="23">D103&amp;"(含)"&amp;"-"&amp;E103</f>
        <v>100(含)-200</v>
      </c>
      <c r="E102" s="508" t="str">
        <f t="shared" si="23"/>
        <v>200(含)-300</v>
      </c>
      <c r="F102" s="508" t="str">
        <f t="shared" si="23"/>
        <v>300(含)-400</v>
      </c>
      <c r="G102" s="508" t="str">
        <f t="shared" si="23"/>
        <v>400(含)-500</v>
      </c>
      <c r="H102" s="508" t="str">
        <f t="shared" si="23"/>
        <v>500(含)-600</v>
      </c>
      <c r="I102" s="508" t="str">
        <f t="shared" si="23"/>
        <v>600(含)-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100</v>
      </c>
      <c r="E103" s="6">
        <v>200</v>
      </c>
      <c r="F103" s="6">
        <v>300</v>
      </c>
      <c r="G103" s="6">
        <v>400</v>
      </c>
      <c r="H103" s="6">
        <v>500</v>
      </c>
      <c r="I103" s="6">
        <v>600</v>
      </c>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v>100</v>
      </c>
      <c r="D104" s="466">
        <v>99</v>
      </c>
      <c r="E104" s="466">
        <v>98</v>
      </c>
      <c r="F104" s="466">
        <v>97</v>
      </c>
      <c r="G104" s="466">
        <v>96</v>
      </c>
      <c r="H104" s="466">
        <v>95</v>
      </c>
      <c r="I104" s="466">
        <v>94</v>
      </c>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1735</v>
      </c>
      <c r="C105" s="3163" t="s">
        <v>3437</v>
      </c>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1737</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1739</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1803</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1804</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1805</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1806</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1741</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1742</v>
      </c>
      <c r="C124" s="508" t="s">
        <v>1718</v>
      </c>
      <c r="D124" s="508" t="s">
        <v>1719</v>
      </c>
      <c r="E124" s="508" t="s">
        <v>1720</v>
      </c>
      <c r="F124" s="508" t="s">
        <v>1721</v>
      </c>
      <c r="G124" s="508" t="s">
        <v>1722</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t="str">
        <f>B45</f>
        <v>建成年代</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F7:F46 H7:H46 J7:J46">
    <cfRule type="cellIs" dxfId="153" priority="1" operator="notEqual">
      <formula>100</formula>
    </cfRule>
  </conditionalFormatting>
  <conditionalFormatting sqref="F48">
    <cfRule type="expression" dxfId="152" priority="4">
      <formula>$D$48="简单平均"</formula>
    </cfRule>
  </conditionalFormatting>
  <conditionalFormatting sqref="F52:F54 H52:H54">
    <cfRule type="containsText" dxfId="151" priority="17" stopIfTrue="1" operator="containsText" text="超过">
      <formula>NOT(ISERROR(SEARCH("超过",F52)))</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G54">
    <cfRule type="expression" dxfId="148" priority="13" stopIfTrue="1">
      <formula>$H$54="超过30%"</formula>
    </cfRule>
  </conditionalFormatting>
  <conditionalFormatting sqref="H48">
    <cfRule type="expression" dxfId="147" priority="3">
      <formula>$D$48="简单平均"</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J48">
    <cfRule type="expression" dxfId="143" priority="2">
      <formula>$D$48="简单平均"</formula>
    </cfRule>
  </conditionalFormatting>
  <conditionalFormatting sqref="J52:J54">
    <cfRule type="containsText" dxfId="14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C33" sqref="C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1923</v>
      </c>
      <c r="B1" s="188"/>
      <c r="C1" s="192" t="s">
        <v>1924</v>
      </c>
      <c r="D1" s="332">
        <f>SUM(D33:D34,D37:D42)</f>
        <v>14571.48</v>
      </c>
      <c r="E1" s="1841"/>
      <c r="F1" s="1841"/>
      <c r="G1" s="1841"/>
      <c r="H1" s="1841"/>
      <c r="I1" s="1841"/>
      <c r="J1" s="1841"/>
      <c r="K1" s="1055"/>
      <c r="L1" s="1842" t="s">
        <v>1925</v>
      </c>
      <c r="M1" s="809">
        <f>SUMPRODUCT((区片价!B5:B9=I2)*(区片价!C3:G3=E2)*(区片价!C5:G9))</f>
        <v>0</v>
      </c>
      <c r="N1" s="812">
        <f>SUMPRODUCT((因素修正幅度!B5:B9=I2)*(因素修正幅度!C3:G3=E2)*(因素修正幅度!C5:G9))</f>
        <v>0</v>
      </c>
      <c r="O1" s="1843"/>
      <c r="P1" s="1843"/>
      <c r="Q1" s="1055"/>
      <c r="R1" s="1128" t="s">
        <v>1926</v>
      </c>
      <c r="S1" s="1128" t="s">
        <v>1927</v>
      </c>
      <c r="T1" s="1128" t="s">
        <v>1928</v>
      </c>
      <c r="U1" s="1128" t="s">
        <v>1929</v>
      </c>
      <c r="V1" s="1128" t="s">
        <v>1930</v>
      </c>
      <c r="W1" s="1132"/>
      <c r="X1" s="1132"/>
      <c r="Y1" s="1132"/>
      <c r="Z1" s="1132"/>
      <c r="AA1" s="1132"/>
      <c r="AB1" s="1132"/>
      <c r="AC1" s="1133"/>
      <c r="AD1" s="1134"/>
      <c r="AE1" s="1134"/>
      <c r="AF1" s="1134"/>
      <c r="AG1" s="1134"/>
      <c r="AH1" s="1134"/>
      <c r="AI1" s="1134"/>
      <c r="AJ1" s="1135"/>
    </row>
    <row r="2" spans="1:36" ht="15.75">
      <c r="A2" s="192" t="s">
        <v>1931</v>
      </c>
      <c r="B2" s="195">
        <f>C30</f>
        <v>890</v>
      </c>
      <c r="C2" s="1845" t="s">
        <v>1932</v>
      </c>
      <c r="D2" s="161" t="s">
        <v>1933</v>
      </c>
      <c r="E2" s="3117" t="s">
        <v>3</v>
      </c>
      <c r="F2" s="161" t="s">
        <v>1934</v>
      </c>
      <c r="G2" s="162" t="str">
        <f>IF(E2="商业",项目基本情况!B37,IF(E2="办公",项目基本情况!C37,IF(E2="住宅",项目基本情况!D37,IF(E2="工业",项目基本情况!E37,项目基本情况!F37))))</f>
        <v>十级</v>
      </c>
      <c r="H2" s="161" t="s">
        <v>1935</v>
      </c>
      <c r="I2" s="162" t="str">
        <f>IF(E2="商业",项目基本情况!B38,IF(E2="办公",项目基本情况!C38,IF(E2="住宅",项目基本情况!D38,IF(E2="工业",项目基本情况!E38,项目基本情况!F38))))</f>
        <v>Ⅹ-延3</v>
      </c>
      <c r="J2" s="1841"/>
      <c r="K2" s="1055"/>
      <c r="L2" s="1846" t="s">
        <v>1936</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941</v>
      </c>
      <c r="U2" s="1129"/>
      <c r="V2" s="3060">
        <f>ROUND(T2*U2/10000,0)</f>
        <v>0</v>
      </c>
      <c r="W2" s="1132">
        <f>ROUND(T2*U2,0)</f>
        <v>0</v>
      </c>
      <c r="X2" s="1132"/>
      <c r="Y2" s="1132"/>
      <c r="Z2" s="1132"/>
      <c r="AA2" s="1132"/>
      <c r="AB2" s="1132"/>
      <c r="AC2" s="1133"/>
      <c r="AD2" s="1134"/>
      <c r="AE2" s="1134"/>
      <c r="AF2" s="1134"/>
      <c r="AG2" s="1134"/>
      <c r="AH2" s="1134"/>
      <c r="AI2" s="1134"/>
      <c r="AJ2" s="1135"/>
    </row>
    <row r="3" spans="1:36" ht="15.75">
      <c r="A3" s="194" t="s">
        <v>1937</v>
      </c>
      <c r="B3" s="195">
        <f>ROUND(B2*10000/D1,0)</f>
        <v>611</v>
      </c>
      <c r="C3" s="1845" t="s">
        <v>1938</v>
      </c>
      <c r="D3" s="161" t="s">
        <v>1939</v>
      </c>
      <c r="E3" s="3115" t="s">
        <v>2479</v>
      </c>
      <c r="F3" s="1847" t="s">
        <v>3418</v>
      </c>
      <c r="G3" s="707">
        <f>IF(F3="宗地容积率",'数据-汇总表'!I4,IF(F3="估价对象容积率",'数据-汇总表'!I6,'数据-汇总表'!I7))</f>
        <v>1</v>
      </c>
      <c r="H3" s="161" t="s">
        <v>1940</v>
      </c>
      <c r="I3" s="728"/>
      <c r="J3" s="1841" t="s">
        <v>1941</v>
      </c>
      <c r="K3" s="1055"/>
      <c r="L3" s="1846" t="s">
        <v>1942</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1.1883999999999999</v>
      </c>
      <c r="T3" s="3060">
        <f t="shared" si="0"/>
        <v>726</v>
      </c>
      <c r="U3" s="1129"/>
      <c r="V3" s="3060">
        <f t="shared" ref="V3:V16" si="1">ROUND(T3*U3/10000,0)</f>
        <v>0</v>
      </c>
      <c r="W3" s="1132">
        <f>ROUND(T3*U3,0)</f>
        <v>0</v>
      </c>
      <c r="X3" s="1132"/>
      <c r="Y3" s="1132"/>
      <c r="Z3" s="1132"/>
      <c r="AA3" s="1132"/>
      <c r="AB3" s="1132"/>
      <c r="AC3" s="1133"/>
      <c r="AD3" s="1134"/>
      <c r="AE3" s="1134"/>
      <c r="AF3" s="1134"/>
      <c r="AG3" s="1134"/>
      <c r="AH3" s="1134"/>
      <c r="AI3" s="1134"/>
      <c r="AJ3" s="1135"/>
    </row>
    <row r="4" spans="1:36" ht="15.75">
      <c r="A4" s="3426"/>
      <c r="B4" s="3427"/>
      <c r="C4" s="3427"/>
      <c r="D4" s="3428"/>
      <c r="E4" s="3428"/>
      <c r="F4" s="3428"/>
      <c r="G4" s="3428"/>
      <c r="H4" s="3428"/>
      <c r="I4" s="3428"/>
      <c r="J4" s="3429"/>
      <c r="K4" s="1055"/>
      <c r="L4" s="1846" t="s">
        <v>1943</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0.96940000000000004</v>
      </c>
      <c r="T4" s="3060">
        <f t="shared" si="0"/>
        <v>592</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1944</v>
      </c>
      <c r="C5" s="708">
        <f>ROUND(IF(E2="商业",C6*C7*C17+C20,(IF(E2="住宅",C6*C13*C17+C20,IF(E2="办公",C6*C12*C17+C20,C6+C20)))),0)</f>
        <v>680</v>
      </c>
      <c r="D5" s="1251">
        <f>ROUND(C6*C17+C20,0)</f>
        <v>680</v>
      </c>
      <c r="E5" s="1251"/>
      <c r="F5" s="1850"/>
      <c r="G5" s="1851"/>
      <c r="H5" s="1851"/>
      <c r="I5" s="1851"/>
      <c r="J5" s="1852"/>
      <c r="K5" s="1853"/>
      <c r="L5" s="1846" t="s">
        <v>1945</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0.82299999999999995</v>
      </c>
      <c r="T5" s="3060">
        <f t="shared" si="0"/>
        <v>503</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1946</v>
      </c>
      <c r="B6" s="1859" t="s">
        <v>1947</v>
      </c>
      <c r="C6" s="709">
        <f>SUMIF(L1:L12,G2,M1:M12)</f>
        <v>640</v>
      </c>
      <c r="D6" s="1860"/>
      <c r="E6" s="1861"/>
      <c r="F6" s="1861"/>
      <c r="G6" s="1862"/>
      <c r="H6" s="1862"/>
      <c r="I6" s="1862"/>
      <c r="J6" s="1863"/>
      <c r="K6" s="1291"/>
      <c r="L6" s="1846" t="s">
        <v>1948</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0.74980000000000002</v>
      </c>
      <c r="T6" s="3060">
        <f t="shared" si="0"/>
        <v>458</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3237</v>
      </c>
      <c r="B7" s="1864" t="s">
        <v>1949</v>
      </c>
      <c r="C7" s="710">
        <f>IF(C8="不临65条商业街",1,ROUND(1+(1.6*E8+1.2*E9+0.8*E10+0.4*E11)*C9,4))</f>
        <v>1</v>
      </c>
      <c r="D7" s="1865" t="s">
        <v>1950</v>
      </c>
      <c r="E7" s="729"/>
      <c r="F7" s="1866"/>
      <c r="G7" s="1867"/>
      <c r="H7" s="1867"/>
      <c r="I7" s="1867"/>
      <c r="J7" s="1868"/>
      <c r="K7" s="1291"/>
      <c r="L7" s="1846" t="s">
        <v>1951</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1952</v>
      </c>
      <c r="X7" s="1130" t="str">
        <f>G2</f>
        <v>十级</v>
      </c>
      <c r="Y7" s="1130" t="s">
        <v>1953</v>
      </c>
      <c r="Z7" s="1131">
        <f>G3</f>
        <v>1</v>
      </c>
      <c r="AA7" s="1132"/>
      <c r="AB7" s="1132"/>
      <c r="AC7" s="1133"/>
      <c r="AD7" s="1134"/>
      <c r="AE7" s="1134"/>
      <c r="AF7" s="1134"/>
      <c r="AG7" s="1134"/>
      <c r="AH7" s="1134"/>
      <c r="AI7" s="1134"/>
      <c r="AJ7" s="1135"/>
    </row>
    <row r="8" spans="1:36" ht="25.5">
      <c r="A8" s="3006"/>
      <c r="B8" s="161" t="s">
        <v>1954</v>
      </c>
      <c r="C8" s="1869" t="s">
        <v>3407</v>
      </c>
      <c r="D8" s="711" t="s">
        <v>112</v>
      </c>
      <c r="E8" s="712" t="e">
        <f>ROUND(C11/E7,4)</f>
        <v>#DIV/0!</v>
      </c>
      <c r="F8" s="1870" t="s">
        <v>1955</v>
      </c>
      <c r="G8" s="1871"/>
      <c r="H8" s="1871"/>
      <c r="I8" s="1871"/>
      <c r="J8" s="1872"/>
      <c r="K8" s="1055"/>
      <c r="L8" s="1846" t="s">
        <v>1956</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23" t="s">
        <v>1957</v>
      </c>
      <c r="X8" s="3424"/>
      <c r="Y8" s="1136" t="s">
        <v>1958</v>
      </c>
      <c r="Z8" s="1136" t="s">
        <v>1959</v>
      </c>
      <c r="AA8" s="1136" t="s">
        <v>1960</v>
      </c>
      <c r="AB8" s="1136" t="s">
        <v>1961</v>
      </c>
      <c r="AC8" s="1136" t="s">
        <v>1962</v>
      </c>
      <c r="AD8" s="1136" t="s">
        <v>1963</v>
      </c>
      <c r="AE8" s="1136" t="s">
        <v>1964</v>
      </c>
      <c r="AF8" s="1136" t="s">
        <v>1965</v>
      </c>
      <c r="AG8" s="1136" t="s">
        <v>1966</v>
      </c>
      <c r="AH8" s="1136" t="s">
        <v>1967</v>
      </c>
      <c r="AI8" s="1136" t="s">
        <v>1968</v>
      </c>
      <c r="AJ8" s="1136" t="s">
        <v>1969</v>
      </c>
    </row>
    <row r="9" spans="1:36" ht="15">
      <c r="A9" s="3006"/>
      <c r="B9" s="161" t="s">
        <v>1970</v>
      </c>
      <c r="C9" s="713">
        <f>SUMIF(修正!C71:C138,C8,修正!E71:E138)</f>
        <v>0</v>
      </c>
      <c r="D9" s="162" t="s">
        <v>113</v>
      </c>
      <c r="E9" s="162" t="e">
        <f>ROUND(C11/E7,4)</f>
        <v>#DIV/0!</v>
      </c>
      <c r="F9" s="1870" t="s">
        <v>1971</v>
      </c>
      <c r="G9" s="1871"/>
      <c r="H9" s="1871"/>
      <c r="I9" s="1871"/>
      <c r="J9" s="1872"/>
      <c r="K9" s="1055"/>
      <c r="L9" s="1846" t="s">
        <v>1972</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25"/>
      <c r="X9" s="3061" t="s">
        <v>3267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1973</v>
      </c>
      <c r="C10" s="162">
        <f>SUMIF(修正!C71:C138,C8,修正!F71:F138)</f>
        <v>0</v>
      </c>
      <c r="D10" s="162" t="s">
        <v>114</v>
      </c>
      <c r="E10" s="162" t="e">
        <f>ROUND(C11/E7,4)</f>
        <v>#DIV/0!</v>
      </c>
      <c r="F10" s="1870" t="s">
        <v>1974</v>
      </c>
      <c r="G10" s="1871"/>
      <c r="H10" s="1871"/>
      <c r="I10" s="1871"/>
      <c r="J10" s="1872"/>
      <c r="K10" s="1055"/>
      <c r="L10" s="1846" t="s">
        <v>1975</v>
      </c>
      <c r="M10" s="810">
        <f>SUMPRODUCT((区片价!B327:B357=I2)*(区片价!C3:G3=E2)*(区片价!C327:G357))</f>
        <v>640</v>
      </c>
      <c r="N10" s="812">
        <f>SUMPRODUCT((因素修正幅度!B327:B357=I2)*(因素修正幅度!C3:G3=E2)*(因素修正幅度!C327:G357))</f>
        <v>0.15</v>
      </c>
      <c r="O10" s="1055"/>
      <c r="P10" s="1055"/>
      <c r="Q10" s="1055"/>
      <c r="R10" s="1128">
        <v>9</v>
      </c>
      <c r="S10" s="1129"/>
      <c r="T10" s="3060">
        <f t="shared" si="0"/>
        <v>0</v>
      </c>
      <c r="U10" s="1129"/>
      <c r="V10" s="3060">
        <f t="shared" si="1"/>
        <v>0</v>
      </c>
      <c r="W10" s="3425"/>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1976</v>
      </c>
      <c r="C11" s="714">
        <f>C10/4</f>
        <v>0</v>
      </c>
      <c r="D11" s="714" t="s">
        <v>115</v>
      </c>
      <c r="E11" s="714" t="e">
        <f>ROUND(C11/E7,4)</f>
        <v>#DIV/0!</v>
      </c>
      <c r="F11" s="1874" t="s">
        <v>1977</v>
      </c>
      <c r="G11" s="1875"/>
      <c r="H11" s="1875"/>
      <c r="I11" s="1875"/>
      <c r="J11" s="1876"/>
      <c r="K11" s="1055"/>
      <c r="L11" s="1846" t="s">
        <v>1978</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3238</v>
      </c>
      <c r="B12" s="3010" t="s">
        <v>3239</v>
      </c>
      <c r="C12" s="3011">
        <v>1</v>
      </c>
      <c r="D12" s="3012" t="s">
        <v>3240</v>
      </c>
      <c r="E12" s="3013" t="s">
        <v>3241</v>
      </c>
      <c r="F12" s="3014"/>
      <c r="G12" s="3015"/>
      <c r="H12" s="3015"/>
      <c r="I12" s="3015"/>
      <c r="J12" s="3016"/>
      <c r="K12" s="1055"/>
      <c r="L12" s="1795" t="s">
        <v>1981</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3242</v>
      </c>
      <c r="B13" s="1877" t="s">
        <v>1979</v>
      </c>
      <c r="C13" s="710">
        <f>ROUND(C16*D16*E16*F16*G16*H16*I16*J16,4)</f>
        <v>0</v>
      </c>
      <c r="D13" s="1878" t="s">
        <v>1980</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1982</v>
      </c>
      <c r="C14" s="1883" t="s">
        <v>1983</v>
      </c>
      <c r="D14" s="1260" t="s">
        <v>1984</v>
      </c>
      <c r="E14" s="27" t="s">
        <v>1985</v>
      </c>
      <c r="F14" s="3017" t="s">
        <v>3243</v>
      </c>
      <c r="G14" s="3017" t="s">
        <v>3243</v>
      </c>
      <c r="H14" s="3017" t="s">
        <v>3243</v>
      </c>
      <c r="I14" s="3017" t="s">
        <v>3243</v>
      </c>
      <c r="J14" s="3017" t="s">
        <v>3243</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3244</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1986</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3245</v>
      </c>
      <c r="B17" s="3024" t="s">
        <v>3246</v>
      </c>
      <c r="C17" s="3033">
        <f>ROUND(IF(OR(E2="工业",E2="公共服务"),1,IF(AND(E18=0,E19=0),1,IF(AND(E18=J24,E19=G19),0.8,IF(E19=0,1+E17*(-0.2),1+E17*G17*(-0.2))))),4)</f>
        <v>1</v>
      </c>
      <c r="D17" s="3025" t="s">
        <v>3247</v>
      </c>
      <c r="E17" s="3033">
        <f>ROUND(G18/I18,2)</f>
        <v>0</v>
      </c>
      <c r="F17" s="3025" t="s">
        <v>3250</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3248</v>
      </c>
      <c r="E18" s="2354"/>
      <c r="F18" s="3027" t="s">
        <v>3251</v>
      </c>
      <c r="G18" s="3031">
        <f>ROUND(1-(1/(POWER(1+G24,E18))),4)</f>
        <v>0</v>
      </c>
      <c r="H18" s="3027" t="s">
        <v>3253</v>
      </c>
      <c r="I18" s="3031">
        <f>ROUND(1-(1/(POWER(1+G24,J24))),4)</f>
        <v>0.91279999999999994</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3249</v>
      </c>
      <c r="E19" s="3040"/>
      <c r="F19" s="3041" t="s">
        <v>3252</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430" t="s">
        <v>3254</v>
      </c>
      <c r="B20" s="158" t="s">
        <v>1991</v>
      </c>
      <c r="C20" s="3028">
        <f>ROUND(IF(F21="与级别开发程度一致",0,(G21-E21)/C21),0)</f>
        <v>40</v>
      </c>
      <c r="D20" s="3043" t="s">
        <v>1995</v>
      </c>
      <c r="E20" s="3044"/>
      <c r="F20" s="3436" t="s">
        <v>1992</v>
      </c>
      <c r="G20" s="3437"/>
      <c r="H20" s="3029" t="s">
        <v>3383</v>
      </c>
      <c r="I20" s="3029" t="s">
        <v>3384</v>
      </c>
      <c r="J20" s="3030" t="s">
        <v>3385</v>
      </c>
      <c r="K20" s="1888" t="s">
        <v>3386</v>
      </c>
      <c r="L20" s="1888" t="s">
        <v>3387</v>
      </c>
      <c r="M20" s="1888" t="s">
        <v>3419</v>
      </c>
      <c r="N20" s="1888" t="s">
        <v>3388</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431"/>
      <c r="B21" s="2001" t="s">
        <v>1994</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3415</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40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1997</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1998</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1895" t="s">
        <v>1999</v>
      </c>
      <c r="E23" s="716">
        <v>44197</v>
      </c>
      <c r="F23" s="1895" t="s">
        <v>2000</v>
      </c>
      <c r="G23" s="717">
        <f>'数据-取费表'!B2</f>
        <v>45315</v>
      </c>
      <c r="H23" s="3045" t="s">
        <v>3255</v>
      </c>
      <c r="I23" s="3046" t="str">
        <f>IF(H23="季度增幅（自定义）",SUMIF(N25:N28,E2,O25:O28),"")</f>
        <v/>
      </c>
      <c r="J23" s="3138" t="s">
        <v>3416</v>
      </c>
      <c r="K23" s="1060"/>
      <c r="L23" s="1896" t="s">
        <v>2001</v>
      </c>
      <c r="M23" s="1240">
        <f>ROUND(SUMIF(地价!B2:G2,E2,地价!B16:G16),0)</f>
        <v>318</v>
      </c>
      <c r="N23" s="1897" t="s">
        <v>2002</v>
      </c>
      <c r="O23" s="718">
        <f>ROUNDDOWN(DATEDIF(E23,G23,"M")/3,0)</f>
        <v>12</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2003</v>
      </c>
      <c r="C24" s="719">
        <f>ROUND(POWER(1+G24,J24-I24)*(POWER(1+G24,I24)-1)/(POWER(1+G24,J24)-1),4)</f>
        <v>0.81840000000000002</v>
      </c>
      <c r="D24" s="1901" t="s">
        <v>2004</v>
      </c>
      <c r="E24" s="1247">
        <f>存贷款利率!E24/100</f>
        <v>4.3499999999999997E-2</v>
      </c>
      <c r="F24" s="1901" t="s">
        <v>1996</v>
      </c>
      <c r="G24" s="723">
        <f>SUMIF(M30:Q30,E2,M33:Q33)</f>
        <v>0.05</v>
      </c>
      <c r="H24" s="1901" t="s">
        <v>2005</v>
      </c>
      <c r="I24" s="724">
        <f>SUMIF('数据-取费表'!C6:C15,E2,'数据-取费表'!F6:F15)/COUNTIF('数据-取费表'!C6:C15,E2)</f>
        <v>28.17</v>
      </c>
      <c r="J24" s="725">
        <f>IF(E2="住宅",70,IF(E2="商业",40,50))</f>
        <v>50</v>
      </c>
      <c r="K24" s="1060"/>
      <c r="L24" s="1902" t="s">
        <v>2006</v>
      </c>
      <c r="M24" s="1241">
        <f>ROUND(SUMPRODUCT((地价!A4:A16=YEAR(G23)&amp;"-"&amp;ROUNDUP(MONTH(G23)/3,0))*(地价!B2:G2=E2)*(地价!B4:G16)),0)</f>
        <v>0</v>
      </c>
      <c r="N24" s="1903" t="s">
        <v>2007</v>
      </c>
      <c r="O24" s="1904" t="s">
        <v>2008</v>
      </c>
      <c r="P24" s="1905" t="s">
        <v>2009</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3484</v>
      </c>
      <c r="C25" s="460">
        <f>IF(B25="容积率修正",IF(G3&lt;10,D26,J26),C27)</f>
        <v>1</v>
      </c>
      <c r="D25" s="1908"/>
      <c r="E25" s="1908"/>
      <c r="F25" s="1908"/>
      <c r="G25" s="1908"/>
      <c r="H25" s="1908"/>
      <c r="I25" s="1908"/>
      <c r="J25" s="1909"/>
      <c r="K25" s="1060"/>
      <c r="L25" s="2549"/>
      <c r="M25" s="2549"/>
      <c r="N25" s="1910" t="s">
        <v>2010</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2011</v>
      </c>
      <c r="B26" s="1911" t="s">
        <v>2012</v>
      </c>
      <c r="C26" s="1911" t="s">
        <v>3256</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3257</v>
      </c>
      <c r="J26" s="373" t="str">
        <f>IF(G3&gt;=10,D115,"——")</f>
        <v>——</v>
      </c>
      <c r="K26" s="1060"/>
      <c r="L26" s="2549"/>
      <c r="M26" s="2549"/>
      <c r="N26" s="1910" t="s">
        <v>2013</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2014</v>
      </c>
      <c r="B27" s="1912" t="s">
        <v>2015</v>
      </c>
      <c r="C27" s="790">
        <f>ROUND(IF(I3&lt;6,SUMPRODUCT((B106:B110=I3)*(C105:N105=G2)*(C106:N110)),SUMIF(C105:N105,G2,C112:N112)),4)</f>
        <v>0</v>
      </c>
      <c r="D27" s="1841"/>
      <c r="E27" s="1841"/>
      <c r="F27" s="1913"/>
      <c r="G27" s="1914"/>
      <c r="H27" s="1915"/>
      <c r="I27" s="1916"/>
      <c r="J27" s="1917"/>
      <c r="K27" s="1055"/>
      <c r="L27" s="1843"/>
      <c r="M27" s="1843"/>
      <c r="N27" s="1910" t="s">
        <v>2016</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2017</v>
      </c>
      <c r="C28" s="715">
        <f>SUMIF(A47:A101,E2,B47:B101)</f>
        <v>1.0278</v>
      </c>
      <c r="D28" s="1893"/>
      <c r="E28" s="1918"/>
      <c r="F28" s="1918"/>
      <c r="G28" s="1918"/>
      <c r="H28" s="1918"/>
      <c r="I28" s="1918"/>
      <c r="J28" s="1919"/>
      <c r="K28" s="1060"/>
      <c r="L28" s="2549"/>
      <c r="M28" s="2549"/>
      <c r="N28" s="1920"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2019</v>
      </c>
      <c r="C29" s="720"/>
      <c r="D29" s="1867"/>
      <c r="E29" s="1867"/>
      <c r="F29" s="1922"/>
      <c r="G29" s="1867"/>
      <c r="H29" s="1867"/>
      <c r="I29" s="1867"/>
      <c r="J29" s="1868"/>
      <c r="K29" s="1055"/>
      <c r="L29" s="1843"/>
      <c r="M29" s="1843"/>
      <c r="N29" s="2546" t="s">
        <v>2020</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2021</v>
      </c>
      <c r="C30" s="2144">
        <f>IF(B25="容积率修正",E33+SUM(E37:E42),SUM(V2:V16)+SUM(E37:E42))</f>
        <v>890</v>
      </c>
      <c r="D30" s="1924"/>
      <c r="E30" s="1841"/>
      <c r="F30" s="1925"/>
      <c r="G30" s="1841"/>
      <c r="H30" s="1841"/>
      <c r="I30" s="1841"/>
      <c r="J30" s="1926"/>
      <c r="K30" s="1055"/>
      <c r="L30" s="3052" t="s">
        <v>1933</v>
      </c>
      <c r="M30" s="3053" t="s">
        <v>1987</v>
      </c>
      <c r="N30" s="3053" t="s">
        <v>1988</v>
      </c>
      <c r="O30" s="3053" t="s">
        <v>1989</v>
      </c>
      <c r="P30" s="3053" t="s">
        <v>1990</v>
      </c>
      <c r="Q30" s="3056"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2022</v>
      </c>
      <c r="C31" s="721">
        <f>E34+SUM(I37:I42)</f>
        <v>0</v>
      </c>
      <c r="D31" s="1928"/>
      <c r="E31" s="1929"/>
      <c r="F31" s="1930"/>
      <c r="G31" s="1929"/>
      <c r="H31" s="1929"/>
      <c r="I31" s="1929"/>
      <c r="J31" s="1931"/>
      <c r="K31" s="1055"/>
      <c r="L31" s="3054" t="s">
        <v>1993</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2023</v>
      </c>
      <c r="C32" s="1934" t="s">
        <v>2024</v>
      </c>
      <c r="D32" s="1934" t="s">
        <v>2025</v>
      </c>
      <c r="E32" s="1935" t="s">
        <v>2026</v>
      </c>
      <c r="F32" s="1936"/>
      <c r="G32" s="1880"/>
      <c r="H32" s="1880"/>
      <c r="I32" s="1880"/>
      <c r="J32" s="1881"/>
      <c r="K32" s="1055"/>
      <c r="L32" s="3055" t="s">
        <v>1996</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2027</v>
      </c>
      <c r="C33" s="166">
        <f>ROUND(C5*C22*C23*C24*C25*C28,0)</f>
        <v>611</v>
      </c>
      <c r="D33" s="1939">
        <v>14571.48</v>
      </c>
      <c r="E33" s="726">
        <f>ROUND(C33*D33/10000,0)</f>
        <v>890</v>
      </c>
      <c r="F33" s="3047" t="s">
        <v>3259</v>
      </c>
      <c r="G33" s="1940"/>
      <c r="H33" s="1940"/>
      <c r="I33" s="1940"/>
      <c r="J33" s="1941"/>
      <c r="K33" s="1055"/>
      <c r="L33" s="3050" t="s">
        <v>3262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2028</v>
      </c>
      <c r="C34" s="178">
        <f>ROUND(IF(E2="工业",C33*M42,IF(B25="楼层修正",SUM(V2:V16)*M41*10000/D34,C33*M41)),0)</f>
        <v>92</v>
      </c>
      <c r="D34" s="1944"/>
      <c r="E34" s="726">
        <f>ROUND(IF(B25="楼层修正",SUM(V2:V16)*M40,C34*D34/10000),0)</f>
        <v>0</v>
      </c>
      <c r="F34" s="1945" t="s">
        <v>2029</v>
      </c>
      <c r="G34" s="1946"/>
      <c r="H34" s="1946"/>
      <c r="I34" s="1946"/>
      <c r="J34" s="1947"/>
      <c r="K34" s="1055"/>
      <c r="L34" s="3050" t="s">
        <v>3263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2030</v>
      </c>
      <c r="C35" s="3048" t="s">
        <v>3260</v>
      </c>
      <c r="D35" s="1880"/>
      <c r="E35" s="1950"/>
      <c r="F35" s="1950"/>
      <c r="G35" s="1878" t="s">
        <v>2031</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2024</v>
      </c>
      <c r="D36" s="432" t="s">
        <v>2025</v>
      </c>
      <c r="E36" s="432" t="s">
        <v>2026</v>
      </c>
      <c r="F36" s="332" t="s">
        <v>2032</v>
      </c>
      <c r="G36" s="1953" t="s">
        <v>2024</v>
      </c>
      <c r="H36" s="1953" t="s">
        <v>2025</v>
      </c>
      <c r="I36" s="1953" t="s">
        <v>2026</v>
      </c>
      <c r="J36" s="234"/>
      <c r="K36" s="1963" t="s">
        <v>3264</v>
      </c>
      <c r="L36" s="3139">
        <f ca="1">'数据-取费表'!B40</f>
        <v>3.4500000000000003E-2</v>
      </c>
      <c r="M36" s="2363">
        <f ca="1">ROUND($L$36*(1+M31),3)</f>
        <v>4.2999999999999997E-2</v>
      </c>
      <c r="N36" s="2363">
        <f ca="1">ROUND($L$36*(1+N31),3)</f>
        <v>4.1000000000000002E-2</v>
      </c>
      <c r="O36" s="2363">
        <f ca="1">ROUND($L$36*(1+O31),3)</f>
        <v>0.04</v>
      </c>
      <c r="P36" s="2363">
        <f ca="1">ROUND($L$36*(1+P31),3)</f>
        <v>3.7999999999999999E-2</v>
      </c>
      <c r="Q36" s="2363">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34"/>
      <c r="B37" s="1954" t="s">
        <v>2033</v>
      </c>
      <c r="C37" s="166">
        <f>ROUND(D5*C22*C23*C24*C28*F37,0)</f>
        <v>305</v>
      </c>
      <c r="D37" s="1939"/>
      <c r="E37" s="162">
        <f>ROUND(C37*D37/10000,0)</f>
        <v>0</v>
      </c>
      <c r="F37" s="162">
        <f>SUMIF(修正!A57:A68,G2,修正!B57:B68)</f>
        <v>0.5</v>
      </c>
      <c r="G37" s="162">
        <f>ROUND(IF(E2="工业",C37*$M$42,C37*$M$41),0)</f>
        <v>46</v>
      </c>
      <c r="H37" s="162">
        <f>D37</f>
        <v>0</v>
      </c>
      <c r="I37" s="162">
        <f>ROUND(G37*H37/10000,0)</f>
        <v>0</v>
      </c>
      <c r="J37" s="2751"/>
      <c r="K37" s="3058" t="s">
        <v>3265</v>
      </c>
      <c r="L37" s="1963">
        <f ca="1">L36+K38</f>
        <v>3.95E-2</v>
      </c>
      <c r="M37" s="2363">
        <f ca="1">ROUND($L$37*(1+M31),3)</f>
        <v>4.9000000000000002E-2</v>
      </c>
      <c r="N37" s="2363">
        <f t="shared" ref="N37:Q37" ca="1" si="3">ROUND($L$37*(1+N31),3)</f>
        <v>4.7E-2</v>
      </c>
      <c r="O37" s="2363">
        <f t="shared" ca="1" si="3"/>
        <v>4.4999999999999998E-2</v>
      </c>
      <c r="P37" s="2363">
        <f t="shared" ca="1" si="3"/>
        <v>4.2999999999999997E-2</v>
      </c>
      <c r="Q37" s="2363">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35"/>
      <c r="B38" s="1883" t="s">
        <v>2034</v>
      </c>
      <c r="C38" s="166">
        <f>ROUND(D5*C22*C23*C24*C28*F38,0)</f>
        <v>122</v>
      </c>
      <c r="D38" s="1939"/>
      <c r="E38" s="162">
        <f t="shared" ref="E38:E42" si="4">ROUND(C38*D38/10000,0)</f>
        <v>0</v>
      </c>
      <c r="F38" s="162">
        <f>SUMIF(修正!A57:A68,G2,修正!C57:C68)</f>
        <v>0.2</v>
      </c>
      <c r="G38" s="162">
        <f>ROUND(IF(E2="工业",C38*$M$42,C38*$M$41),0)</f>
        <v>18</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35"/>
      <c r="B39" s="1883" t="s">
        <v>3258</v>
      </c>
      <c r="C39" s="166">
        <f>ROUND(D5*C22*C23*C24*C28*F39,0)</f>
        <v>122</v>
      </c>
      <c r="D39" s="1939"/>
      <c r="E39" s="162">
        <f t="shared" si="4"/>
        <v>0</v>
      </c>
      <c r="F39" s="162">
        <f>SUMIF(修正!A57:A68,G2,修正!D57:D68)</f>
        <v>0.2</v>
      </c>
      <c r="G39" s="162">
        <f>ROUND(IF(E2="工业",C39*$M$42,C39*$M$41),0)</f>
        <v>18</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2035</v>
      </c>
      <c r="C40" s="162">
        <f>ROUND(D5*C22*C23*C24*C28*F40,0)</f>
        <v>122</v>
      </c>
      <c r="D40" s="1939"/>
      <c r="E40" s="162">
        <f t="shared" si="4"/>
        <v>0</v>
      </c>
      <c r="F40" s="166">
        <f>SUMIF(修正!A57:A68,G2,修正!E57:E68)</f>
        <v>0.2</v>
      </c>
      <c r="G40" s="162">
        <f>ROUND(IF(E2="工业",C40*$M$42,C40*$M$41),0)</f>
        <v>18</v>
      </c>
      <c r="H40" s="162">
        <f t="shared" si="5"/>
        <v>0</v>
      </c>
      <c r="I40" s="162">
        <f t="shared" si="6"/>
        <v>0</v>
      </c>
      <c r="J40" s="938"/>
      <c r="L40" s="1956" t="s">
        <v>2036</v>
      </c>
      <c r="M40" s="1957"/>
      <c r="Z40" s="1056"/>
      <c r="AA40" s="1056"/>
      <c r="AB40" s="1056"/>
      <c r="AC40" s="1056"/>
      <c r="AD40" s="1056"/>
      <c r="AE40" s="1056"/>
      <c r="AF40" s="1056"/>
      <c r="AG40" s="1056"/>
      <c r="AH40" s="1056"/>
      <c r="AI40" s="1056"/>
      <c r="AJ40" s="1056"/>
    </row>
    <row r="41" spans="1:37" s="1055" customFormat="1">
      <c r="A41" s="1955"/>
      <c r="B41" s="1883" t="s">
        <v>2037</v>
      </c>
      <c r="C41" s="162">
        <f>ROUND(D5*C22*C23*C44*C28*F41,0)</f>
        <v>122</v>
      </c>
      <c r="D41" s="1939"/>
      <c r="E41" s="162">
        <f t="shared" si="4"/>
        <v>0</v>
      </c>
      <c r="F41" s="166">
        <f>SUMIF(修正!A57:A68,G2,修正!F57:F68)</f>
        <v>0.2</v>
      </c>
      <c r="G41" s="162">
        <f>ROUND(IF(E2="工业",C41*$M$42,C41*$M$41),0)</f>
        <v>18</v>
      </c>
      <c r="H41" s="162">
        <f t="shared" si="5"/>
        <v>0</v>
      </c>
      <c r="I41" s="162">
        <f t="shared" si="6"/>
        <v>0</v>
      </c>
      <c r="J41" s="938"/>
      <c r="L41" s="3059" t="s">
        <v>3266</v>
      </c>
      <c r="M41" s="1958">
        <v>0.25</v>
      </c>
      <c r="Z41" s="1056"/>
      <c r="AA41" s="1056"/>
      <c r="AB41" s="1056"/>
      <c r="AC41" s="1056"/>
      <c r="AD41" s="1056"/>
      <c r="AE41" s="1056"/>
      <c r="AF41" s="1056"/>
      <c r="AG41" s="1056"/>
      <c r="AH41" s="1056"/>
      <c r="AI41" s="1056"/>
      <c r="AJ41" s="1056"/>
    </row>
    <row r="42" spans="1:37" s="1055" customFormat="1" ht="13.5" thickBot="1">
      <c r="A42" s="1942"/>
      <c r="B42" s="1959" t="s">
        <v>2038</v>
      </c>
      <c r="C42" s="178">
        <f>ROUND(D5*C22*C23*C44*C28*F42,0)</f>
        <v>61</v>
      </c>
      <c r="D42" s="1944"/>
      <c r="E42" s="178">
        <f t="shared" si="4"/>
        <v>0</v>
      </c>
      <c r="F42" s="722">
        <f>SUMIF(修正!A57:A68,G2,修正!G57:G68)</f>
        <v>0.1</v>
      </c>
      <c r="G42" s="178">
        <f>ROUND(IF(E2="工业",C42*$M$42,C42*$M$41),0)</f>
        <v>9</v>
      </c>
      <c r="H42" s="178">
        <f t="shared" si="5"/>
        <v>0</v>
      </c>
      <c r="I42" s="178">
        <f t="shared" si="6"/>
        <v>0</v>
      </c>
      <c r="J42" s="1960"/>
      <c r="L42" s="1961" t="s">
        <v>1990</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2119</v>
      </c>
      <c r="C44" s="332">
        <f>ROUND(POWER(1+E44,H44-G44)*(POWER(1+E44,G44)-1)/(POWER(1+E44,H44)-1),4)</f>
        <v>0.81840000000000002</v>
      </c>
      <c r="D44" s="162" t="s">
        <v>1996</v>
      </c>
      <c r="E44" s="1990">
        <f>G24</f>
        <v>0.05</v>
      </c>
      <c r="F44" s="162" t="s">
        <v>2005</v>
      </c>
      <c r="G44" s="174">
        <f>项目基本情况!H15</f>
        <v>28.17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2039</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2040</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2041</v>
      </c>
      <c r="B49" s="1261" t="s">
        <v>2042</v>
      </c>
      <c r="C49" s="1261" t="s">
        <v>2043</v>
      </c>
      <c r="D49" s="1261" t="s">
        <v>2044</v>
      </c>
      <c r="E49" s="700" t="s">
        <v>2045</v>
      </c>
      <c r="F49" s="1970" t="s">
        <v>2046</v>
      </c>
      <c r="G49" s="1261" t="s">
        <v>310</v>
      </c>
      <c r="H49" s="1971" t="s">
        <v>2047</v>
      </c>
      <c r="I49" s="1261" t="s">
        <v>2048</v>
      </c>
      <c r="J49" s="529" t="s">
        <v>1718</v>
      </c>
      <c r="K49" s="529" t="s">
        <v>1719</v>
      </c>
      <c r="L49" s="529" t="s">
        <v>1720</v>
      </c>
      <c r="M49" s="529" t="s">
        <v>1721</v>
      </c>
      <c r="N49" s="529" t="s">
        <v>1722</v>
      </c>
      <c r="AA49" s="1056"/>
      <c r="AB49" s="1056"/>
      <c r="AC49" s="1056"/>
      <c r="AD49" s="1056"/>
      <c r="AE49" s="1056"/>
      <c r="AF49" s="1056"/>
      <c r="AG49" s="1056"/>
      <c r="AH49" s="1056"/>
      <c r="AI49" s="1056"/>
      <c r="AJ49" s="1056"/>
      <c r="AK49" s="1056"/>
    </row>
    <row r="50" spans="1:37" s="1055" customFormat="1" ht="38.25">
      <c r="A50" s="1969" t="s">
        <v>2049</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t="str">
        <f>H50</f>
        <v>——</v>
      </c>
      <c r="H50" s="1002" t="str">
        <f t="shared" ref="H50:H58" si="8">IFERROR(ROUNDDOWN($F$50*I50/2,4),"——")</f>
        <v>——</v>
      </c>
      <c r="I50" s="3065">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38.25">
      <c r="A51" s="1969" t="s">
        <v>2050</v>
      </c>
      <c r="B51" s="1261" t="str">
        <f>估价对象房地状况!C18</f>
        <v>估价对象周边道路状况、公共交通通达情况、停车便捷程度，综合评价交通便捷度较好</v>
      </c>
      <c r="C51" s="1886"/>
      <c r="D51" s="1001">
        <f t="shared" si="7"/>
        <v>0</v>
      </c>
      <c r="E51" s="702"/>
      <c r="F51" s="1674"/>
      <c r="G51" s="999" t="str">
        <f t="shared" ref="G51:G58" si="12">H51</f>
        <v>——</v>
      </c>
      <c r="H51" s="1002" t="str">
        <f t="shared" si="8"/>
        <v>——</v>
      </c>
      <c r="I51" s="3065">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6">
      <c r="A52" s="3067" t="s">
        <v>3268</v>
      </c>
      <c r="B52" s="1261">
        <f>估价对象房地状况!C19</f>
        <v>0</v>
      </c>
      <c r="C52" s="1886"/>
      <c r="D52" s="1001">
        <f t="shared" si="7"/>
        <v>0</v>
      </c>
      <c r="E52" s="702"/>
      <c r="F52" s="1674"/>
      <c r="G52" s="999" t="str">
        <f t="shared" si="12"/>
        <v>——</v>
      </c>
      <c r="H52" s="1002" t="str">
        <f t="shared" si="8"/>
        <v>——</v>
      </c>
      <c r="I52" s="3065">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6.75">
      <c r="A53" s="1969" t="s">
        <v>2051</v>
      </c>
      <c r="B53" s="1973" t="s">
        <v>2052</v>
      </c>
      <c r="C53" s="1886"/>
      <c r="D53" s="1001">
        <f t="shared" si="7"/>
        <v>0</v>
      </c>
      <c r="E53" s="702"/>
      <c r="F53" s="1674"/>
      <c r="G53" s="999" t="str">
        <f t="shared" si="12"/>
        <v>——</v>
      </c>
      <c r="H53" s="1002" t="str">
        <f t="shared" si="8"/>
        <v>——</v>
      </c>
      <c r="I53" s="3065">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4">
      <c r="A54" s="1969" t="s">
        <v>2053</v>
      </c>
      <c r="B54" s="1261">
        <f>估价对象房地状况!C24</f>
        <v>0</v>
      </c>
      <c r="C54" s="1886"/>
      <c r="D54" s="1001">
        <f t="shared" si="7"/>
        <v>0</v>
      </c>
      <c r="E54" s="702"/>
      <c r="F54" s="1674"/>
      <c r="G54" s="999" t="str">
        <f t="shared" si="12"/>
        <v>——</v>
      </c>
      <c r="H54" s="1002" t="str">
        <f t="shared" si="8"/>
        <v>——</v>
      </c>
      <c r="I54" s="3065">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4">
      <c r="A55" s="1969" t="s">
        <v>2054</v>
      </c>
      <c r="B55" s="1974" t="s">
        <v>2055</v>
      </c>
      <c r="C55" s="1886"/>
      <c r="D55" s="1001">
        <f t="shared" si="7"/>
        <v>0</v>
      </c>
      <c r="E55" s="702"/>
      <c r="F55" s="1674"/>
      <c r="G55" s="999" t="str">
        <f t="shared" si="12"/>
        <v>——</v>
      </c>
      <c r="H55" s="1002" t="str">
        <f t="shared" si="8"/>
        <v>——</v>
      </c>
      <c r="I55" s="3065">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5.5">
      <c r="A56" s="1975" t="s">
        <v>2056</v>
      </c>
      <c r="B56" s="1239" t="str">
        <f>估价对象房地状况!C21</f>
        <v>估价对象所在区域公共配套设施齐备情况</v>
      </c>
      <c r="C56" s="1886"/>
      <c r="D56" s="1001">
        <f t="shared" si="7"/>
        <v>0</v>
      </c>
      <c r="E56" s="702"/>
      <c r="F56" s="1674"/>
      <c r="G56" s="999" t="str">
        <f t="shared" si="12"/>
        <v>——</v>
      </c>
      <c r="H56" s="1002" t="str">
        <f t="shared" si="8"/>
        <v>——</v>
      </c>
      <c r="I56" s="3065">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5.5">
      <c r="A57" s="1975" t="s">
        <v>2057</v>
      </c>
      <c r="B57" s="1261" t="str">
        <f>估价对象房地状况!C22</f>
        <v>估价对象所在区域基础设施水平</v>
      </c>
      <c r="C57" s="1886"/>
      <c r="D57" s="1001">
        <f t="shared" si="7"/>
        <v>0</v>
      </c>
      <c r="E57" s="702"/>
      <c r="F57" s="1674"/>
      <c r="G57" s="999" t="str">
        <f t="shared" si="12"/>
        <v>——</v>
      </c>
      <c r="H57" s="1002" t="str">
        <f t="shared" si="8"/>
        <v>——</v>
      </c>
      <c r="I57" s="3065">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6.25" thickBot="1">
      <c r="A58" s="1976" t="s">
        <v>2058</v>
      </c>
      <c r="B58" s="1977" t="str">
        <f>估价对象房地状况!C20</f>
        <v>区域自然环境：；人文环境；综合评价环境状况一般</v>
      </c>
      <c r="C58" s="1886"/>
      <c r="D58" s="1001">
        <f t="shared" si="7"/>
        <v>0</v>
      </c>
      <c r="E58" s="703"/>
      <c r="F58" s="1674"/>
      <c r="G58" s="999" t="str">
        <f t="shared" si="12"/>
        <v>——</v>
      </c>
      <c r="H58" s="1002" t="str">
        <f t="shared" si="8"/>
        <v>——</v>
      </c>
      <c r="I58" s="3066">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5">
      <c r="A59" s="1966" t="s">
        <v>2059</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2041</v>
      </c>
      <c r="B60" s="1261"/>
      <c r="C60" s="1261" t="s">
        <v>2043</v>
      </c>
      <c r="D60" s="1261" t="s">
        <v>2044</v>
      </c>
      <c r="E60" s="700" t="s">
        <v>2045</v>
      </c>
      <c r="F60" s="1970" t="s">
        <v>2060</v>
      </c>
      <c r="G60" s="1261" t="s">
        <v>310</v>
      </c>
      <c r="H60" s="1971" t="s">
        <v>2047</v>
      </c>
      <c r="I60" s="1261" t="s">
        <v>2048</v>
      </c>
      <c r="J60" s="529" t="s">
        <v>1718</v>
      </c>
      <c r="K60" s="529" t="s">
        <v>1719</v>
      </c>
      <c r="L60" s="529" t="s">
        <v>1720</v>
      </c>
      <c r="M60" s="529" t="s">
        <v>1721</v>
      </c>
      <c r="N60" s="529" t="s">
        <v>1722</v>
      </c>
      <c r="AA60" s="1056"/>
      <c r="AB60" s="1056"/>
      <c r="AC60" s="1056"/>
      <c r="AD60" s="1056"/>
      <c r="AE60" s="1056"/>
      <c r="AF60" s="1056"/>
      <c r="AG60" s="1056"/>
      <c r="AH60" s="1056"/>
      <c r="AI60" s="1056"/>
      <c r="AJ60" s="1056"/>
      <c r="AK60" s="1056"/>
    </row>
    <row r="61" spans="1:37" s="1055" customFormat="1" ht="38.25">
      <c r="A61" s="1969" t="s">
        <v>2061</v>
      </c>
      <c r="B61" s="1972" t="str">
        <f>估价对象房地状况!C17</f>
        <v>估价对象位于XX商圈，周边办公楼项目较多，入驻率高，办公集聚程度较好</v>
      </c>
      <c r="C61" s="1886"/>
      <c r="D61" s="1001">
        <f t="shared" ref="D61:D69" si="13">SUMIF($J$60:$N$60,C61,J61:N61)</f>
        <v>0</v>
      </c>
      <c r="E61" s="701">
        <f>ROUND(SUM(D61:D69),4)</f>
        <v>0</v>
      </c>
      <c r="F61" s="1674" t="str">
        <f>IF(E2="办公",SUMIF(L1:L12,G2,N1:N12),"——")</f>
        <v>——</v>
      </c>
      <c r="G61" s="999"/>
      <c r="H61" s="1002" t="str">
        <f t="shared" ref="H61:H69" si="14">IFERROR(ROUNDDOWN($F$61*I61/2,4),"——")</f>
        <v>——</v>
      </c>
      <c r="I61" s="3065">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38.25">
      <c r="A62" s="1969" t="s">
        <v>2050</v>
      </c>
      <c r="B62" s="1261" t="str">
        <f>估价对象房地状况!C18</f>
        <v>估价对象周边道路状况、公共交通通达情况、停车便捷程度，综合评价交通便捷度较好</v>
      </c>
      <c r="C62" s="1886"/>
      <c r="D62" s="1001">
        <f t="shared" si="13"/>
        <v>0</v>
      </c>
      <c r="E62" s="702"/>
      <c r="F62" s="1674"/>
      <c r="G62" s="999"/>
      <c r="H62" s="1002" t="str">
        <f t="shared" si="14"/>
        <v>——</v>
      </c>
      <c r="I62" s="3065">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7" t="s">
        <v>3268</v>
      </c>
      <c r="B63" s="1261">
        <f>估价对象房地状况!C19</f>
        <v>0</v>
      </c>
      <c r="C63" s="1886"/>
      <c r="D63" s="1001">
        <f t="shared" si="13"/>
        <v>0</v>
      </c>
      <c r="E63" s="702"/>
      <c r="F63" s="1674"/>
      <c r="G63" s="999"/>
      <c r="H63" s="1002" t="str">
        <f t="shared" si="14"/>
        <v>——</v>
      </c>
      <c r="I63" s="3065">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2051</v>
      </c>
      <c r="B64" s="1973" t="s">
        <v>2052</v>
      </c>
      <c r="C64" s="1886"/>
      <c r="D64" s="1001">
        <f t="shared" si="13"/>
        <v>0</v>
      </c>
      <c r="E64" s="702"/>
      <c r="F64" s="1674"/>
      <c r="G64" s="999"/>
      <c r="H64" s="1002" t="str">
        <f t="shared" si="14"/>
        <v>——</v>
      </c>
      <c r="I64" s="3065">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2053</v>
      </c>
      <c r="B65" s="1261">
        <f>估价对象房地状况!C24</f>
        <v>0</v>
      </c>
      <c r="C65" s="1886"/>
      <c r="D65" s="1001">
        <f t="shared" si="13"/>
        <v>0</v>
      </c>
      <c r="E65" s="702"/>
      <c r="F65" s="1674"/>
      <c r="G65" s="999"/>
      <c r="H65" s="1002" t="str">
        <f t="shared" si="14"/>
        <v>——</v>
      </c>
      <c r="I65" s="3065">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2054</v>
      </c>
      <c r="B66" s="1974" t="s">
        <v>2055</v>
      </c>
      <c r="C66" s="1886"/>
      <c r="D66" s="1001">
        <f t="shared" si="13"/>
        <v>0</v>
      </c>
      <c r="E66" s="702"/>
      <c r="F66" s="1674"/>
      <c r="G66" s="999"/>
      <c r="H66" s="1002" t="str">
        <f t="shared" si="14"/>
        <v>——</v>
      </c>
      <c r="I66" s="3065">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5.5">
      <c r="A67" s="1969" t="s">
        <v>2056</v>
      </c>
      <c r="B67" s="1239" t="str">
        <f>估价对象房地状况!C21</f>
        <v>估价对象所在区域公共配套设施齐备情况</v>
      </c>
      <c r="C67" s="1886"/>
      <c r="D67" s="1001">
        <f t="shared" si="13"/>
        <v>0</v>
      </c>
      <c r="E67" s="702"/>
      <c r="F67" s="1674"/>
      <c r="G67" s="999"/>
      <c r="H67" s="1002" t="str">
        <f t="shared" si="14"/>
        <v>——</v>
      </c>
      <c r="I67" s="3065">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5.5">
      <c r="A68" s="1969" t="s">
        <v>2057</v>
      </c>
      <c r="B68" s="1239" t="str">
        <f>估价对象房地状况!C22</f>
        <v>估价对象所在区域基础设施水平</v>
      </c>
      <c r="C68" s="1886"/>
      <c r="D68" s="1001">
        <f t="shared" si="13"/>
        <v>0</v>
      </c>
      <c r="E68" s="702"/>
      <c r="F68" s="1674"/>
      <c r="G68" s="999"/>
      <c r="H68" s="1002" t="str">
        <f t="shared" si="14"/>
        <v>——</v>
      </c>
      <c r="I68" s="3065">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6.25" thickBot="1">
      <c r="A69" s="1976" t="s">
        <v>2058</v>
      </c>
      <c r="B69" s="1978" t="str">
        <f>估价对象房地状况!C20</f>
        <v>区域自然环境：；人文环境；综合评价环境状况一般</v>
      </c>
      <c r="C69" s="1886"/>
      <c r="D69" s="1001">
        <f t="shared" si="13"/>
        <v>0</v>
      </c>
      <c r="E69" s="703"/>
      <c r="F69" s="1674"/>
      <c r="G69" s="999"/>
      <c r="H69" s="1002" t="str">
        <f t="shared" si="14"/>
        <v>——</v>
      </c>
      <c r="I69" s="3066">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2062</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2041</v>
      </c>
      <c r="B71" s="1261"/>
      <c r="C71" s="1261" t="s">
        <v>2043</v>
      </c>
      <c r="D71" s="1261" t="s">
        <v>2044</v>
      </c>
      <c r="E71" s="700" t="s">
        <v>2045</v>
      </c>
      <c r="F71" s="1970" t="s">
        <v>2060</v>
      </c>
      <c r="G71" s="1261" t="s">
        <v>310</v>
      </c>
      <c r="H71" s="1971" t="s">
        <v>2047</v>
      </c>
      <c r="I71" s="1261" t="s">
        <v>2048</v>
      </c>
      <c r="J71" s="529" t="s">
        <v>1718</v>
      </c>
      <c r="K71" s="529" t="s">
        <v>1719</v>
      </c>
      <c r="L71" s="529" t="s">
        <v>1720</v>
      </c>
      <c r="M71" s="529" t="s">
        <v>1721</v>
      </c>
      <c r="N71" s="529" t="s">
        <v>1722</v>
      </c>
      <c r="AA71" s="1056"/>
      <c r="AB71" s="1056"/>
      <c r="AC71" s="1056"/>
      <c r="AD71" s="1056"/>
      <c r="AE71" s="1056"/>
      <c r="AF71" s="1056"/>
      <c r="AG71" s="1056"/>
      <c r="AH71" s="1056"/>
      <c r="AI71" s="1056"/>
      <c r="AJ71" s="1056"/>
      <c r="AK71" s="1056"/>
    </row>
    <row r="72" spans="1:37" s="1055" customFormat="1" ht="51">
      <c r="A72" s="1969" t="s">
        <v>2063</v>
      </c>
      <c r="B72" s="1972" t="str">
        <f>估价对象房地状况!C15</f>
        <v>估价对象周边居住用地比例、居住小区规模和社区发展完善程度，综合评价居住社区成熟度一般</v>
      </c>
      <c r="C72" s="1886"/>
      <c r="D72" s="1001">
        <f t="shared" ref="D72:D80" si="18">SUMIF($J$71:$N$71,C72,J72:N72)</f>
        <v>0</v>
      </c>
      <c r="E72" s="701">
        <f>ROUND(SUM(D72:D80),4)</f>
        <v>0</v>
      </c>
      <c r="F72" s="1674" t="str">
        <f>IF(E2="住宅",SUMIF(L1:L12,G2,N1:N12),"——")</f>
        <v>——</v>
      </c>
      <c r="G72" s="999"/>
      <c r="H72" s="1002" t="str">
        <f t="shared" ref="H72:H80" si="19">IFERROR(ROUNDDOWN($F$72*I72/2,4),"——")</f>
        <v>——</v>
      </c>
      <c r="I72" s="3065">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2050</v>
      </c>
      <c r="B73" s="1261" t="str">
        <f>估价对象房地状况!C18</f>
        <v>估价对象周边道路状况、公共交通通达情况、停车便捷程度，综合评价交通便捷度较好</v>
      </c>
      <c r="C73" s="1886"/>
      <c r="D73" s="1001">
        <f t="shared" si="18"/>
        <v>0</v>
      </c>
      <c r="E73" s="704"/>
      <c r="F73" s="1674"/>
      <c r="G73" s="999"/>
      <c r="H73" s="1002" t="str">
        <f t="shared" si="19"/>
        <v>——</v>
      </c>
      <c r="I73" s="3065">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7" t="s">
        <v>3268</v>
      </c>
      <c r="B74" s="1261">
        <f>估价对象房地状况!C19</f>
        <v>0</v>
      </c>
      <c r="C74" s="1886"/>
      <c r="D74" s="1001">
        <f t="shared" si="18"/>
        <v>0</v>
      </c>
      <c r="E74" s="704"/>
      <c r="F74" s="1674"/>
      <c r="G74" s="999"/>
      <c r="H74" s="1002" t="str">
        <f t="shared" si="19"/>
        <v>——</v>
      </c>
      <c r="I74" s="3065">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2064</v>
      </c>
      <c r="B75" s="1261">
        <f>估价对象房地状况!C24</f>
        <v>0</v>
      </c>
      <c r="C75" s="1886"/>
      <c r="D75" s="1001">
        <f t="shared" si="18"/>
        <v>0</v>
      </c>
      <c r="E75" s="704"/>
      <c r="F75" s="1674"/>
      <c r="G75" s="999"/>
      <c r="H75" s="1002" t="str">
        <f t="shared" si="19"/>
        <v>——</v>
      </c>
      <c r="I75" s="3065">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2056</v>
      </c>
      <c r="B76" s="1239" t="str">
        <f>估价对象房地状况!C21</f>
        <v>估价对象所在区域公共配套设施齐备情况</v>
      </c>
      <c r="C76" s="1886"/>
      <c r="D76" s="1001">
        <f t="shared" si="18"/>
        <v>0</v>
      </c>
      <c r="E76" s="704"/>
      <c r="F76" s="1674"/>
      <c r="G76" s="999"/>
      <c r="H76" s="1002" t="str">
        <f t="shared" si="19"/>
        <v>——</v>
      </c>
      <c r="I76" s="3065">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2057</v>
      </c>
      <c r="B77" s="1239" t="str">
        <f>估价对象房地状况!C22</f>
        <v>估价对象所在区域基础设施水平</v>
      </c>
      <c r="C77" s="1886"/>
      <c r="D77" s="1001">
        <f t="shared" si="18"/>
        <v>0</v>
      </c>
      <c r="E77" s="704"/>
      <c r="F77" s="1674"/>
      <c r="G77" s="999"/>
      <c r="H77" s="1002" t="str">
        <f t="shared" si="19"/>
        <v>——</v>
      </c>
      <c r="I77" s="3065">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2054</v>
      </c>
      <c r="B78" s="1974" t="s">
        <v>2055</v>
      </c>
      <c r="C78" s="1886"/>
      <c r="D78" s="1001">
        <f t="shared" si="18"/>
        <v>0</v>
      </c>
      <c r="E78" s="704"/>
      <c r="F78" s="1674"/>
      <c r="G78" s="999"/>
      <c r="H78" s="1002" t="str">
        <f t="shared" si="19"/>
        <v>——</v>
      </c>
      <c r="I78" s="3065">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2058</v>
      </c>
      <c r="B79" s="1972" t="str">
        <f>估价对象房地状况!C20</f>
        <v>区域自然环境：；人文环境；综合评价环境状况一般</v>
      </c>
      <c r="C79" s="1886"/>
      <c r="D79" s="1001">
        <f t="shared" si="18"/>
        <v>0</v>
      </c>
      <c r="E79" s="704"/>
      <c r="F79" s="1674"/>
      <c r="G79" s="999"/>
      <c r="H79" s="1002" t="str">
        <f t="shared" si="19"/>
        <v>——</v>
      </c>
      <c r="I79" s="3065">
        <v>0.12</v>
      </c>
      <c r="J79" s="1000">
        <f t="shared" si="20"/>
        <v>0</v>
      </c>
      <c r="K79" s="1000">
        <f t="shared" si="21"/>
        <v>0</v>
      </c>
      <c r="L79" s="1000">
        <v>0</v>
      </c>
      <c r="M79" s="1000">
        <f t="shared" si="22"/>
        <v>0</v>
      </c>
      <c r="N79" s="1000">
        <f t="shared" si="22"/>
        <v>0</v>
      </c>
      <c r="Z79" s="1844"/>
      <c r="AA79" s="1894"/>
      <c r="AG79" s="1057"/>
      <c r="AK79" s="1894"/>
    </row>
    <row r="80" spans="1:37" ht="24.75" thickBot="1">
      <c r="A80" s="1976" t="s">
        <v>2065</v>
      </c>
      <c r="B80" s="1980"/>
      <c r="C80" s="1886"/>
      <c r="D80" s="1001">
        <f t="shared" si="18"/>
        <v>0</v>
      </c>
      <c r="E80" s="705"/>
      <c r="F80" s="1674"/>
      <c r="G80" s="999"/>
      <c r="H80" s="1002" t="str">
        <f t="shared" si="19"/>
        <v>——</v>
      </c>
      <c r="I80" s="3066">
        <v>0.05</v>
      </c>
      <c r="J80" s="1000">
        <f t="shared" si="20"/>
        <v>0</v>
      </c>
      <c r="K80" s="1000">
        <f t="shared" si="21"/>
        <v>0</v>
      </c>
      <c r="L80" s="1000">
        <v>0</v>
      </c>
      <c r="M80" s="1000">
        <f t="shared" si="22"/>
        <v>0</v>
      </c>
      <c r="N80" s="1000">
        <f t="shared" si="22"/>
        <v>0</v>
      </c>
      <c r="Z80" s="1844"/>
      <c r="AA80" s="1894"/>
      <c r="AG80" s="1057"/>
      <c r="AK80" s="1894"/>
    </row>
    <row r="81" spans="1:37" ht="15">
      <c r="A81" s="1966" t="s">
        <v>2066</v>
      </c>
      <c r="B81" s="1967">
        <f>1+E83</f>
        <v>1.0278</v>
      </c>
      <c r="C81" s="698"/>
      <c r="D81" s="698"/>
      <c r="E81" s="699"/>
      <c r="F81" s="1968"/>
      <c r="G81" s="3"/>
      <c r="H81" s="3"/>
      <c r="I81" s="3"/>
      <c r="J81" s="4"/>
      <c r="K81" s="4"/>
      <c r="L81" s="4"/>
      <c r="M81" s="4"/>
      <c r="N81" s="4"/>
      <c r="Z81" s="1844"/>
      <c r="AA81" s="1894"/>
      <c r="AG81" s="1057"/>
      <c r="AK81" s="1894"/>
    </row>
    <row r="82" spans="1:37" ht="24.75">
      <c r="A82" s="1969" t="s">
        <v>2041</v>
      </c>
      <c r="B82" s="1261"/>
      <c r="C82" s="1261" t="s">
        <v>2043</v>
      </c>
      <c r="D82" s="1261" t="s">
        <v>2044</v>
      </c>
      <c r="E82" s="700" t="s">
        <v>2045</v>
      </c>
      <c r="F82" s="1970" t="s">
        <v>2060</v>
      </c>
      <c r="G82" s="1261" t="s">
        <v>310</v>
      </c>
      <c r="H82" s="1971" t="s">
        <v>2047</v>
      </c>
      <c r="I82" s="1261" t="s">
        <v>2048</v>
      </c>
      <c r="J82" s="529" t="s">
        <v>1718</v>
      </c>
      <c r="K82" s="529" t="s">
        <v>1719</v>
      </c>
      <c r="L82" s="529" t="s">
        <v>1720</v>
      </c>
      <c r="M82" s="529" t="s">
        <v>1721</v>
      </c>
      <c r="N82" s="529" t="s">
        <v>1722</v>
      </c>
      <c r="Z82" s="1844"/>
      <c r="AA82" s="1894"/>
      <c r="AG82" s="1057"/>
      <c r="AK82" s="1894"/>
    </row>
    <row r="83" spans="1:37" ht="38.25">
      <c r="A83" s="1969" t="s">
        <v>2067</v>
      </c>
      <c r="B83" s="1261" t="str">
        <f>估价对象房地状况!G15</f>
        <v>估价对象位于XX开发区，园区建设成熟度XX，产业集聚程度XX</v>
      </c>
      <c r="C83" s="1886" t="s">
        <v>3409</v>
      </c>
      <c r="D83" s="1001">
        <f t="shared" ref="D83:D90" si="23">SUMIF($J$82:$N$82,C83,J83:N83)</f>
        <v>1.95E-2</v>
      </c>
      <c r="E83" s="701">
        <f>ROUND(SUM(D83:D90),4)</f>
        <v>2.7799999999999998E-2</v>
      </c>
      <c r="F83" s="1674">
        <f>IF(E2="工业",SUMIF(L1:L12,G2,N1:N12),"——")</f>
        <v>0.15</v>
      </c>
      <c r="G83" s="999">
        <f>H83</f>
        <v>1.95E-2</v>
      </c>
      <c r="H83" s="1002">
        <f t="shared" ref="H83:H90" si="24">IFERROR(ROUNDDOWN($F$83*I83/2,4),"——")</f>
        <v>1.95E-2</v>
      </c>
      <c r="I83" s="3065">
        <v>0.26</v>
      </c>
      <c r="J83" s="1000">
        <f t="shared" ref="J83:J90" si="25">K83+$G83</f>
        <v>3.9E-2</v>
      </c>
      <c r="K83" s="1000">
        <f t="shared" ref="K83:K90" si="26">$L83+$G83</f>
        <v>1.95E-2</v>
      </c>
      <c r="L83" s="1000">
        <v>0</v>
      </c>
      <c r="M83" s="1000">
        <f t="shared" ref="M83:N90" si="27">L83-$G83</f>
        <v>-1.95E-2</v>
      </c>
      <c r="N83" s="1000">
        <f t="shared" si="27"/>
        <v>-3.9E-2</v>
      </c>
      <c r="Z83" s="1844"/>
      <c r="AA83" s="1894"/>
      <c r="AG83" s="1057"/>
      <c r="AK83" s="1894"/>
    </row>
    <row r="84" spans="1:37" ht="38.25">
      <c r="A84" s="1969" t="s">
        <v>2050</v>
      </c>
      <c r="B84" s="1261" t="str">
        <f>估价对象房地状况!G16</f>
        <v>估价对象周边道路状况、公共交通通达情况、停车便捷程度，综合评价交通便捷度较好</v>
      </c>
      <c r="C84" s="1886" t="s">
        <v>3408</v>
      </c>
      <c r="D84" s="1001">
        <f t="shared" si="23"/>
        <v>0</v>
      </c>
      <c r="E84" s="704"/>
      <c r="F84" s="1674"/>
      <c r="G84" s="999">
        <f t="shared" ref="G84:G90" si="28">H84</f>
        <v>2.2499999999999999E-2</v>
      </c>
      <c r="H84" s="1002">
        <f t="shared" si="24"/>
        <v>2.2499999999999999E-2</v>
      </c>
      <c r="I84" s="3065">
        <v>0.3</v>
      </c>
      <c r="J84" s="1000">
        <f t="shared" si="25"/>
        <v>4.4999999999999998E-2</v>
      </c>
      <c r="K84" s="1000">
        <f t="shared" si="26"/>
        <v>2.2499999999999999E-2</v>
      </c>
      <c r="L84" s="1000">
        <v>0</v>
      </c>
      <c r="M84" s="1000">
        <f t="shared" si="27"/>
        <v>-2.2499999999999999E-2</v>
      </c>
      <c r="N84" s="1000">
        <f t="shared" si="27"/>
        <v>-4.4999999999999998E-2</v>
      </c>
      <c r="Z84" s="1844"/>
      <c r="AA84" s="1894"/>
      <c r="AG84" s="1057"/>
      <c r="AK84" s="1894"/>
    </row>
    <row r="85" spans="1:37" ht="36">
      <c r="A85" s="3067" t="s">
        <v>3269</v>
      </c>
      <c r="B85" s="1261">
        <f>估价对象房地状况!G17</f>
        <v>0</v>
      </c>
      <c r="C85" s="1886" t="s">
        <v>3409</v>
      </c>
      <c r="D85" s="1001">
        <f t="shared" si="23"/>
        <v>7.4999999999999997E-3</v>
      </c>
      <c r="E85" s="704"/>
      <c r="F85" s="1674"/>
      <c r="G85" s="999">
        <f t="shared" si="28"/>
        <v>7.4999999999999997E-3</v>
      </c>
      <c r="H85" s="1002">
        <f t="shared" si="24"/>
        <v>7.4999999999999997E-3</v>
      </c>
      <c r="I85" s="3065">
        <v>0.1</v>
      </c>
      <c r="J85" s="1000">
        <f t="shared" si="25"/>
        <v>1.4999999999999999E-2</v>
      </c>
      <c r="K85" s="1000">
        <f t="shared" si="26"/>
        <v>7.4999999999999997E-3</v>
      </c>
      <c r="L85" s="1000">
        <v>0</v>
      </c>
      <c r="M85" s="1000">
        <f t="shared" si="27"/>
        <v>-7.4999999999999997E-3</v>
      </c>
      <c r="N85" s="1000">
        <f t="shared" si="27"/>
        <v>-1.4999999999999999E-2</v>
      </c>
      <c r="Z85" s="1844"/>
      <c r="AA85" s="1894"/>
      <c r="AG85" s="1057"/>
      <c r="AK85" s="1894"/>
    </row>
    <row r="86" spans="1:37" ht="14.25">
      <c r="A86" s="1969" t="s">
        <v>2064</v>
      </c>
      <c r="B86" s="1261">
        <f>估价对象房地状况!G22</f>
        <v>0</v>
      </c>
      <c r="C86" s="1886" t="s">
        <v>3485</v>
      </c>
      <c r="D86" s="1001">
        <f t="shared" si="23"/>
        <v>-3.7000000000000002E-3</v>
      </c>
      <c r="E86" s="704"/>
      <c r="F86" s="1674"/>
      <c r="G86" s="999">
        <f t="shared" si="28"/>
        <v>3.7000000000000002E-3</v>
      </c>
      <c r="H86" s="1002">
        <f t="shared" si="24"/>
        <v>3.7000000000000002E-3</v>
      </c>
      <c r="I86" s="3065">
        <v>0.05</v>
      </c>
      <c r="J86" s="1000">
        <f t="shared" si="25"/>
        <v>7.4000000000000003E-3</v>
      </c>
      <c r="K86" s="1000">
        <f t="shared" si="26"/>
        <v>3.7000000000000002E-3</v>
      </c>
      <c r="L86" s="1000">
        <v>0</v>
      </c>
      <c r="M86" s="1000">
        <f t="shared" si="27"/>
        <v>-3.7000000000000002E-3</v>
      </c>
      <c r="N86" s="1000">
        <f t="shared" si="27"/>
        <v>-7.4000000000000003E-3</v>
      </c>
      <c r="Z86" s="1844"/>
      <c r="AA86" s="1894"/>
      <c r="AG86" s="1057"/>
      <c r="AK86" s="1894"/>
    </row>
    <row r="87" spans="1:37" ht="25.5">
      <c r="A87" s="1969" t="s">
        <v>2056</v>
      </c>
      <c r="B87" s="1239" t="str">
        <f>估价对象房地状况!G19</f>
        <v>估价对象所在区域公共配套设施齐备情况</v>
      </c>
      <c r="C87" s="1886" t="s">
        <v>3408</v>
      </c>
      <c r="D87" s="1001">
        <f t="shared" si="23"/>
        <v>0</v>
      </c>
      <c r="E87" s="704"/>
      <c r="F87" s="1674"/>
      <c r="G87" s="999">
        <f t="shared" si="28"/>
        <v>4.4999999999999997E-3</v>
      </c>
      <c r="H87" s="1002">
        <f t="shared" si="24"/>
        <v>4.4999999999999997E-3</v>
      </c>
      <c r="I87" s="3065">
        <v>0.06</v>
      </c>
      <c r="J87" s="1000">
        <f t="shared" si="25"/>
        <v>8.9999999999999993E-3</v>
      </c>
      <c r="K87" s="1000">
        <f t="shared" si="26"/>
        <v>4.4999999999999997E-3</v>
      </c>
      <c r="L87" s="1000">
        <v>0</v>
      </c>
      <c r="M87" s="1000">
        <f t="shared" si="27"/>
        <v>-4.4999999999999997E-3</v>
      </c>
      <c r="N87" s="1000">
        <f t="shared" si="27"/>
        <v>-8.9999999999999993E-3</v>
      </c>
    </row>
    <row r="88" spans="1:37" ht="25.5">
      <c r="A88" s="1969" t="s">
        <v>2057</v>
      </c>
      <c r="B88" s="1239" t="str">
        <f>估价对象房地状况!G20</f>
        <v>估价对象所在区域基础设施水平</v>
      </c>
      <c r="C88" s="1886" t="s">
        <v>3408</v>
      </c>
      <c r="D88" s="1001">
        <f t="shared" si="23"/>
        <v>0</v>
      </c>
      <c r="E88" s="704"/>
      <c r="F88" s="1674"/>
      <c r="G88" s="999">
        <f t="shared" si="28"/>
        <v>8.9999999999999993E-3</v>
      </c>
      <c r="H88" s="1002">
        <f t="shared" si="24"/>
        <v>8.9999999999999993E-3</v>
      </c>
      <c r="I88" s="3065">
        <v>0.12</v>
      </c>
      <c r="J88" s="1000">
        <f t="shared" si="25"/>
        <v>1.7999999999999999E-2</v>
      </c>
      <c r="K88" s="1000">
        <f t="shared" si="26"/>
        <v>8.9999999999999993E-3</v>
      </c>
      <c r="L88" s="1000">
        <v>0</v>
      </c>
      <c r="M88" s="1000">
        <f t="shared" si="27"/>
        <v>-8.9999999999999993E-3</v>
      </c>
      <c r="N88" s="1000">
        <f t="shared" si="27"/>
        <v>-1.7999999999999999E-2</v>
      </c>
    </row>
    <row r="89" spans="1:37" ht="24">
      <c r="A89" s="1969" t="s">
        <v>2054</v>
      </c>
      <c r="B89" s="1974" t="s">
        <v>2068</v>
      </c>
      <c r="C89" s="1886" t="s">
        <v>3409</v>
      </c>
      <c r="D89" s="1001">
        <f t="shared" si="23"/>
        <v>4.4999999999999997E-3</v>
      </c>
      <c r="E89" s="704"/>
      <c r="F89" s="1674"/>
      <c r="G89" s="999">
        <f t="shared" si="28"/>
        <v>4.4999999999999997E-3</v>
      </c>
      <c r="H89" s="1002">
        <f t="shared" si="24"/>
        <v>4.4999999999999997E-3</v>
      </c>
      <c r="I89" s="3065">
        <v>0.06</v>
      </c>
      <c r="J89" s="1000">
        <f t="shared" si="25"/>
        <v>8.9999999999999993E-3</v>
      </c>
      <c r="K89" s="1000">
        <f t="shared" si="26"/>
        <v>4.4999999999999997E-3</v>
      </c>
      <c r="L89" s="1000">
        <v>0</v>
      </c>
      <c r="M89" s="1000">
        <f t="shared" si="27"/>
        <v>-4.4999999999999997E-3</v>
      </c>
      <c r="N89" s="1000">
        <f t="shared" si="27"/>
        <v>-8.9999999999999993E-3</v>
      </c>
    </row>
    <row r="90" spans="1:37" ht="39" thickBot="1">
      <c r="A90" s="1976" t="s">
        <v>2069</v>
      </c>
      <c r="B90" s="1981" t="str">
        <f>估价对象房地状况!G18</f>
        <v>该园区内是否有污染型企业，绿化情况，卫生条件，整体环境状况判断</v>
      </c>
      <c r="C90" s="1886" t="s">
        <v>3408</v>
      </c>
      <c r="D90" s="1001">
        <f t="shared" si="23"/>
        <v>0</v>
      </c>
      <c r="E90" s="705"/>
      <c r="F90" s="1674"/>
      <c r="G90" s="999">
        <f t="shared" si="28"/>
        <v>3.7000000000000002E-3</v>
      </c>
      <c r="H90" s="1002">
        <f t="shared" si="24"/>
        <v>3.7000000000000002E-3</v>
      </c>
      <c r="I90" s="3066">
        <v>0.05</v>
      </c>
      <c r="J90" s="1000">
        <f t="shared" si="25"/>
        <v>7.4000000000000003E-3</v>
      </c>
      <c r="K90" s="1000">
        <f t="shared" si="26"/>
        <v>3.7000000000000002E-3</v>
      </c>
      <c r="L90" s="1000">
        <v>0</v>
      </c>
      <c r="M90" s="1000">
        <f t="shared" si="27"/>
        <v>-3.7000000000000002E-3</v>
      </c>
      <c r="N90" s="1000">
        <f t="shared" si="27"/>
        <v>-7.4000000000000003E-3</v>
      </c>
    </row>
    <row r="91" spans="1:37" ht="15">
      <c r="A91" s="3075" t="s">
        <v>2612</v>
      </c>
      <c r="B91" s="3076">
        <f>1+E93</f>
        <v>1</v>
      </c>
      <c r="C91" s="3069"/>
      <c r="D91" s="3070"/>
      <c r="E91" s="1674"/>
      <c r="F91" s="1674"/>
      <c r="G91" s="3071"/>
      <c r="H91" s="3072"/>
      <c r="I91" s="3073"/>
      <c r="J91" s="3074"/>
      <c r="K91" s="3074"/>
      <c r="L91" s="3074"/>
      <c r="M91" s="3074"/>
      <c r="N91" s="3074"/>
    </row>
    <row r="92" spans="1:37" ht="24.75">
      <c r="A92" s="3077" t="s">
        <v>3270</v>
      </c>
      <c r="B92" s="2307"/>
      <c r="C92" s="2307" t="s">
        <v>3279</v>
      </c>
      <c r="D92" s="2307" t="s">
        <v>3280</v>
      </c>
      <c r="E92" s="3049" t="s">
        <v>3281</v>
      </c>
      <c r="F92" s="3079" t="s">
        <v>3282</v>
      </c>
      <c r="G92" s="2307" t="s">
        <v>3283</v>
      </c>
      <c r="H92" s="3086" t="s">
        <v>3286</v>
      </c>
      <c r="I92" s="2307" t="s">
        <v>3287</v>
      </c>
      <c r="J92" s="2149" t="s">
        <v>3288</v>
      </c>
      <c r="K92" s="2149" t="s">
        <v>3289</v>
      </c>
      <c r="L92" s="2149" t="s">
        <v>3290</v>
      </c>
      <c r="M92" s="2149" t="s">
        <v>3291</v>
      </c>
      <c r="N92" s="2149" t="s">
        <v>3292</v>
      </c>
    </row>
    <row r="93" spans="1:37" ht="24">
      <c r="A93" s="3067" t="s">
        <v>3271</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9">K93+$G93</f>
        <v>0</v>
      </c>
      <c r="K93" s="1911">
        <f t="shared" ref="K93:K101" si="30">$L93+$G93</f>
        <v>0</v>
      </c>
      <c r="L93" s="1911">
        <v>0</v>
      </c>
      <c r="M93" s="1911">
        <f t="shared" ref="M93:N101" si="31">L93-$G93</f>
        <v>0</v>
      </c>
      <c r="N93" s="1911">
        <f t="shared" si="31"/>
        <v>0</v>
      </c>
    </row>
    <row r="94" spans="1:37" ht="38.25">
      <c r="A94" s="3077" t="s">
        <v>3272</v>
      </c>
      <c r="B94" s="3068" t="str">
        <f>估价对象房地状况!C18</f>
        <v>估价对象周边道路状况、公共交通通达情况、停车便捷程度，综合评价交通便捷度较好</v>
      </c>
      <c r="C94" s="1886"/>
      <c r="D94" s="2307">
        <f t="shared" ref="D94:D101" si="32">SUMIF($J$60:$N$60,C94,J94:N94)</f>
        <v>0</v>
      </c>
      <c r="E94" s="3081"/>
      <c r="F94" s="1674"/>
      <c r="G94" s="3071"/>
      <c r="H94" s="3116" t="str">
        <f>IFERROR(ROUNDDOWN($F$93*I94/2,4),"——")</f>
        <v>——</v>
      </c>
      <c r="I94" s="3065">
        <v>0.26</v>
      </c>
      <c r="J94" s="1911">
        <f t="shared" si="29"/>
        <v>0</v>
      </c>
      <c r="K94" s="1911">
        <f t="shared" si="30"/>
        <v>0</v>
      </c>
      <c r="L94" s="1911">
        <v>0</v>
      </c>
      <c r="M94" s="1911">
        <f t="shared" si="31"/>
        <v>0</v>
      </c>
      <c r="N94" s="1911">
        <f t="shared" si="31"/>
        <v>0</v>
      </c>
    </row>
    <row r="95" spans="1:37" ht="36">
      <c r="A95" s="3067" t="s">
        <v>3268</v>
      </c>
      <c r="B95" s="3068">
        <f>估价对象房地状况!C19</f>
        <v>0</v>
      </c>
      <c r="C95" s="1886"/>
      <c r="D95" s="2307">
        <f t="shared" si="32"/>
        <v>0</v>
      </c>
      <c r="E95" s="3081"/>
      <c r="F95" s="1674"/>
      <c r="G95" s="3071"/>
      <c r="H95" s="3116" t="str">
        <f t="shared" ref="H95:H101" si="33">IFERROR(ROUNDDOWN($F$93*I95/2,4),"——")</f>
        <v>——</v>
      </c>
      <c r="I95" s="3065">
        <v>0.11</v>
      </c>
      <c r="J95" s="1911">
        <f t="shared" si="29"/>
        <v>0</v>
      </c>
      <c r="K95" s="1911">
        <f t="shared" si="30"/>
        <v>0</v>
      </c>
      <c r="L95" s="1911">
        <v>0</v>
      </c>
      <c r="M95" s="1911">
        <f t="shared" si="31"/>
        <v>0</v>
      </c>
      <c r="N95" s="1911">
        <f t="shared" si="31"/>
        <v>0</v>
      </c>
    </row>
    <row r="96" spans="1:37" ht="36.75">
      <c r="A96" s="3077" t="s">
        <v>3273</v>
      </c>
      <c r="B96" s="3083" t="s">
        <v>3284</v>
      </c>
      <c r="C96" s="1886"/>
      <c r="D96" s="2307">
        <f t="shared" si="32"/>
        <v>0</v>
      </c>
      <c r="E96" s="3081"/>
      <c r="F96" s="1674"/>
      <c r="G96" s="3071"/>
      <c r="H96" s="3116" t="str">
        <f t="shared" si="33"/>
        <v>——</v>
      </c>
      <c r="I96" s="3065">
        <v>0.05</v>
      </c>
      <c r="J96" s="1911">
        <f t="shared" si="29"/>
        <v>0</v>
      </c>
      <c r="K96" s="1911">
        <f t="shared" si="30"/>
        <v>0</v>
      </c>
      <c r="L96" s="1911">
        <v>0</v>
      </c>
      <c r="M96" s="1911">
        <f t="shared" si="31"/>
        <v>0</v>
      </c>
      <c r="N96" s="1911">
        <f t="shared" si="31"/>
        <v>0</v>
      </c>
    </row>
    <row r="97" spans="1:14" ht="24">
      <c r="A97" s="3077" t="s">
        <v>3274</v>
      </c>
      <c r="B97" s="3068">
        <f>估价对象房地状况!C24</f>
        <v>0</v>
      </c>
      <c r="C97" s="1886"/>
      <c r="D97" s="2307">
        <f t="shared" si="32"/>
        <v>0</v>
      </c>
      <c r="E97" s="3081"/>
      <c r="F97" s="1674"/>
      <c r="G97" s="3071"/>
      <c r="H97" s="3116" t="str">
        <f t="shared" si="33"/>
        <v>——</v>
      </c>
      <c r="I97" s="3065">
        <v>0.05</v>
      </c>
      <c r="J97" s="1911">
        <f t="shared" si="29"/>
        <v>0</v>
      </c>
      <c r="K97" s="1911">
        <f t="shared" si="30"/>
        <v>0</v>
      </c>
      <c r="L97" s="1911">
        <v>0</v>
      </c>
      <c r="M97" s="1911">
        <f t="shared" si="31"/>
        <v>0</v>
      </c>
      <c r="N97" s="1911">
        <f t="shared" si="31"/>
        <v>0</v>
      </c>
    </row>
    <row r="98" spans="1:14" ht="24">
      <c r="A98" s="3077" t="s">
        <v>3275</v>
      </c>
      <c r="B98" s="3084" t="s">
        <v>3285</v>
      </c>
      <c r="C98" s="1886"/>
      <c r="D98" s="2307">
        <f t="shared" si="32"/>
        <v>0</v>
      </c>
      <c r="E98" s="3081"/>
      <c r="F98" s="1674"/>
      <c r="G98" s="3071"/>
      <c r="H98" s="3116" t="str">
        <f t="shared" si="33"/>
        <v>——</v>
      </c>
      <c r="I98" s="3065">
        <v>0.06</v>
      </c>
      <c r="J98" s="1911">
        <f t="shared" si="29"/>
        <v>0</v>
      </c>
      <c r="K98" s="1911">
        <f t="shared" si="30"/>
        <v>0</v>
      </c>
      <c r="L98" s="1911">
        <v>0</v>
      </c>
      <c r="M98" s="1911">
        <f t="shared" si="31"/>
        <v>0</v>
      </c>
      <c r="N98" s="1911">
        <f t="shared" si="31"/>
        <v>0</v>
      </c>
    </row>
    <row r="99" spans="1:14" ht="25.5">
      <c r="A99" s="3077" t="s">
        <v>3276</v>
      </c>
      <c r="B99" s="3068" t="str">
        <f>估价对象房地状况!C21</f>
        <v>估价对象所在区域公共配套设施齐备情况</v>
      </c>
      <c r="C99" s="1886"/>
      <c r="D99" s="2307">
        <f t="shared" si="32"/>
        <v>0</v>
      </c>
      <c r="E99" s="3081"/>
      <c r="F99" s="1674"/>
      <c r="G99" s="3071"/>
      <c r="H99" s="3116" t="str">
        <f t="shared" si="33"/>
        <v>——</v>
      </c>
      <c r="I99" s="3065">
        <v>0.06</v>
      </c>
      <c r="J99" s="1911">
        <f t="shared" si="29"/>
        <v>0</v>
      </c>
      <c r="K99" s="1911">
        <f t="shared" si="30"/>
        <v>0</v>
      </c>
      <c r="L99" s="1911">
        <v>0</v>
      </c>
      <c r="M99" s="1911">
        <f t="shared" si="31"/>
        <v>0</v>
      </c>
      <c r="N99" s="1911">
        <f t="shared" si="31"/>
        <v>0</v>
      </c>
    </row>
    <row r="100" spans="1:14" ht="25.5">
      <c r="A100" s="3077" t="s">
        <v>3277</v>
      </c>
      <c r="B100" s="3068" t="str">
        <f>估价对象房地状况!C22</f>
        <v>估价对象所在区域基础设施水平</v>
      </c>
      <c r="C100" s="1886"/>
      <c r="D100" s="2307">
        <f t="shared" si="32"/>
        <v>0</v>
      </c>
      <c r="E100" s="3081"/>
      <c r="F100" s="1674"/>
      <c r="G100" s="3071"/>
      <c r="H100" s="3116" t="str">
        <f t="shared" si="33"/>
        <v>——</v>
      </c>
      <c r="I100" s="3065">
        <v>0.09</v>
      </c>
      <c r="J100" s="1911">
        <f t="shared" si="29"/>
        <v>0</v>
      </c>
      <c r="K100" s="1911">
        <f t="shared" si="30"/>
        <v>0</v>
      </c>
      <c r="L100" s="1911">
        <v>0</v>
      </c>
      <c r="M100" s="1911">
        <f t="shared" si="31"/>
        <v>0</v>
      </c>
      <c r="N100" s="1911">
        <f t="shared" si="31"/>
        <v>0</v>
      </c>
    </row>
    <row r="101" spans="1:14" ht="26.25" thickBot="1">
      <c r="A101" s="3078" t="s">
        <v>3278</v>
      </c>
      <c r="B101" s="3085" t="str">
        <f>估价对象房地状况!C20</f>
        <v>区域自然环境：；人文环境；综合评价环境状况一般</v>
      </c>
      <c r="C101" s="1886"/>
      <c r="D101" s="2307">
        <f t="shared" si="32"/>
        <v>0</v>
      </c>
      <c r="E101" s="3082"/>
      <c r="F101" s="1674"/>
      <c r="G101" s="3071"/>
      <c r="H101" s="3116" t="str">
        <f t="shared" si="33"/>
        <v>——</v>
      </c>
      <c r="I101" s="3066">
        <v>7.0000000000000007E-2</v>
      </c>
      <c r="J101" s="1911">
        <f t="shared" si="29"/>
        <v>0</v>
      </c>
      <c r="K101" s="1911">
        <f t="shared" si="30"/>
        <v>0</v>
      </c>
      <c r="L101" s="1911">
        <v>0</v>
      </c>
      <c r="M101" s="1911">
        <f t="shared" si="31"/>
        <v>0</v>
      </c>
      <c r="N101" s="1911">
        <f t="shared" si="31"/>
        <v>0</v>
      </c>
    </row>
    <row r="103" spans="1:14">
      <c r="A103" s="3432" t="s">
        <v>3293</v>
      </c>
      <c r="B103" s="3432"/>
      <c r="C103" s="3432"/>
      <c r="D103" s="3432"/>
      <c r="E103" s="3432"/>
      <c r="F103" s="3432"/>
      <c r="G103" s="3432"/>
      <c r="H103" s="3432"/>
      <c r="I103" s="3432"/>
      <c r="J103" s="3432"/>
      <c r="K103" s="1666"/>
      <c r="L103" s="1666"/>
      <c r="M103" s="1666"/>
      <c r="N103" s="1666"/>
    </row>
    <row r="104" spans="1:14">
      <c r="A104" s="3433" t="s">
        <v>3294</v>
      </c>
      <c r="B104" s="3433" t="s">
        <v>3295</v>
      </c>
      <c r="C104" s="3087" t="s">
        <v>3296</v>
      </c>
      <c r="D104" s="3088"/>
      <c r="E104" s="3088"/>
      <c r="F104" s="3088"/>
      <c r="G104" s="3088"/>
      <c r="H104" s="3088"/>
      <c r="I104" s="3088"/>
      <c r="J104" s="3089"/>
      <c r="K104" s="3090"/>
      <c r="L104" s="3090"/>
      <c r="M104" s="3090"/>
      <c r="N104" s="3090"/>
    </row>
    <row r="105" spans="1:14">
      <c r="A105" s="3433"/>
      <c r="B105" s="3433"/>
      <c r="C105" s="3091" t="s">
        <v>3297</v>
      </c>
      <c r="D105" s="3091" t="s">
        <v>3298</v>
      </c>
      <c r="E105" s="3091" t="s">
        <v>3299</v>
      </c>
      <c r="F105" s="3091" t="s">
        <v>3300</v>
      </c>
      <c r="G105" s="3091" t="s">
        <v>3301</v>
      </c>
      <c r="H105" s="3091" t="s">
        <v>3302</v>
      </c>
      <c r="I105" s="3091" t="s">
        <v>3303</v>
      </c>
      <c r="J105" s="3091" t="s">
        <v>3304</v>
      </c>
      <c r="K105" s="3091" t="s">
        <v>3305</v>
      </c>
      <c r="L105" s="3091" t="s">
        <v>3306</v>
      </c>
      <c r="M105" s="3091" t="s">
        <v>3307</v>
      </c>
      <c r="N105" s="3091" t="s">
        <v>3308</v>
      </c>
    </row>
    <row r="106" spans="1:14">
      <c r="A106" s="3419" t="s">
        <v>3309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20"/>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20"/>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20"/>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20"/>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20"/>
      <c r="B111" s="3091" t="s">
        <v>3267</v>
      </c>
      <c r="C111" s="3092">
        <f>$I$3</f>
        <v>0</v>
      </c>
      <c r="D111" s="3092">
        <f t="shared" ref="D111:M111" si="34">$I$3</f>
        <v>0</v>
      </c>
      <c r="E111" s="3092">
        <f t="shared" si="34"/>
        <v>0</v>
      </c>
      <c r="F111" s="3092">
        <f t="shared" si="34"/>
        <v>0</v>
      </c>
      <c r="G111" s="3092">
        <f t="shared" si="34"/>
        <v>0</v>
      </c>
      <c r="H111" s="3092">
        <f t="shared" si="34"/>
        <v>0</v>
      </c>
      <c r="I111" s="3092">
        <f t="shared" si="34"/>
        <v>0</v>
      </c>
      <c r="J111" s="3092">
        <f t="shared" si="34"/>
        <v>0</v>
      </c>
      <c r="K111" s="3092">
        <f t="shared" si="34"/>
        <v>0</v>
      </c>
      <c r="L111" s="3092">
        <f t="shared" si="34"/>
        <v>0</v>
      </c>
      <c r="M111" s="3092">
        <f t="shared" si="34"/>
        <v>0</v>
      </c>
      <c r="N111" s="3092">
        <f>$I$3</f>
        <v>0</v>
      </c>
    </row>
    <row r="112" spans="1:14">
      <c r="A112" s="3421"/>
      <c r="B112" s="3091">
        <v>6</v>
      </c>
      <c r="C112" s="3086">
        <f>(-0.5556*(C111^2)-0.2719*C111+8944)*(10^(-4))</f>
        <v>0.89440000000000008</v>
      </c>
      <c r="D112" s="3086">
        <f>(-0.5556*(D111^2)-0.2719*D111+8944)*(10^(-4))</f>
        <v>0.89440000000000008</v>
      </c>
      <c r="E112" s="3086">
        <f>(-0.7912*(E111^2)-11.3794*E111+8482)*(10^(-4))</f>
        <v>0.84820000000000007</v>
      </c>
      <c r="F112" s="3086">
        <f t="shared" ref="F112:I112" si="35">(-0.7912*(F111^2)-11.3794*F111+8482)*(10^(-4))</f>
        <v>0.84820000000000007</v>
      </c>
      <c r="G112" s="3086">
        <f t="shared" si="35"/>
        <v>0.84820000000000007</v>
      </c>
      <c r="H112" s="3086">
        <f t="shared" si="35"/>
        <v>0.84820000000000007</v>
      </c>
      <c r="I112" s="3086">
        <f t="shared" si="35"/>
        <v>0.84820000000000007</v>
      </c>
      <c r="J112" s="3086">
        <f>(-0.989*(J111^2)-63.78*J111+7771)*(10^(-4))</f>
        <v>0.77710000000000001</v>
      </c>
      <c r="K112" s="3086">
        <f t="shared" ref="K112:N112" si="36">(-0.989*(K111^2)-63.78*K111+7771)*(10^(-4))</f>
        <v>0.77710000000000001</v>
      </c>
      <c r="L112" s="3086">
        <f t="shared" si="36"/>
        <v>0.77710000000000001</v>
      </c>
      <c r="M112" s="3086">
        <f t="shared" si="36"/>
        <v>0.77710000000000001</v>
      </c>
      <c r="N112" s="3086">
        <f t="shared" si="36"/>
        <v>0.77710000000000001</v>
      </c>
    </row>
    <row r="113" spans="1:14">
      <c r="A113" s="3422" t="s">
        <v>3310</v>
      </c>
      <c r="B113" s="3422"/>
      <c r="C113" s="3422"/>
      <c r="D113" s="3422"/>
      <c r="E113" s="3422"/>
      <c r="F113" s="3422"/>
      <c r="G113" s="3422"/>
      <c r="H113" s="3422"/>
      <c r="I113" s="3422"/>
      <c r="J113" s="3422"/>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3311</v>
      </c>
      <c r="B116" s="3111">
        <f>G3</f>
        <v>1</v>
      </c>
      <c r="C116" s="3096" t="s">
        <v>3312</v>
      </c>
      <c r="D116" s="3097">
        <f>SUMPRODUCT((A118:A122=F116)*(B117:M117=H116)*B118:M122)</f>
        <v>0.57150000000000001</v>
      </c>
      <c r="E116" s="161" t="s">
        <v>3313</v>
      </c>
      <c r="F116" s="3098" t="str">
        <f>E2</f>
        <v>工业</v>
      </c>
      <c r="G116" s="161" t="s">
        <v>3314</v>
      </c>
      <c r="H116" s="3098" t="str">
        <f>G2</f>
        <v>十级</v>
      </c>
      <c r="I116" s="161"/>
      <c r="J116" s="3099"/>
      <c r="K116" s="3099"/>
      <c r="L116" s="3099"/>
      <c r="M116" s="3099"/>
      <c r="N116" s="3094"/>
    </row>
    <row r="117" spans="1:14">
      <c r="A117" s="3100"/>
      <c r="B117" s="3101" t="s">
        <v>3315</v>
      </c>
      <c r="C117" s="3101" t="s">
        <v>3316</v>
      </c>
      <c r="D117" s="3101" t="s">
        <v>3317</v>
      </c>
      <c r="E117" s="3102" t="s">
        <v>3318</v>
      </c>
      <c r="F117" s="3102" t="s">
        <v>3319</v>
      </c>
      <c r="G117" s="3102" t="s">
        <v>3320</v>
      </c>
      <c r="H117" s="3103" t="s">
        <v>3321</v>
      </c>
      <c r="I117" s="3103" t="s">
        <v>3322</v>
      </c>
      <c r="J117" s="3104" t="s">
        <v>3323</v>
      </c>
      <c r="K117" s="3104" t="s">
        <v>3324</v>
      </c>
      <c r="L117" s="3104" t="s">
        <v>3325</v>
      </c>
      <c r="M117" s="3105" t="s">
        <v>3326</v>
      </c>
      <c r="N117" s="3094"/>
    </row>
    <row r="118" spans="1:14">
      <c r="A118" s="3054" t="s">
        <v>3327</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7">I118</f>
        <v>0.8306</v>
      </c>
      <c r="K118" s="3086">
        <f t="shared" si="37"/>
        <v>0.8306</v>
      </c>
      <c r="L118" s="3086">
        <f t="shared" si="37"/>
        <v>0.8306</v>
      </c>
      <c r="M118" s="3106">
        <f t="shared" si="37"/>
        <v>0.8306</v>
      </c>
      <c r="N118" s="3094"/>
    </row>
    <row r="119" spans="1:14">
      <c r="A119" s="3054" t="s">
        <v>3328</v>
      </c>
      <c r="B119" s="3086">
        <f>ROUND(0.993-0.0112*B116,4)</f>
        <v>0.98180000000000001</v>
      </c>
      <c r="C119" s="3086">
        <f>B119</f>
        <v>0.98180000000000001</v>
      </c>
      <c r="D119" s="3086">
        <f>ROUND(0.9415-0.0142*B116,4)</f>
        <v>0.92730000000000001</v>
      </c>
      <c r="E119" s="3086">
        <f t="shared" ref="E119:H120" si="38">D119</f>
        <v>0.92730000000000001</v>
      </c>
      <c r="F119" s="3086">
        <f t="shared" si="38"/>
        <v>0.92730000000000001</v>
      </c>
      <c r="G119" s="3086">
        <f t="shared" si="38"/>
        <v>0.92730000000000001</v>
      </c>
      <c r="H119" s="3086">
        <f t="shared" si="38"/>
        <v>0.92730000000000001</v>
      </c>
      <c r="I119" s="3086">
        <f>ROUND(0.838-0.0182*B116,4)</f>
        <v>0.81979999999999997</v>
      </c>
      <c r="J119" s="3086">
        <f t="shared" si="37"/>
        <v>0.81979999999999997</v>
      </c>
      <c r="K119" s="3086">
        <f t="shared" si="37"/>
        <v>0.81979999999999997</v>
      </c>
      <c r="L119" s="3086">
        <f t="shared" si="37"/>
        <v>0.81979999999999997</v>
      </c>
      <c r="M119" s="3106">
        <f t="shared" si="37"/>
        <v>0.81979999999999997</v>
      </c>
      <c r="N119" s="3094"/>
    </row>
    <row r="120" spans="1:14">
      <c r="A120" s="3054" t="s">
        <v>3329</v>
      </c>
      <c r="B120" s="3086">
        <f>ROUND(0.9448-0.0115*B116,4)</f>
        <v>0.93330000000000002</v>
      </c>
      <c r="C120" s="3086">
        <f>B120</f>
        <v>0.93330000000000002</v>
      </c>
      <c r="D120" s="3086">
        <f>ROUND(0.937-0.0145*B116,4)</f>
        <v>0.92249999999999999</v>
      </c>
      <c r="E120" s="3086">
        <f t="shared" si="38"/>
        <v>0.92249999999999999</v>
      </c>
      <c r="F120" s="3086">
        <f t="shared" si="38"/>
        <v>0.92249999999999999</v>
      </c>
      <c r="G120" s="3086">
        <f t="shared" si="38"/>
        <v>0.92249999999999999</v>
      </c>
      <c r="H120" s="3086">
        <f t="shared" si="38"/>
        <v>0.92249999999999999</v>
      </c>
      <c r="I120" s="3086">
        <f>ROUND(0.7965-0.0185*B116,4)</f>
        <v>0.77800000000000002</v>
      </c>
      <c r="J120" s="3086">
        <f t="shared" si="37"/>
        <v>0.77800000000000002</v>
      </c>
      <c r="K120" s="3086">
        <f t="shared" si="37"/>
        <v>0.77800000000000002</v>
      </c>
      <c r="L120" s="3086">
        <f t="shared" si="37"/>
        <v>0.77800000000000002</v>
      </c>
      <c r="M120" s="3106">
        <f t="shared" si="37"/>
        <v>0.77800000000000002</v>
      </c>
      <c r="N120" s="3094"/>
    </row>
    <row r="121" spans="1:14" ht="13.5" thickBot="1">
      <c r="A121" s="3107" t="s">
        <v>3330</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7"/>
        <v>0.57150000000000001</v>
      </c>
      <c r="K121" s="3108">
        <f t="shared" si="37"/>
        <v>0.57150000000000001</v>
      </c>
      <c r="L121" s="3108">
        <f t="shared" si="37"/>
        <v>0.57150000000000001</v>
      </c>
      <c r="M121" s="3109">
        <f t="shared" si="37"/>
        <v>0.57150000000000001</v>
      </c>
      <c r="N121" s="3094"/>
    </row>
    <row r="122" spans="1:14">
      <c r="A122" s="3110" t="s">
        <v>2612</v>
      </c>
      <c r="B122" s="3086">
        <f>ROUND(0.9404-0.0106*B116,4)</f>
        <v>0.92979999999999996</v>
      </c>
      <c r="C122" s="3086">
        <f>B122</f>
        <v>0.92979999999999996</v>
      </c>
      <c r="D122" s="3086">
        <f>ROUND(0.8955-0.0135*B116,4)</f>
        <v>0.88200000000000001</v>
      </c>
      <c r="E122" s="3086">
        <f t="shared" ref="E122:H122" si="39">D122</f>
        <v>0.88200000000000001</v>
      </c>
      <c r="F122" s="3086">
        <f t="shared" si="39"/>
        <v>0.88200000000000001</v>
      </c>
      <c r="G122" s="3086">
        <f t="shared" si="39"/>
        <v>0.88200000000000001</v>
      </c>
      <c r="H122" s="3086">
        <f t="shared" si="39"/>
        <v>0.88200000000000001</v>
      </c>
      <c r="I122" s="3086">
        <f>ROUND(0.7632-0.0166*B116,4)</f>
        <v>0.74660000000000004</v>
      </c>
      <c r="J122" s="3086">
        <f t="shared" si="37"/>
        <v>0.74660000000000004</v>
      </c>
      <c r="K122" s="3086">
        <f t="shared" si="37"/>
        <v>0.74660000000000004</v>
      </c>
      <c r="L122" s="3086">
        <f t="shared" si="37"/>
        <v>0.74660000000000004</v>
      </c>
      <c r="M122" s="3106">
        <f t="shared" si="37"/>
        <v>0.74660000000000004</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6" sqref="I6"/>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1655</v>
      </c>
      <c r="B1" s="1725"/>
      <c r="C1" s="1725"/>
      <c r="D1" s="1725"/>
      <c r="E1" s="1726"/>
      <c r="F1" s="2476"/>
      <c r="G1" s="458"/>
      <c r="H1" s="458"/>
      <c r="I1" s="458"/>
      <c r="J1" s="458"/>
      <c r="K1" s="458"/>
      <c r="L1" s="458"/>
      <c r="M1" s="458"/>
      <c r="N1" s="458"/>
      <c r="O1" s="458"/>
      <c r="P1" s="458"/>
      <c r="Q1" s="458"/>
      <c r="R1" s="458"/>
      <c r="S1" s="458"/>
    </row>
    <row r="2" spans="1:22" ht="15.75">
      <c r="A2" s="1727" t="s">
        <v>1459</v>
      </c>
      <c r="B2" s="810">
        <f ca="1">SUMIF(B6:B13,"&lt;&gt;#ref!",B6:B13)</f>
        <v>2741</v>
      </c>
      <c r="C2" s="1728" t="s">
        <v>1648</v>
      </c>
      <c r="D2" s="1729" t="s">
        <v>1649</v>
      </c>
      <c r="E2" s="2390">
        <f>SUM(E6:E13)</f>
        <v>7170.4100000000008</v>
      </c>
      <c r="F2" s="2476"/>
      <c r="G2" s="458"/>
      <c r="H2" s="458"/>
      <c r="I2" s="458"/>
      <c r="J2" s="458"/>
      <c r="K2" s="458"/>
      <c r="L2" s="458"/>
      <c r="M2" s="458"/>
      <c r="N2" s="458"/>
      <c r="O2" s="458"/>
      <c r="P2" s="458"/>
      <c r="Q2" s="458"/>
      <c r="R2" s="458"/>
      <c r="S2" s="458"/>
    </row>
    <row r="3" spans="1:22" ht="15.75">
      <c r="A3" s="1727" t="s">
        <v>686</v>
      </c>
      <c r="B3" s="2384">
        <f ca="1">ROUND(B2*10000/E2,0)</f>
        <v>3823</v>
      </c>
      <c r="C3" s="1728" t="s">
        <v>1656</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1650</v>
      </c>
      <c r="B5" s="3438" t="s">
        <v>1651</v>
      </c>
      <c r="C5" s="3439"/>
      <c r="D5" s="2477"/>
      <c r="E5" s="1730" t="s">
        <v>1652</v>
      </c>
      <c r="F5" s="128" t="s">
        <v>1653</v>
      </c>
      <c r="G5" s="458"/>
      <c r="H5" s="3183"/>
      <c r="I5" s="3184" t="s">
        <v>3567</v>
      </c>
      <c r="J5" s="3184" t="s">
        <v>3568</v>
      </c>
      <c r="K5" s="3183"/>
      <c r="L5" s="3184" t="s">
        <v>3569</v>
      </c>
      <c r="M5" s="3184" t="s">
        <v>3570</v>
      </c>
      <c r="N5" s="3183"/>
      <c r="O5" s="3183"/>
      <c r="P5" s="458"/>
      <c r="Q5" s="458"/>
      <c r="R5" s="458"/>
      <c r="S5" s="458"/>
    </row>
    <row r="6" spans="1:22">
      <c r="A6" s="2387" t="str">
        <f>'数据-取费表'!AN6</f>
        <v>收益法-车间</v>
      </c>
      <c r="B6" s="2385">
        <f ca="1">IF(F6="是",'数据-取费表'!AO6,0)</f>
        <v>1981</v>
      </c>
      <c r="C6" s="1728" t="s">
        <v>1648</v>
      </c>
      <c r="D6" s="2476"/>
      <c r="E6" s="2389">
        <f>IF(OR(A6=0,F6="否"),0,'数据-取费表'!K6+'数据-取费表'!S6)</f>
        <v>5578.77</v>
      </c>
      <c r="F6" s="1731" t="s">
        <v>1654</v>
      </c>
      <c r="G6" s="458"/>
      <c r="H6" s="3183"/>
      <c r="I6" s="3183">
        <v>4117</v>
      </c>
      <c r="J6" s="3183">
        <f>ROUND($I$6*E6/10000,0)</f>
        <v>2297</v>
      </c>
      <c r="K6" s="3183"/>
      <c r="L6" s="3183">
        <f ca="1">ROUND(J6*50%+B6*50%,0)</f>
        <v>2139</v>
      </c>
      <c r="M6" s="3183">
        <f ca="1">ROUND(L6/E6*10000,0)</f>
        <v>3834</v>
      </c>
      <c r="N6" s="3183"/>
      <c r="O6" s="3183"/>
      <c r="P6" s="458"/>
      <c r="Q6" s="458"/>
      <c r="R6" s="458"/>
      <c r="S6" s="458"/>
    </row>
    <row r="7" spans="1:22">
      <c r="A7" s="2387" t="str">
        <f>'数据-取费表'!AN7</f>
        <v>收益法-办公</v>
      </c>
      <c r="B7" s="2385">
        <f ca="1">IF(F7="是",'数据-取费表'!AO7,0)</f>
        <v>760</v>
      </c>
      <c r="C7" s="1728" t="s">
        <v>1648</v>
      </c>
      <c r="D7" s="2476"/>
      <c r="E7" s="2389">
        <f>IF(OR(A7=0,F7="否"),0,'数据-取费表'!K7+'数据-取费表'!S7)</f>
        <v>1591.64</v>
      </c>
      <c r="F7" s="1731" t="s">
        <v>3390</v>
      </c>
      <c r="G7" s="458"/>
      <c r="H7" s="3183"/>
      <c r="I7" s="3183"/>
      <c r="J7" s="3183">
        <f>ROUND($I$6*E7/10000,0)</f>
        <v>655</v>
      </c>
      <c r="K7" s="3183"/>
      <c r="L7" s="3183">
        <f ca="1">ROUND(J7*50%+B7*50%,0)</f>
        <v>708</v>
      </c>
      <c r="M7" s="3183">
        <f ca="1">ROUND(L7/E7*10000,0)</f>
        <v>4448</v>
      </c>
      <c r="N7" s="3183"/>
      <c r="O7" s="3183"/>
      <c r="P7" s="458"/>
      <c r="Q7" s="458"/>
      <c r="R7" s="458"/>
      <c r="S7" s="458"/>
    </row>
    <row r="8" spans="1:22">
      <c r="A8" s="2387">
        <f>'数据-取费表'!AN8</f>
        <v>0</v>
      </c>
      <c r="B8" s="2385" t="e">
        <f ca="1">IF(F8="是",'数据-取费表'!AO8,0)</f>
        <v>#REF!</v>
      </c>
      <c r="C8" s="1728" t="s">
        <v>1648</v>
      </c>
      <c r="D8" s="2476"/>
      <c r="E8" s="2389">
        <f>IF(OR(A8=0,F8="否"),0,'数据-取费表'!K8+'数据-取费表'!S8)</f>
        <v>0</v>
      </c>
      <c r="F8" s="1731" t="s">
        <v>1654</v>
      </c>
      <c r="G8" s="458"/>
      <c r="H8" s="3184" t="s">
        <v>3566</v>
      </c>
      <c r="I8" s="3183"/>
      <c r="J8" s="3183">
        <f>J6+J7</f>
        <v>2952</v>
      </c>
      <c r="K8" s="3183">
        <f t="shared" ref="K8:L8" si="0">K6+K7</f>
        <v>0</v>
      </c>
      <c r="L8" s="3183">
        <f t="shared" ca="1" si="0"/>
        <v>2847</v>
      </c>
      <c r="M8" s="3183"/>
      <c r="N8" s="3183"/>
      <c r="O8" s="3183"/>
      <c r="P8" s="458"/>
      <c r="Q8" s="458"/>
      <c r="R8" s="458"/>
      <c r="S8" s="458"/>
    </row>
    <row r="9" spans="1:22">
      <c r="A9" s="2387">
        <f>'数据-取费表'!AN9</f>
        <v>0</v>
      </c>
      <c r="B9" s="2385" t="e">
        <f ca="1">IF(F9="是",'数据-取费表'!AO9,0)</f>
        <v>#REF!</v>
      </c>
      <c r="C9" s="1728" t="s">
        <v>1648</v>
      </c>
      <c r="D9" s="2476"/>
      <c r="E9" s="2389">
        <f>IF(OR(A9=0,F9="否"),0,'数据-取费表'!K9+'数据-取费表'!S9)</f>
        <v>0</v>
      </c>
      <c r="F9" s="1731" t="s">
        <v>1654</v>
      </c>
      <c r="G9" s="458"/>
      <c r="H9" s="3183"/>
      <c r="I9" s="3183"/>
      <c r="J9" s="3183"/>
      <c r="K9" s="3183"/>
      <c r="L9" s="3183"/>
      <c r="M9" s="3183"/>
      <c r="N9" s="3183"/>
      <c r="O9" s="3183"/>
      <c r="P9" s="458"/>
      <c r="Q9" s="458"/>
      <c r="R9" s="458"/>
      <c r="S9" s="458"/>
    </row>
    <row r="10" spans="1:22">
      <c r="A10" s="2387">
        <f>'数据-取费表'!AN10</f>
        <v>0</v>
      </c>
      <c r="B10" s="2385" t="e">
        <f ca="1">IF(F10="是",'数据-取费表'!AO10,0)</f>
        <v>#REF!</v>
      </c>
      <c r="C10" s="1728" t="s">
        <v>1648</v>
      </c>
      <c r="D10" s="2476"/>
      <c r="E10" s="2389">
        <f>IF(OR(A10=0,F10="否"),0,'数据-取费表'!K10+'数据-取费表'!S10)</f>
        <v>0</v>
      </c>
      <c r="F10" s="1731" t="s">
        <v>1654</v>
      </c>
      <c r="G10" s="458"/>
      <c r="H10" s="3183"/>
      <c r="I10" s="3183"/>
      <c r="J10" s="3183"/>
      <c r="K10" s="3183"/>
      <c r="L10" s="3183"/>
      <c r="M10" s="3183"/>
      <c r="N10" s="3183"/>
      <c r="O10" s="3183"/>
      <c r="P10" s="458"/>
      <c r="Q10" s="458"/>
      <c r="R10" s="458"/>
      <c r="S10" s="458"/>
    </row>
    <row r="11" spans="1:22">
      <c r="A11" s="2387">
        <f>'数据-取费表'!AN11</f>
        <v>0</v>
      </c>
      <c r="B11" s="2385" t="e">
        <f ca="1">IF(F11="是",'数据-取费表'!AO11,0)</f>
        <v>#REF!</v>
      </c>
      <c r="C11" s="1728" t="s">
        <v>1648</v>
      </c>
      <c r="D11" s="2476"/>
      <c r="E11" s="2389">
        <f>IF(OR(A11=0,F11="否"),0,'数据-取费表'!K11+'数据-取费表'!S11)</f>
        <v>0</v>
      </c>
      <c r="F11" s="1731" t="s">
        <v>1654</v>
      </c>
      <c r="G11" s="458"/>
      <c r="H11" s="3183"/>
      <c r="I11" s="3183"/>
      <c r="J11" s="3183"/>
      <c r="K11" s="3183"/>
      <c r="L11" s="3183"/>
      <c r="M11" s="3183"/>
      <c r="N11" s="3183"/>
      <c r="O11" s="3183"/>
      <c r="P11" s="458"/>
      <c r="Q11" s="458"/>
      <c r="R11" s="458"/>
      <c r="S11" s="458"/>
    </row>
    <row r="12" spans="1:22">
      <c r="A12" s="2387">
        <f>'数据-取费表'!AN12</f>
        <v>0</v>
      </c>
      <c r="B12" s="2385" t="e">
        <f ca="1">IF(F12="是",'数据-取费表'!AO12,0)</f>
        <v>#REF!</v>
      </c>
      <c r="C12" s="1728" t="s">
        <v>1648</v>
      </c>
      <c r="D12" s="2476"/>
      <c r="E12" s="2389">
        <f>IF(OR(A12=0,F12="否"),0,'数据-取费表'!K12+'数据-取费表'!S12)</f>
        <v>0</v>
      </c>
      <c r="F12" s="1731" t="s">
        <v>1654</v>
      </c>
      <c r="G12" s="458"/>
      <c r="H12" s="3183"/>
      <c r="I12" s="3183"/>
      <c r="J12" s="3183"/>
      <c r="K12" s="3183"/>
      <c r="L12" s="3183"/>
      <c r="M12" s="3183"/>
      <c r="N12" s="3183"/>
      <c r="O12" s="3183"/>
      <c r="P12" s="458"/>
      <c r="Q12" s="458"/>
      <c r="R12" s="458"/>
      <c r="S12" s="458"/>
    </row>
    <row r="13" spans="1:22" ht="15" thickBot="1">
      <c r="A13" s="2388">
        <f>'数据-取费表'!AN13</f>
        <v>0</v>
      </c>
      <c r="B13" s="2385" t="e">
        <f ca="1">IF(F13="是",'数据-取费表'!AO13,0)</f>
        <v>#REF!</v>
      </c>
      <c r="C13" s="1732" t="s">
        <v>1648</v>
      </c>
      <c r="D13" s="2478"/>
      <c r="E13" s="2389">
        <f>IF(OR(A13=0,F13="否"),0,'数据-取费表'!K13+'数据-取费表'!S13)</f>
        <v>0</v>
      </c>
      <c r="F13" s="1731" t="s">
        <v>1654</v>
      </c>
      <c r="G13" s="458"/>
      <c r="H13" s="3183"/>
      <c r="I13" s="3183"/>
      <c r="J13" s="3183"/>
      <c r="K13" s="3183"/>
      <c r="L13" s="3183"/>
      <c r="M13" s="3183"/>
      <c r="N13" s="3183"/>
      <c r="O13" s="3183"/>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31" zoomScale="80" zoomScaleNormal="70" zoomScaleSheetLayoutView="80" workbookViewId="0">
      <selection activeCell="L46" sqref="L4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3523</v>
      </c>
      <c r="D1" s="1270" t="s">
        <v>43</v>
      </c>
      <c r="E1" s="1271" t="s">
        <v>678</v>
      </c>
      <c r="F1" s="998">
        <f ca="1">J53</f>
        <v>28.17</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1981</v>
      </c>
      <c r="C2" s="1288" t="s">
        <v>805</v>
      </c>
      <c r="D2" s="1288"/>
      <c r="E2" s="1294"/>
      <c r="F2" s="1295"/>
      <c r="G2" s="2475"/>
      <c r="H2" s="2465"/>
      <c r="I2" s="2465"/>
      <c r="J2" s="2465"/>
      <c r="K2" s="2466"/>
      <c r="L2" s="2465"/>
      <c r="M2" s="2465"/>
    </row>
    <row r="3" spans="1:37" ht="18" customHeight="1" thickBot="1">
      <c r="A3" s="1296" t="s">
        <v>806</v>
      </c>
      <c r="B3" s="1297">
        <f ca="1">IF(ISERROR(B2*10000/F43),0,ROUND(B2*10000/F43,0))</f>
        <v>3551</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137</v>
      </c>
      <c r="D5" s="1272" t="s">
        <v>693</v>
      </c>
      <c r="E5" s="1007"/>
      <c r="F5" s="1008"/>
      <c r="G5" s="1291"/>
      <c r="H5" s="290">
        <v>1</v>
      </c>
      <c r="I5" s="291" t="s">
        <v>692</v>
      </c>
      <c r="J5" s="1006">
        <f ca="1">J6+J10+J12</f>
        <v>0</v>
      </c>
      <c r="K5" s="1272" t="s">
        <v>693</v>
      </c>
      <c r="L5" s="1007"/>
      <c r="M5" s="1008"/>
    </row>
    <row r="6" spans="1:37" ht="18" customHeight="1">
      <c r="A6" s="1005" t="s">
        <v>398</v>
      </c>
      <c r="B6" s="3442" t="s">
        <v>694</v>
      </c>
      <c r="C6" s="1010">
        <f ca="1">ROUND(F6*F8*F7*(1-F9)/10000,0)</f>
        <v>137</v>
      </c>
      <c r="D6" s="146" t="s">
        <v>2106</v>
      </c>
      <c r="E6" s="293" t="s">
        <v>696</v>
      </c>
      <c r="F6" s="294">
        <f ca="1">INDIRECT("'数据-取费表'!u"&amp;$G$1)</f>
        <v>0.75</v>
      </c>
      <c r="G6" s="1291"/>
      <c r="H6" s="1005" t="s">
        <v>398</v>
      </c>
      <c r="I6" s="3442" t="s">
        <v>694</v>
      </c>
      <c r="J6" s="292">
        <f ca="1">ROUND(M6*M8*M7*(1-M9)/10000,0)</f>
        <v>0</v>
      </c>
      <c r="K6" s="146" t="s">
        <v>2105</v>
      </c>
      <c r="L6" s="293" t="s">
        <v>696</v>
      </c>
      <c r="M6" s="294">
        <f ca="1">INDIRECT("'数据-取费表'!z"&amp;$G$1)</f>
        <v>0</v>
      </c>
    </row>
    <row r="7" spans="1:37" ht="18" customHeight="1">
      <c r="A7" s="1009"/>
      <c r="B7" s="3443"/>
      <c r="C7" s="1011"/>
      <c r="D7" s="298"/>
      <c r="E7" s="1012" t="s">
        <v>697</v>
      </c>
      <c r="F7" s="294">
        <f ca="1">IF(INDIRECT("'数据-取费表'!ah"&amp;$G$1)="",INDIRECT("'数据-取费表'!k"&amp;$G$1),INDIRECT("'数据-取费表'!ah"&amp;$G$1))</f>
        <v>5578.77</v>
      </c>
      <c r="G7" s="1291"/>
      <c r="H7" s="295"/>
      <c r="I7" s="3443"/>
      <c r="J7" s="297"/>
      <c r="K7" s="298"/>
      <c r="L7" s="293" t="s">
        <v>697</v>
      </c>
      <c r="M7" s="294">
        <f ca="1">F7</f>
        <v>5578.77</v>
      </c>
    </row>
    <row r="8" spans="1:37" ht="18" customHeight="1">
      <c r="A8" s="295"/>
      <c r="B8" s="3443"/>
      <c r="C8" s="297"/>
      <c r="D8" s="298"/>
      <c r="E8" s="293" t="s">
        <v>698</v>
      </c>
      <c r="F8" s="294">
        <f ca="1">INDIRECT("'数据-取费表'!ai"&amp;$G$1)</f>
        <v>365</v>
      </c>
      <c r="G8" s="1291"/>
      <c r="H8" s="295"/>
      <c r="I8" s="3443"/>
      <c r="J8" s="297"/>
      <c r="K8" s="298"/>
      <c r="L8" s="293" t="s">
        <v>698</v>
      </c>
      <c r="M8" s="294">
        <f ca="1">INDIRECT("'数据-取费表'!ai"&amp;$G$1)</f>
        <v>365</v>
      </c>
    </row>
    <row r="9" spans="1:37" ht="18" customHeight="1">
      <c r="A9" s="295"/>
      <c r="B9" s="3444"/>
      <c r="C9" s="297"/>
      <c r="D9" s="298"/>
      <c r="E9" s="293" t="s">
        <v>699</v>
      </c>
      <c r="F9" s="303">
        <f ca="1">INDIRECT("'数据-取费表'!w"&amp;$G$1)</f>
        <v>0.1</v>
      </c>
      <c r="G9" s="1291"/>
      <c r="H9" s="295"/>
      <c r="I9" s="3444"/>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t="s">
        <v>3414</v>
      </c>
      <c r="G10" s="1291"/>
      <c r="H10" s="1005" t="s">
        <v>402</v>
      </c>
      <c r="I10" s="1273" t="s">
        <v>700</v>
      </c>
      <c r="J10" s="292">
        <f ca="1">ROUND(IF(M10="押一",J6/12*M11,IF(M10="押二",J6/12*2*M11,IF(M10="押三",J6/12*3*M11,J11*M11))),0)</f>
        <v>0</v>
      </c>
      <c r="K10" s="149" t="s">
        <v>2113</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1230</v>
      </c>
      <c r="D13" s="1017" t="s">
        <v>705</v>
      </c>
      <c r="E13" s="1017" t="s">
        <v>706</v>
      </c>
      <c r="F13" s="1018">
        <f ca="1">INDIRECT("'数据-取费表'!y"&amp;$G$1)</f>
        <v>0.76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1227</v>
      </c>
      <c r="D14" s="1256" t="s">
        <v>708</v>
      </c>
      <c r="E14" s="1254"/>
      <c r="F14" s="310"/>
      <c r="G14" s="1291"/>
      <c r="H14" s="927" t="s">
        <v>398</v>
      </c>
      <c r="I14" s="293" t="s">
        <v>709</v>
      </c>
      <c r="J14" s="21">
        <f ca="1">C29</f>
        <v>1619</v>
      </c>
      <c r="K14" s="12"/>
      <c r="L14" s="758"/>
      <c r="M14" s="759"/>
    </row>
    <row r="15" spans="1:37" s="1303" customFormat="1" ht="18" customHeight="1" thickBot="1">
      <c r="A15" s="927" t="s">
        <v>399</v>
      </c>
      <c r="B15" s="293" t="s">
        <v>710</v>
      </c>
      <c r="C15" s="21">
        <f ca="1">ROUND(C14*F15,0)</f>
        <v>37</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10</v>
      </c>
      <c r="K16" s="1023" t="s">
        <v>715</v>
      </c>
      <c r="L16" s="1024"/>
      <c r="M16" s="1008"/>
    </row>
    <row r="17" spans="1:37" s="1303" customFormat="1" ht="18" customHeight="1">
      <c r="A17" s="927" t="s">
        <v>681</v>
      </c>
      <c r="B17" s="293" t="s">
        <v>716</v>
      </c>
      <c r="C17" s="21">
        <f ca="1">ROUND(F17*(F43+INDIRECT("'数据-取费表'!S"&amp;$G$1))/10000,0)</f>
        <v>112</v>
      </c>
      <c r="D17" s="293" t="s">
        <v>717</v>
      </c>
      <c r="E17" s="293" t="s">
        <v>718</v>
      </c>
      <c r="F17" s="23">
        <f>'数据-取费表'!B35</f>
        <v>200</v>
      </c>
      <c r="G17" s="1302"/>
      <c r="H17" s="927" t="s">
        <v>398</v>
      </c>
      <c r="I17" s="293" t="s">
        <v>719</v>
      </c>
      <c r="J17" s="2139">
        <f ca="1">ROUND(IF(AND(项目基本情况!B11="自然人",项目基本情况!B10="北京市"),J6*M17/(1+'数据-取费表'!C42),J18+J19+J20),2)</f>
        <v>1.7</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18</v>
      </c>
      <c r="D18" s="293" t="s">
        <v>711</v>
      </c>
      <c r="E18" s="293" t="s">
        <v>712</v>
      </c>
      <c r="F18" s="313">
        <f>'数据-取费表'!B36</f>
        <v>1.4999999999999999E-2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1394</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28</v>
      </c>
      <c r="D20" s="314" t="s">
        <v>729</v>
      </c>
      <c r="E20" s="293" t="s">
        <v>712</v>
      </c>
      <c r="F20" s="313">
        <f>'数据-取费表'!B37</f>
        <v>0.02</v>
      </c>
      <c r="G20" s="1302"/>
      <c r="H20" s="927" t="s">
        <v>680</v>
      </c>
      <c r="I20" s="146" t="s">
        <v>730</v>
      </c>
      <c r="J20" s="22">
        <f ca="1">ROUND(M20*M21/10000,2)</f>
        <v>1.7</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f ca="1">INDIRECT("'数据-取费表'!r"&amp;$G$1)</f>
        <v>11337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8.1</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24</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-10</v>
      </c>
      <c r="K25" s="1031" t="s">
        <v>753</v>
      </c>
      <c r="L25" s="1032"/>
      <c r="M25" s="1033"/>
    </row>
    <row r="26" spans="1:37">
      <c r="A26" s="927" t="s">
        <v>397</v>
      </c>
      <c r="B26" s="293" t="s">
        <v>754</v>
      </c>
      <c r="C26" s="21">
        <f ca="1">ROUND((C19+C20)*F26,0)</f>
        <v>71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1619</v>
      </c>
      <c r="D29" s="1028"/>
      <c r="E29" s="1026"/>
      <c r="F29" s="1029"/>
      <c r="G29" s="1302"/>
      <c r="H29" s="324" t="s">
        <v>396</v>
      </c>
      <c r="I29" s="325" t="s">
        <v>768</v>
      </c>
      <c r="J29" s="326">
        <f ca="1">ROUND(J26/(1+F40)^F41,0)</f>
        <v>0</v>
      </c>
      <c r="K29" s="327" t="s">
        <v>769</v>
      </c>
      <c r="L29" s="328"/>
      <c r="M29" s="329">
        <f ca="1">INDIRECT("'数据-取费表'!k"&amp;$G$1)</f>
        <v>5578.77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35</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24.54</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f ca="1">IF(项目基本情况!B11="自然人","——",ROUND(C6*F32/(1+'数据-取费表'!C42),2))</f>
        <v>7.18</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15.66</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1.7</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11337</v>
      </c>
      <c r="G35" s="1291"/>
      <c r="H35" s="2467"/>
      <c r="I35" s="1304"/>
      <c r="J35" s="1305"/>
      <c r="K35" s="2471"/>
      <c r="L35" s="2470"/>
      <c r="M35" s="2470"/>
    </row>
    <row r="36" spans="1:18" ht="18" customHeight="1">
      <c r="A36" s="1038" t="s">
        <v>402</v>
      </c>
      <c r="B36" s="293" t="s">
        <v>738</v>
      </c>
      <c r="C36" s="21">
        <f ca="1">ROUND(C29*F36,2)</f>
        <v>8.1</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1.23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0.69</v>
      </c>
      <c r="D38" s="1028" t="s">
        <v>748</v>
      </c>
      <c r="E38" s="1026" t="s">
        <v>744</v>
      </c>
      <c r="F38" s="1022">
        <f ca="1">INDIRECT("'数据-取费表'!Am"&amp;$G$1)</f>
        <v>5.0000000000000001E-3</v>
      </c>
      <c r="G38" s="1291"/>
      <c r="H38" s="2470">
        <f ca="1">C39/C5</f>
        <v>0.74452554744525545</v>
      </c>
      <c r="I38" s="1304"/>
      <c r="J38" s="1305"/>
      <c r="K38" s="2468"/>
      <c r="L38" s="2470"/>
      <c r="M38" s="2470"/>
    </row>
    <row r="39" spans="1:18" ht="24.6" customHeight="1" thickTop="1">
      <c r="A39" s="1015" t="s">
        <v>394</v>
      </c>
      <c r="B39" s="1030" t="s">
        <v>772</v>
      </c>
      <c r="C39" s="301">
        <f ca="1">C5-C30</f>
        <v>102</v>
      </c>
      <c r="D39" s="1031" t="s">
        <v>773</v>
      </c>
      <c r="E39" s="1032"/>
      <c r="F39" s="1033"/>
      <c r="G39" s="1291"/>
      <c r="H39" s="2470"/>
      <c r="I39" s="1304"/>
      <c r="J39" s="1305"/>
      <c r="K39" s="2468"/>
      <c r="L39" s="2470"/>
      <c r="M39" s="2470"/>
    </row>
    <row r="40" spans="1:18" ht="18" customHeight="1">
      <c r="A40" s="290" t="s">
        <v>395</v>
      </c>
      <c r="B40" s="291" t="s">
        <v>774</v>
      </c>
      <c r="C40" s="292">
        <f ca="1">ROUND(C39*(1-((1+F42)/(1+F40))^F41)/(F40-F42),0)</f>
        <v>1897</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28.17</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3400</v>
      </c>
      <c r="D43" s="327" t="s">
        <v>777</v>
      </c>
      <c r="E43" s="328" t="s">
        <v>778</v>
      </c>
      <c r="F43" s="329">
        <f ca="1">INDIRECT("'数据-取费表'!k"&amp;$G$1)</f>
        <v>5578.77</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-2061</v>
      </c>
      <c r="D46" s="1312" t="str">
        <f>C2</f>
        <v>万元</v>
      </c>
      <c r="E46" s="1306"/>
      <c r="F46" s="1306"/>
      <c r="I46" s="1313" t="s">
        <v>810</v>
      </c>
      <c r="J46" s="1314"/>
      <c r="K46" s="1315"/>
      <c r="L46" s="1316">
        <f ca="1">IF(M47="住宅",0,IF(L48&gt;J51,L60,J60))</f>
        <v>84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3535</v>
      </c>
      <c r="K47" s="1322" t="s">
        <v>816</v>
      </c>
      <c r="L47" s="1323">
        <f ca="1">INDIRECT("'数据-取费表'!d"&amp;$G$1)</f>
        <v>50</v>
      </c>
      <c r="M47" s="1287" t="str">
        <f>IF(ISNUMBER(FIND("住宅",C1)),"住宅","非住宅")</f>
        <v>非住宅</v>
      </c>
      <c r="O47" s="1324" t="s">
        <v>403</v>
      </c>
      <c r="P47" s="1325" t="s">
        <v>817</v>
      </c>
      <c r="Q47" s="1326">
        <f ca="1">C40+J29</f>
        <v>1897</v>
      </c>
      <c r="R47" s="1326" t="s">
        <v>818</v>
      </c>
    </row>
    <row r="48" spans="1:18" s="1291" customFormat="1" ht="28.5" thickBot="1">
      <c r="A48" s="1046" t="s">
        <v>438</v>
      </c>
      <c r="B48" s="291" t="s">
        <v>692</v>
      </c>
      <c r="C48" s="1267">
        <f ca="1">C49+C53+C55</f>
        <v>0</v>
      </c>
      <c r="D48" s="1048"/>
      <c r="E48" s="1049"/>
      <c r="F48" s="907"/>
      <c r="G48" s="680"/>
      <c r="H48" s="681"/>
      <c r="I48" s="1327" t="s">
        <v>819</v>
      </c>
      <c r="J48" s="1328" t="s">
        <v>3525</v>
      </c>
      <c r="K48" s="1329" t="s">
        <v>820</v>
      </c>
      <c r="L48" s="1330">
        <f ca="1">INDIRECT("'数据-取费表'!f"&amp;$G$1)</f>
        <v>28.17</v>
      </c>
      <c r="O48" s="1324" t="s">
        <v>404</v>
      </c>
      <c r="P48" s="1325" t="s">
        <v>821</v>
      </c>
      <c r="Q48" s="1326">
        <f ca="1">J60</f>
        <v>84</v>
      </c>
      <c r="R48" s="1326" t="s">
        <v>822</v>
      </c>
    </row>
    <row r="49" spans="1:18" s="1291" customFormat="1" ht="13.5" thickBot="1">
      <c r="A49" s="920" t="s">
        <v>439</v>
      </c>
      <c r="B49" s="1278" t="s">
        <v>779</v>
      </c>
      <c r="C49" s="1050">
        <f ca="1">ROUND(F49*F51*F50*(1-F52)/10000,0)</f>
        <v>0</v>
      </c>
      <c r="D49" s="991" t="s">
        <v>2107</v>
      </c>
      <c r="E49" s="1279" t="s">
        <v>780</v>
      </c>
      <c r="F49" s="996"/>
      <c r="H49" s="681"/>
      <c r="I49" s="1327" t="s">
        <v>823</v>
      </c>
      <c r="J49" s="1331">
        <f>'数据-取费表'!N18</f>
        <v>2007</v>
      </c>
      <c r="K49" s="1329" t="s">
        <v>824</v>
      </c>
      <c r="L49" s="1332"/>
      <c r="O49" s="1333" t="s">
        <v>405</v>
      </c>
      <c r="P49" s="1325" t="s">
        <v>825</v>
      </c>
      <c r="Q49" s="1326">
        <f ca="1">C29</f>
        <v>1619</v>
      </c>
      <c r="R49" s="1326" t="s">
        <v>818</v>
      </c>
    </row>
    <row r="50" spans="1:18" s="1291" customFormat="1" ht="13.5" thickBot="1">
      <c r="A50" s="921"/>
      <c r="B50" s="924"/>
      <c r="C50" s="1054"/>
      <c r="D50" s="898"/>
      <c r="E50" s="992" t="s">
        <v>697</v>
      </c>
      <c r="F50" s="993">
        <f ca="1">F7</f>
        <v>5578.77</v>
      </c>
      <c r="H50" s="681"/>
      <c r="I50" s="1327" t="s">
        <v>826</v>
      </c>
      <c r="J50" s="1334">
        <f>SUMPRODUCT((I63:I65=J47)*(J62:L62=J48)*(J63:L65))</f>
        <v>70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53</v>
      </c>
      <c r="K51" s="1338" t="s">
        <v>830</v>
      </c>
      <c r="L51" s="1339">
        <f ca="1">ROUND(-PV(INDIRECT("'数据-取费表'!h"&amp;$G$1),J51,(C39-C13*C76),0),0)</f>
        <v>319</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f ca="1">J53</f>
        <v>28.17</v>
      </c>
      <c r="R52" s="1326" t="s">
        <v>835</v>
      </c>
    </row>
    <row r="53" spans="1:18" s="1291" customFormat="1" ht="24.75" thickBot="1">
      <c r="A53" s="1078" t="s">
        <v>440</v>
      </c>
      <c r="B53" s="1280" t="s">
        <v>700</v>
      </c>
      <c r="C53" s="307">
        <f ca="1">ROUND(IF(F53="押一",C49/12*F11,IF(F53="押二",C49/12*2*F11,IF(F53="押三",C49/12*3*F11,C54*F11))),0)</f>
        <v>0</v>
      </c>
      <c r="D53" s="149" t="s">
        <v>2113</v>
      </c>
      <c r="E53" s="304" t="s">
        <v>701</v>
      </c>
      <c r="F53" s="1052"/>
      <c r="I53" s="1343" t="s">
        <v>836</v>
      </c>
      <c r="J53" s="2005">
        <f ca="1">IF(M47="住宅",IF(D1="——",MAX(J51,L48),MAX(J51,L48-'数据-取费表'!B24)),IF(D1="——",MIN(J51,L48),MIN(J51,L48-'数据-取费表'!B24)))</f>
        <v>28.17</v>
      </c>
      <c r="K53" s="3440" t="s">
        <v>837</v>
      </c>
      <c r="L53" s="3441"/>
      <c r="O53" s="1324" t="s">
        <v>409</v>
      </c>
      <c r="P53" s="1325" t="s">
        <v>838</v>
      </c>
      <c r="Q53" s="1326">
        <f ca="1">Q47+Q48</f>
        <v>1981</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0.36799999999999999</v>
      </c>
      <c r="K55" s="1349" t="s">
        <v>841</v>
      </c>
      <c r="L55" s="1350"/>
      <c r="O55" s="1317" t="s">
        <v>811</v>
      </c>
      <c r="P55" s="1318" t="s">
        <v>812</v>
      </c>
      <c r="Q55" s="1319" t="s">
        <v>813</v>
      </c>
      <c r="R55" s="1319" t="s">
        <v>814</v>
      </c>
    </row>
    <row r="56" spans="1:18" s="1291" customFormat="1" ht="25.5" thickTop="1" thickBot="1">
      <c r="A56" s="902">
        <v>2</v>
      </c>
      <c r="B56" s="903" t="s">
        <v>704</v>
      </c>
      <c r="C56" s="223">
        <f ca="1">C13</f>
        <v>1230</v>
      </c>
      <c r="D56" s="1351"/>
      <c r="E56" s="1352"/>
      <c r="F56" s="1344"/>
      <c r="I56" s="1353" t="s">
        <v>842</v>
      </c>
      <c r="J56" s="1354" t="s">
        <v>3381</v>
      </c>
      <c r="K56" s="1327" t="s">
        <v>843</v>
      </c>
      <c r="L56" s="1330" t="str">
        <f ca="1">IF(L48&lt;J51,"——",L48-J53)</f>
        <v>——</v>
      </c>
      <c r="O56" s="1324" t="s">
        <v>403</v>
      </c>
      <c r="P56" s="1325" t="s">
        <v>817</v>
      </c>
      <c r="Q56" s="1326">
        <f ca="1">C40+J29</f>
        <v>1897</v>
      </c>
      <c r="R56" s="1326" t="s">
        <v>818</v>
      </c>
    </row>
    <row r="57" spans="1:18" s="1291" customFormat="1" ht="24.75" thickBot="1">
      <c r="A57" s="1355"/>
      <c r="B57" s="895" t="s">
        <v>767</v>
      </c>
      <c r="C57" s="229">
        <f ca="1">C29</f>
        <v>1619</v>
      </c>
      <c r="D57" s="1356"/>
      <c r="E57" s="1357"/>
      <c r="F57" s="1358"/>
      <c r="I57" s="1359" t="s">
        <v>844</v>
      </c>
      <c r="J57" s="1360">
        <f ca="1">IF(OR(M47="住宅",J51&lt;L48,J56="是"),"——",J51-L48)</f>
        <v>24.83</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11</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648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84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1.7</v>
      </c>
      <c r="D62" s="910" t="s">
        <v>786</v>
      </c>
      <c r="E62" s="895" t="s">
        <v>787</v>
      </c>
      <c r="F62" s="316">
        <f t="shared" si="0"/>
        <v>1.5</v>
      </c>
      <c r="I62" s="1366" t="s">
        <v>858</v>
      </c>
      <c r="J62" s="609" t="s">
        <v>859</v>
      </c>
      <c r="K62" s="609" t="s">
        <v>860</v>
      </c>
      <c r="L62" s="609" t="s">
        <v>861</v>
      </c>
      <c r="M62" s="1367" t="s">
        <v>862</v>
      </c>
      <c r="O62" s="1324" t="s">
        <v>409</v>
      </c>
      <c r="P62" s="1325" t="s">
        <v>863</v>
      </c>
      <c r="Q62" s="1326">
        <f ca="1">Q56+Q57</f>
        <v>1897</v>
      </c>
      <c r="R62" s="1326" t="s">
        <v>410</v>
      </c>
    </row>
    <row r="63" spans="1:18" s="1291" customFormat="1" ht="13.5" thickBot="1">
      <c r="A63" s="317"/>
      <c r="B63" s="901"/>
      <c r="C63" s="26"/>
      <c r="D63" s="911"/>
      <c r="E63" s="895" t="s">
        <v>788</v>
      </c>
      <c r="F63" s="294">
        <f t="shared" ca="1" si="0"/>
        <v>11337</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8.1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1.23</v>
      </c>
      <c r="D65" s="909" t="s">
        <v>743</v>
      </c>
      <c r="E65" s="895" t="s">
        <v>744</v>
      </c>
      <c r="F65" s="320">
        <f t="shared" ca="1" si="0"/>
        <v>1E-3</v>
      </c>
      <c r="I65" s="1366" t="s">
        <v>867</v>
      </c>
      <c r="J65" s="609">
        <v>40</v>
      </c>
      <c r="K65" s="609">
        <v>30</v>
      </c>
      <c r="L65" s="609">
        <v>50</v>
      </c>
      <c r="M65" s="1368">
        <v>0.02</v>
      </c>
      <c r="O65" s="1324" t="s">
        <v>403</v>
      </c>
      <c r="P65" s="1325" t="s">
        <v>868</v>
      </c>
      <c r="Q65" s="1326">
        <f ca="1">C40+J29</f>
        <v>1897</v>
      </c>
      <c r="R65" s="1326" t="s">
        <v>818</v>
      </c>
    </row>
    <row r="66" spans="1:18" s="1291" customFormat="1" ht="16.5"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-11</v>
      </c>
      <c r="D67" s="908" t="s">
        <v>753</v>
      </c>
      <c r="E67" s="913"/>
      <c r="F67" s="914"/>
      <c r="O67" s="1333" t="s">
        <v>405</v>
      </c>
      <c r="P67" s="1325" t="s">
        <v>850</v>
      </c>
      <c r="Q67" s="1369">
        <f ca="1">L51</f>
        <v>319</v>
      </c>
      <c r="R67" s="1326" t="s">
        <v>870</v>
      </c>
    </row>
    <row r="68" spans="1:18" s="1291" customFormat="1" ht="16.5" thickBot="1">
      <c r="A68" s="892" t="s">
        <v>395</v>
      </c>
      <c r="B68" s="893" t="s">
        <v>774</v>
      </c>
      <c r="C68" s="292">
        <f ca="1">ROUND(C67*(1-((1+F70)/(1+F68))^F69)/(F68-F70),0)</f>
        <v>-164</v>
      </c>
      <c r="D68" s="910" t="s">
        <v>758</v>
      </c>
      <c r="E68" s="895" t="s">
        <v>759</v>
      </c>
      <c r="F68" s="303">
        <f ca="1">F40</f>
        <v>0.05</v>
      </c>
      <c r="O68" s="1333" t="s">
        <v>406</v>
      </c>
      <c r="P68" s="1370" t="s">
        <v>871</v>
      </c>
      <c r="Q68" s="1326">
        <f ca="1">ROUND(Q69-Q70*Q71,0)</f>
        <v>16</v>
      </c>
      <c r="R68" s="1326" t="s">
        <v>414</v>
      </c>
    </row>
    <row r="69" spans="1:18" s="1291" customFormat="1" ht="13.5" thickBot="1">
      <c r="A69" s="896"/>
      <c r="B69" s="897"/>
      <c r="C69" s="297"/>
      <c r="D69" s="915" t="s">
        <v>762</v>
      </c>
      <c r="E69" s="895" t="s">
        <v>763</v>
      </c>
      <c r="F69" s="323">
        <f ca="1">F41</f>
        <v>28.17</v>
      </c>
      <c r="O69" s="1333" t="s">
        <v>411</v>
      </c>
      <c r="P69" s="1370" t="s">
        <v>872</v>
      </c>
      <c r="Q69" s="1326">
        <f ca="1">C39</f>
        <v>102</v>
      </c>
      <c r="R69" s="1326" t="s">
        <v>818</v>
      </c>
    </row>
    <row r="70" spans="1:18" s="1291" customFormat="1" ht="13.5" thickBot="1">
      <c r="A70" s="899"/>
      <c r="B70" s="900"/>
      <c r="C70" s="301"/>
      <c r="D70" s="911"/>
      <c r="E70" s="895" t="s">
        <v>766</v>
      </c>
      <c r="F70" s="990"/>
      <c r="O70" s="1333" t="s">
        <v>412</v>
      </c>
      <c r="P70" s="1370" t="s">
        <v>873</v>
      </c>
      <c r="Q70" s="1326">
        <f ca="1">C13</f>
        <v>1230</v>
      </c>
      <c r="R70" s="1326" t="s">
        <v>818</v>
      </c>
    </row>
    <row r="71" spans="1:18" s="1291" customFormat="1" ht="13.5" thickBot="1">
      <c r="A71" s="916" t="s">
        <v>396</v>
      </c>
      <c r="B71" s="917" t="s">
        <v>776</v>
      </c>
      <c r="C71" s="326">
        <f ca="1">ROUND(C68*10000/F71,0)</f>
        <v>-294</v>
      </c>
      <c r="D71" s="918" t="s">
        <v>777</v>
      </c>
      <c r="E71" s="919" t="s">
        <v>778</v>
      </c>
      <c r="F71" s="329">
        <f ca="1">F43</f>
        <v>5578.77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86</v>
      </c>
      <c r="D75" s="1291"/>
      <c r="E75" s="1291"/>
      <c r="F75" s="1291"/>
      <c r="K75" s="1308"/>
      <c r="L75" s="1291"/>
      <c r="O75" s="1324" t="s">
        <v>409</v>
      </c>
      <c r="P75" s="1325" t="s">
        <v>838</v>
      </c>
      <c r="Q75" s="1326">
        <f ca="1">Q65+Q66</f>
        <v>1897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0.15700000000000003</v>
      </c>
    </row>
    <row r="80" spans="1:18">
      <c r="B80" s="330" t="s">
        <v>800</v>
      </c>
      <c r="C80" s="265">
        <f ca="1">ROUND(C75/C39,3)</f>
        <v>0.84299999999999997</v>
      </c>
    </row>
    <row r="81" spans="2:3">
      <c r="B81" s="261" t="s">
        <v>801</v>
      </c>
      <c r="C81" s="229"/>
    </row>
    <row r="82" spans="2:3">
      <c r="B82" s="264" t="s">
        <v>802</v>
      </c>
      <c r="C82" s="266">
        <f ca="1">1-C83</f>
        <v>0.35199999999999998</v>
      </c>
    </row>
    <row r="83" spans="2:3">
      <c r="B83" s="264" t="s">
        <v>803</v>
      </c>
      <c r="C83" s="265">
        <f ca="1">ROUND(C13/C40,3)</f>
        <v>0.64800000000000002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J11">
    <cfRule type="expression" dxfId="132" priority="2">
      <formula>$M$10="自定义"</formula>
    </cfRule>
  </conditionalFormatting>
  <conditionalFormatting sqref="K55 K60">
    <cfRule type="expression" dxfId="13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1" zoomScale="90" zoomScaleNormal="70" zoomScaleSheetLayoutView="90" workbookViewId="0">
      <selection activeCell="F105" sqref="F105"/>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807" t="s">
        <v>1807</v>
      </c>
      <c r="C1" s="1140" t="s">
        <v>1659</v>
      </c>
      <c r="D1" s="1141" t="s">
        <v>3</v>
      </c>
      <c r="E1" s="3128" t="s">
        <v>3493</v>
      </c>
      <c r="F1" s="1734" t="s">
        <v>3480</v>
      </c>
      <c r="G1" s="1151" t="s">
        <v>1660</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1460</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f>IF(C2="——",C50,ROUND(B2*10000/D3,0))</f>
        <v>1.8</v>
      </c>
      <c r="C3" s="343" t="s">
        <v>1662</v>
      </c>
      <c r="D3" s="342">
        <f>IF(D1="",'数据-汇总表'!E3,SUMIF('数据-汇总表'!$C19:$C33,D1,'数据-汇总表'!$E19:$E33))</f>
        <v>0</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1766</v>
      </c>
      <c r="B4" s="345"/>
      <c r="C4" s="3393" t="s">
        <v>1664</v>
      </c>
      <c r="D4" s="3394"/>
      <c r="E4" s="3395" t="s">
        <v>1665</v>
      </c>
      <c r="F4" s="3396"/>
      <c r="G4" s="3393" t="s">
        <v>1666</v>
      </c>
      <c r="H4" s="3394"/>
      <c r="I4" s="3393" t="s">
        <v>1667</v>
      </c>
      <c r="J4" s="3394"/>
      <c r="K4" s="536" t="s">
        <v>1771</v>
      </c>
      <c r="L4" s="2483"/>
      <c r="M4" s="2484"/>
      <c r="N4" s="2484"/>
      <c r="O4" s="2484"/>
      <c r="P4" s="3456" t="s">
        <v>1669</v>
      </c>
      <c r="Q4" s="3457"/>
      <c r="R4" s="3450" t="s">
        <v>1665</v>
      </c>
      <c r="S4" s="3451"/>
      <c r="T4" s="3450" t="s">
        <v>1666</v>
      </c>
      <c r="U4" s="3451"/>
      <c r="V4" s="3449" t="s">
        <v>1667</v>
      </c>
      <c r="W4" s="3449"/>
      <c r="X4" s="1808"/>
      <c r="Y4" s="3450" t="s">
        <v>1669</v>
      </c>
      <c r="Z4" s="3451"/>
      <c r="AA4" s="3452" t="s">
        <v>1665</v>
      </c>
      <c r="AB4" s="3452" t="s">
        <v>1666</v>
      </c>
      <c r="AC4" s="3453" t="s">
        <v>1667</v>
      </c>
    </row>
    <row r="5" spans="1:29" ht="15">
      <c r="A5" s="347"/>
      <c r="B5" s="348"/>
      <c r="C5" s="3460" t="s">
        <v>3490</v>
      </c>
      <c r="D5" s="3387"/>
      <c r="E5" s="3384" t="s">
        <v>3491</v>
      </c>
      <c r="F5" s="3385"/>
      <c r="G5" s="3460" t="s">
        <v>3492</v>
      </c>
      <c r="H5" s="3387"/>
      <c r="I5" s="3460" t="s">
        <v>3491</v>
      </c>
      <c r="J5" s="3387"/>
      <c r="K5" s="536"/>
      <c r="L5" s="2483"/>
      <c r="M5" s="2484"/>
      <c r="N5" s="2484"/>
      <c r="O5" s="2484"/>
      <c r="P5" s="3458"/>
      <c r="Q5" s="3400"/>
      <c r="R5" s="3382"/>
      <c r="S5" s="3383"/>
      <c r="T5" s="3382"/>
      <c r="U5" s="3383"/>
      <c r="V5" s="3377"/>
      <c r="W5" s="3377"/>
      <c r="X5" s="1264"/>
      <c r="Y5" s="3382"/>
      <c r="Z5" s="3383"/>
      <c r="AA5" s="3375"/>
      <c r="AB5" s="3375"/>
      <c r="AC5" s="3454"/>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59"/>
      <c r="Q6" s="3402"/>
      <c r="R6" s="3382"/>
      <c r="S6" s="3383"/>
      <c r="T6" s="3403"/>
      <c r="U6" s="3404"/>
      <c r="V6" s="3377"/>
      <c r="W6" s="3377"/>
      <c r="X6" s="1264"/>
      <c r="Y6" s="3403"/>
      <c r="Z6" s="3404"/>
      <c r="AA6" s="3376"/>
      <c r="AB6" s="3376"/>
      <c r="AC6" s="3455"/>
    </row>
    <row r="7" spans="1:29" s="101" customFormat="1" ht="15.75" thickBot="1">
      <c r="A7" s="351" t="s">
        <v>1676</v>
      </c>
      <c r="B7" s="352"/>
      <c r="C7" s="353">
        <f>'数据-取费表'!B2</f>
        <v>45315</v>
      </c>
      <c r="D7" s="354">
        <v>100</v>
      </c>
      <c r="E7" s="355">
        <f>C7</f>
        <v>45315</v>
      </c>
      <c r="F7" s="356">
        <f>SUMIF(59:59,YEAR(E7)&amp;"-"&amp;MONTH(E7),60:60)</f>
        <v>100</v>
      </c>
      <c r="G7" s="355">
        <f>C7</f>
        <v>45315</v>
      </c>
      <c r="H7" s="354">
        <f>SUMIF(59:59,YEAR(G7)&amp;"-"&amp;MONTH(G7),60:60)</f>
        <v>100</v>
      </c>
      <c r="I7" s="355">
        <f>C7</f>
        <v>45315</v>
      </c>
      <c r="J7" s="354">
        <f>SUMIF(59:59,YEAR(I7)&amp;"-"&amp;MONTH(I7),60:60)</f>
        <v>100</v>
      </c>
      <c r="K7" s="38"/>
      <c r="L7" s="2485"/>
      <c r="M7" s="2437"/>
      <c r="N7" s="2437"/>
      <c r="O7" s="2437"/>
      <c r="P7" s="3448" t="s">
        <v>1677</v>
      </c>
      <c r="Q7" s="3405"/>
      <c r="R7" s="663" t="s">
        <v>14</v>
      </c>
      <c r="S7" s="664">
        <f t="shared" ref="S7:S15" si="0">F7</f>
        <v>100</v>
      </c>
      <c r="T7" s="663" t="s">
        <v>14</v>
      </c>
      <c r="U7" s="664">
        <f t="shared" ref="U7:U15" si="1">H7</f>
        <v>100</v>
      </c>
      <c r="V7" s="663" t="s">
        <v>14</v>
      </c>
      <c r="W7" s="664">
        <f t="shared" ref="W7:W15" si="2">J7</f>
        <v>100</v>
      </c>
      <c r="X7" s="665"/>
      <c r="Y7" s="3378" t="s">
        <v>1677</v>
      </c>
      <c r="Z7" s="3379"/>
      <c r="AA7" s="50">
        <f>D7/F7</f>
        <v>1</v>
      </c>
      <c r="AB7" s="50">
        <f>D7/H7</f>
        <v>1</v>
      </c>
      <c r="AC7" s="801">
        <f>D7/J7</f>
        <v>1</v>
      </c>
    </row>
    <row r="8" spans="1:29" s="101" customFormat="1" ht="15.75" thickBot="1">
      <c r="A8" s="351" t="s">
        <v>1678</v>
      </c>
      <c r="B8" s="352"/>
      <c r="C8" s="357" t="s">
        <v>3426</v>
      </c>
      <c r="D8" s="354">
        <v>100</v>
      </c>
      <c r="E8" s="357" t="s">
        <v>3427</v>
      </c>
      <c r="F8" s="356">
        <f>SUMIF(62:62,E8,63:63)-SUMIF(62:62,C8,63:63)+100</f>
        <v>103</v>
      </c>
      <c r="G8" s="357" t="s">
        <v>3427</v>
      </c>
      <c r="H8" s="354">
        <f>SUMIF(62:62,G8,63:63)-SUMIF(62:62,C8,63:63)+100</f>
        <v>103</v>
      </c>
      <c r="I8" s="357" t="s">
        <v>3427</v>
      </c>
      <c r="J8" s="354">
        <f>SUMIF(62:62,I8,63:63)-SUMIF(62:62,C8,63:63)+100</f>
        <v>103</v>
      </c>
      <c r="K8" s="38"/>
      <c r="L8" s="2485"/>
      <c r="M8" s="2437"/>
      <c r="N8" s="2437"/>
      <c r="O8" s="2437"/>
      <c r="P8" s="3448" t="s">
        <v>1680</v>
      </c>
      <c r="Q8" s="3379"/>
      <c r="R8" s="663" t="s">
        <v>14</v>
      </c>
      <c r="S8" s="664">
        <f t="shared" si="0"/>
        <v>103</v>
      </c>
      <c r="T8" s="663" t="s">
        <v>14</v>
      </c>
      <c r="U8" s="664">
        <f t="shared" si="1"/>
        <v>103</v>
      </c>
      <c r="V8" s="663" t="s">
        <v>14</v>
      </c>
      <c r="W8" s="664">
        <f t="shared" si="2"/>
        <v>103</v>
      </c>
      <c r="X8" s="665"/>
      <c r="Y8" s="3378" t="s">
        <v>1680</v>
      </c>
      <c r="Z8" s="3379"/>
      <c r="AA8" s="50">
        <f t="shared" ref="AA8:AA47" si="3">D8/F8</f>
        <v>0.970873786407767</v>
      </c>
      <c r="AB8" s="50">
        <f t="shared" ref="AB8:AB47" si="4">D8/H8</f>
        <v>0.970873786407767</v>
      </c>
      <c r="AC8" s="801">
        <f t="shared" ref="AC8:AC47" si="5">D8/J8</f>
        <v>0.970873786407767</v>
      </c>
    </row>
    <row r="9" spans="1:29" s="101" customFormat="1">
      <c r="A9" s="358" t="s">
        <v>1681</v>
      </c>
      <c r="B9" s="60" t="s">
        <v>1682</v>
      </c>
      <c r="C9" s="3164" t="s">
        <v>3450</v>
      </c>
      <c r="D9" s="59">
        <v>100</v>
      </c>
      <c r="E9" s="361" t="s">
        <v>21</v>
      </c>
      <c r="F9" s="59">
        <f>SUMIF(64:64,E9,65:65)-SUMIF(64:64,C9,65:65)+100</f>
        <v>100</v>
      </c>
      <c r="G9" s="361" t="s">
        <v>21</v>
      </c>
      <c r="H9" s="59">
        <f>SUMIF(64:64,G9,65:65)-SUMIF(64:64,C9,65:65)+100</f>
        <v>100</v>
      </c>
      <c r="I9" s="361" t="s">
        <v>21</v>
      </c>
      <c r="J9" s="59">
        <f>SUMIF(64:64,I9,65:65)-SUMIF(64:64,C9,65:65)+100</f>
        <v>100</v>
      </c>
      <c r="K9" s="38"/>
      <c r="L9" s="2485"/>
      <c r="M9" s="2437"/>
      <c r="N9" s="2437"/>
      <c r="O9" s="2437"/>
      <c r="P9" s="3392"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801">
        <f t="shared" si="5"/>
        <v>1</v>
      </c>
    </row>
    <row r="10" spans="1:29" s="365" customFormat="1" ht="27">
      <c r="A10" s="362"/>
      <c r="B10" s="363" t="s">
        <v>1685</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92"/>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801">
        <f t="shared" si="5"/>
        <v>1</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92"/>
      <c r="Q11" s="529" t="str">
        <f t="shared" si="6"/>
        <v>容积率</v>
      </c>
      <c r="R11" s="663" t="s">
        <v>14</v>
      </c>
      <c r="S11" s="664">
        <f t="shared" si="0"/>
        <v>100</v>
      </c>
      <c r="T11" s="663" t="s">
        <v>14</v>
      </c>
      <c r="U11" s="664">
        <f t="shared" si="1"/>
        <v>100</v>
      </c>
      <c r="V11" s="663" t="s">
        <v>14</v>
      </c>
      <c r="W11" s="664">
        <f t="shared" si="2"/>
        <v>100</v>
      </c>
      <c r="X11" s="665"/>
      <c r="Y11" s="3343"/>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92"/>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92"/>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92"/>
      <c r="Q14" s="529">
        <f t="shared" si="6"/>
        <v>111</v>
      </c>
      <c r="R14" s="663" t="s">
        <v>14</v>
      </c>
      <c r="S14" s="664">
        <f t="shared" si="0"/>
        <v>100</v>
      </c>
      <c r="T14" s="663" t="s">
        <v>14</v>
      </c>
      <c r="U14" s="664">
        <f t="shared" si="1"/>
        <v>100</v>
      </c>
      <c r="V14" s="663" t="s">
        <v>14</v>
      </c>
      <c r="W14" s="664">
        <f t="shared" si="2"/>
        <v>100</v>
      </c>
      <c r="X14" s="665"/>
      <c r="Y14" s="3343"/>
      <c r="Z14" s="50">
        <f t="shared" si="7"/>
        <v>111</v>
      </c>
      <c r="AA14" s="50">
        <f t="shared" si="3"/>
        <v>1</v>
      </c>
      <c r="AB14" s="50">
        <f t="shared" si="4"/>
        <v>1</v>
      </c>
      <c r="AC14" s="801">
        <f t="shared" si="5"/>
        <v>1</v>
      </c>
    </row>
    <row r="15" spans="1:29" ht="71.25">
      <c r="A15" s="378" t="s">
        <v>1687</v>
      </c>
      <c r="B15" s="553" t="s">
        <v>1808</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89"/>
      <c r="M15" s="2484"/>
      <c r="N15" s="2484"/>
      <c r="O15" s="2484"/>
      <c r="P15" s="3406" t="s">
        <v>1688</v>
      </c>
      <c r="Q15" s="1262" t="str">
        <f t="shared" si="6"/>
        <v>办公集聚程度</v>
      </c>
      <c r="R15" s="666" t="s">
        <v>14</v>
      </c>
      <c r="S15" s="667">
        <f t="shared" si="0"/>
        <v>100</v>
      </c>
      <c r="T15" s="666" t="s">
        <v>14</v>
      </c>
      <c r="U15" s="667">
        <f t="shared" si="1"/>
        <v>100</v>
      </c>
      <c r="V15" s="666" t="s">
        <v>14</v>
      </c>
      <c r="W15" s="667">
        <f t="shared" si="2"/>
        <v>100</v>
      </c>
      <c r="X15" s="1264"/>
      <c r="Y15" s="3408" t="s">
        <v>1688</v>
      </c>
      <c r="Z15" s="1263" t="str">
        <f t="shared" si="7"/>
        <v>办公集聚程度</v>
      </c>
      <c r="AA15" s="1263">
        <f t="shared" si="3"/>
        <v>1</v>
      </c>
      <c r="AB15" s="1263">
        <f t="shared" si="4"/>
        <v>1</v>
      </c>
      <c r="AC15" s="1811">
        <f t="shared" si="5"/>
        <v>1</v>
      </c>
    </row>
    <row r="16" spans="1:29" ht="15">
      <c r="A16" s="366"/>
      <c r="B16" s="554"/>
      <c r="C16" s="1757" t="s">
        <v>3485</v>
      </c>
      <c r="D16" s="386"/>
      <c r="E16" s="1757" t="s">
        <v>3485</v>
      </c>
      <c r="F16" s="386"/>
      <c r="G16" s="1757" t="s">
        <v>3485</v>
      </c>
      <c r="H16" s="388"/>
      <c r="I16" s="1757" t="s">
        <v>3485</v>
      </c>
      <c r="J16" s="386"/>
      <c r="K16" s="540"/>
      <c r="L16" s="2489"/>
      <c r="M16" s="2484"/>
      <c r="N16" s="2484"/>
      <c r="O16" s="2484"/>
      <c r="P16" s="3407"/>
      <c r="Q16" s="1262"/>
      <c r="R16" s="666"/>
      <c r="S16" s="667"/>
      <c r="T16" s="666"/>
      <c r="U16" s="667"/>
      <c r="V16" s="666"/>
      <c r="W16" s="667"/>
      <c r="X16" s="1264"/>
      <c r="Y16" s="3409"/>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89"/>
      <c r="M17" s="2484"/>
      <c r="N17" s="2484"/>
      <c r="O17" s="2484"/>
      <c r="P17" s="3407"/>
      <c r="Q17" s="1262" t="str">
        <f>B17</f>
        <v>交通便捷度</v>
      </c>
      <c r="R17" s="666" t="s">
        <v>14</v>
      </c>
      <c r="S17" s="667">
        <f>F17</f>
        <v>100</v>
      </c>
      <c r="T17" s="666" t="s">
        <v>14</v>
      </c>
      <c r="U17" s="667">
        <f>H17</f>
        <v>100</v>
      </c>
      <c r="V17" s="666" t="s">
        <v>14</v>
      </c>
      <c r="W17" s="667">
        <f>J17</f>
        <v>100</v>
      </c>
      <c r="X17" s="1264"/>
      <c r="Y17" s="3409"/>
      <c r="Z17" s="1263" t="str">
        <f>Q17</f>
        <v>交通便捷度</v>
      </c>
      <c r="AA17" s="1263">
        <f t="shared" si="3"/>
        <v>1</v>
      </c>
      <c r="AB17" s="1263">
        <f t="shared" si="4"/>
        <v>1</v>
      </c>
      <c r="AC17" s="1811">
        <f t="shared" si="5"/>
        <v>1</v>
      </c>
    </row>
    <row r="18" spans="1:29" ht="15">
      <c r="A18" s="366"/>
      <c r="B18" s="400"/>
      <c r="C18" s="1757" t="s">
        <v>3485</v>
      </c>
      <c r="D18" s="388"/>
      <c r="E18" s="1757" t="s">
        <v>3485</v>
      </c>
      <c r="F18" s="388"/>
      <c r="G18" s="1757" t="s">
        <v>3485</v>
      </c>
      <c r="H18" s="386"/>
      <c r="I18" s="1757" t="s">
        <v>3485</v>
      </c>
      <c r="J18" s="386"/>
      <c r="K18" s="540"/>
      <c r="L18" s="2489"/>
      <c r="M18" s="2484"/>
      <c r="N18" s="2484"/>
      <c r="O18" s="2484"/>
      <c r="P18" s="3407"/>
      <c r="Q18" s="1262"/>
      <c r="R18" s="666"/>
      <c r="S18" s="667"/>
      <c r="T18" s="666"/>
      <c r="U18" s="667"/>
      <c r="V18" s="666"/>
      <c r="W18" s="667"/>
      <c r="X18" s="1264"/>
      <c r="Y18" s="3409"/>
      <c r="Z18" s="1263"/>
      <c r="AA18" s="1263">
        <v>1</v>
      </c>
      <c r="AB18" s="1263">
        <v>1</v>
      </c>
      <c r="AC18" s="1811">
        <v>1</v>
      </c>
    </row>
    <row r="19" spans="1:29" ht="42.75">
      <c r="A19" s="366"/>
      <c r="B19" s="555" t="s">
        <v>1809</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v>2</v>
      </c>
      <c r="L19" s="2489"/>
      <c r="M19" s="2484"/>
      <c r="N19" s="2484"/>
      <c r="O19" s="2484"/>
      <c r="P19" s="3407"/>
      <c r="Q19" s="1262" t="str">
        <f>B19</f>
        <v>公共配套设施</v>
      </c>
      <c r="R19" s="666" t="s">
        <v>14</v>
      </c>
      <c r="S19" s="667">
        <f>F19</f>
        <v>100</v>
      </c>
      <c r="T19" s="666" t="s">
        <v>14</v>
      </c>
      <c r="U19" s="667">
        <f>H19</f>
        <v>100</v>
      </c>
      <c r="V19" s="666" t="s">
        <v>14</v>
      </c>
      <c r="W19" s="667">
        <f>J19</f>
        <v>100</v>
      </c>
      <c r="X19" s="1264"/>
      <c r="Y19" s="3409"/>
      <c r="Z19" s="1263" t="str">
        <f>Q19</f>
        <v>公共配套设施</v>
      </c>
      <c r="AA19" s="1263">
        <f t="shared" si="3"/>
        <v>1</v>
      </c>
      <c r="AB19" s="1263">
        <f t="shared" si="4"/>
        <v>1</v>
      </c>
      <c r="AC19" s="1811">
        <f t="shared" si="5"/>
        <v>1</v>
      </c>
    </row>
    <row r="20" spans="1:29" ht="15">
      <c r="A20" s="366"/>
      <c r="B20" s="400"/>
      <c r="C20" s="1757" t="s">
        <v>3485</v>
      </c>
      <c r="D20" s="386"/>
      <c r="E20" s="1757" t="s">
        <v>3485</v>
      </c>
      <c r="F20" s="386"/>
      <c r="G20" s="1757" t="s">
        <v>3485</v>
      </c>
      <c r="H20" s="386"/>
      <c r="I20" s="1757" t="s">
        <v>3485</v>
      </c>
      <c r="J20" s="386"/>
      <c r="K20" s="540"/>
      <c r="L20" s="2489"/>
      <c r="M20" s="2484"/>
      <c r="N20" s="2484"/>
      <c r="O20" s="2484"/>
      <c r="P20" s="3407"/>
      <c r="Q20" s="1262"/>
      <c r="R20" s="666"/>
      <c r="S20" s="667"/>
      <c r="T20" s="666"/>
      <c r="U20" s="667"/>
      <c r="V20" s="666"/>
      <c r="W20" s="667"/>
      <c r="X20" s="1264"/>
      <c r="Y20" s="3409"/>
      <c r="Z20" s="1263"/>
      <c r="AA20" s="1263">
        <v>1</v>
      </c>
      <c r="AB20" s="1263">
        <v>1</v>
      </c>
      <c r="AC20" s="1811">
        <v>1</v>
      </c>
    </row>
    <row r="21" spans="1:29" ht="28.5">
      <c r="A21" s="366"/>
      <c r="B21" s="556" t="s">
        <v>1810</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2</v>
      </c>
      <c r="L21" s="2489"/>
      <c r="M21" s="2484"/>
      <c r="N21" s="2484"/>
      <c r="O21" s="2484"/>
      <c r="P21" s="3407"/>
      <c r="Q21" s="1262" t="str">
        <f>B21</f>
        <v>基础设施水平</v>
      </c>
      <c r="R21" s="666" t="s">
        <v>14</v>
      </c>
      <c r="S21" s="667">
        <f>F21</f>
        <v>100</v>
      </c>
      <c r="T21" s="666" t="s">
        <v>14</v>
      </c>
      <c r="U21" s="667">
        <f>H21</f>
        <v>100</v>
      </c>
      <c r="V21" s="666" t="s">
        <v>14</v>
      </c>
      <c r="W21" s="667">
        <f>J21</f>
        <v>100</v>
      </c>
      <c r="X21" s="1264"/>
      <c r="Y21" s="3409"/>
      <c r="Z21" s="1263" t="str">
        <f>Q21</f>
        <v>基础设施水平</v>
      </c>
      <c r="AA21" s="1263">
        <f t="shared" ref="AA21" si="8">D21/F21</f>
        <v>1</v>
      </c>
      <c r="AB21" s="1263">
        <f t="shared" ref="AB21" si="9">D21/H21</f>
        <v>1</v>
      </c>
      <c r="AC21" s="1811">
        <f t="shared" ref="AC21" si="10">D21/J21</f>
        <v>1</v>
      </c>
    </row>
    <row r="22" spans="1:29" ht="15">
      <c r="A22" s="366"/>
      <c r="B22" s="556"/>
      <c r="C22" s="1813" t="s">
        <v>3468</v>
      </c>
      <c r="D22" s="386"/>
      <c r="E22" s="1813" t="s">
        <v>3468</v>
      </c>
      <c r="F22" s="386"/>
      <c r="G22" s="1813" t="s">
        <v>3468</v>
      </c>
      <c r="H22" s="386"/>
      <c r="I22" s="1813" t="s">
        <v>3468</v>
      </c>
      <c r="J22" s="386"/>
      <c r="K22" s="1063"/>
      <c r="L22" s="2489"/>
      <c r="M22" s="2484"/>
      <c r="N22" s="2484"/>
      <c r="O22" s="2484"/>
      <c r="P22" s="3407"/>
      <c r="Q22" s="1262"/>
      <c r="R22" s="666"/>
      <c r="S22" s="667"/>
      <c r="T22" s="666"/>
      <c r="U22" s="667"/>
      <c r="V22" s="666"/>
      <c r="W22" s="667"/>
      <c r="X22" s="1264"/>
      <c r="Y22" s="3409"/>
      <c r="Z22" s="1263"/>
      <c r="AA22" s="1263">
        <v>1</v>
      </c>
      <c r="AB22" s="1263">
        <v>1</v>
      </c>
      <c r="AC22" s="1811">
        <v>1</v>
      </c>
    </row>
    <row r="23" spans="1:29" ht="42.75">
      <c r="A23" s="366"/>
      <c r="B23" s="555" t="s">
        <v>1811</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v>3</v>
      </c>
      <c r="L23" s="2489"/>
      <c r="M23" s="2484"/>
      <c r="N23" s="2484"/>
      <c r="O23" s="2484"/>
      <c r="P23" s="3407"/>
      <c r="Q23" s="1262" t="str">
        <f>B23</f>
        <v>环境质量</v>
      </c>
      <c r="R23" s="666" t="s">
        <v>14</v>
      </c>
      <c r="S23" s="667">
        <f>F23</f>
        <v>100</v>
      </c>
      <c r="T23" s="666" t="s">
        <v>14</v>
      </c>
      <c r="U23" s="667">
        <f>H23</f>
        <v>100</v>
      </c>
      <c r="V23" s="666" t="s">
        <v>14</v>
      </c>
      <c r="W23" s="667">
        <f>J23</f>
        <v>100</v>
      </c>
      <c r="X23" s="1264"/>
      <c r="Y23" s="3409"/>
      <c r="Z23" s="1263" t="str">
        <f>Q23</f>
        <v>环境质量</v>
      </c>
      <c r="AA23" s="1263">
        <f t="shared" si="3"/>
        <v>1</v>
      </c>
      <c r="AB23" s="1263">
        <f t="shared" si="4"/>
        <v>1</v>
      </c>
      <c r="AC23" s="1811">
        <f t="shared" si="5"/>
        <v>1</v>
      </c>
    </row>
    <row r="24" spans="1:29" ht="15">
      <c r="A24" s="366"/>
      <c r="B24" s="556"/>
      <c r="C24" s="1757" t="s">
        <v>3408</v>
      </c>
      <c r="D24" s="386"/>
      <c r="E24" s="1757" t="s">
        <v>3408</v>
      </c>
      <c r="F24" s="386"/>
      <c r="G24" s="1757" t="s">
        <v>3408</v>
      </c>
      <c r="H24" s="386"/>
      <c r="I24" s="1757" t="s">
        <v>3408</v>
      </c>
      <c r="J24" s="386"/>
      <c r="K24" s="540"/>
      <c r="L24" s="2489"/>
      <c r="M24" s="2484"/>
      <c r="N24" s="2484"/>
      <c r="O24" s="2484"/>
      <c r="P24" s="3407"/>
      <c r="Q24" s="1262"/>
      <c r="R24" s="666"/>
      <c r="S24" s="667"/>
      <c r="T24" s="666"/>
      <c r="U24" s="667"/>
      <c r="V24" s="666"/>
      <c r="W24" s="667"/>
      <c r="X24" s="1264"/>
      <c r="Y24" s="3409"/>
      <c r="Z24" s="1263"/>
      <c r="AA24" s="1263">
        <v>1</v>
      </c>
      <c r="AB24" s="1263">
        <v>1</v>
      </c>
      <c r="AC24" s="1811">
        <v>1</v>
      </c>
    </row>
    <row r="25" spans="1:29" ht="27">
      <c r="A25" s="347"/>
      <c r="B25" s="555" t="s">
        <v>1812</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07"/>
      <c r="Q25" s="1262" t="str">
        <f>B25</f>
        <v>毗邻道路的类型与等级</v>
      </c>
      <c r="R25" s="666" t="s">
        <v>14</v>
      </c>
      <c r="S25" s="667">
        <f>F25</f>
        <v>100</v>
      </c>
      <c r="T25" s="666" t="s">
        <v>14</v>
      </c>
      <c r="U25" s="667">
        <f>H25</f>
        <v>100</v>
      </c>
      <c r="V25" s="666" t="s">
        <v>14</v>
      </c>
      <c r="W25" s="667">
        <f>J25</f>
        <v>100</v>
      </c>
      <c r="X25" s="1264"/>
      <c r="Y25" s="340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07"/>
      <c r="Q26" s="1262"/>
      <c r="R26" s="666"/>
      <c r="S26" s="667"/>
      <c r="T26" s="666"/>
      <c r="U26" s="667"/>
      <c r="V26" s="666"/>
      <c r="W26" s="667"/>
      <c r="X26" s="1264"/>
      <c r="Y26" s="3409"/>
      <c r="Z26" s="1263"/>
      <c r="AA26" s="1263">
        <v>1</v>
      </c>
      <c r="AB26" s="1263">
        <v>1</v>
      </c>
      <c r="AC26" s="1811">
        <v>1</v>
      </c>
    </row>
    <row r="27" spans="1:29" ht="15">
      <c r="A27" s="366"/>
      <c r="B27" s="400" t="s">
        <v>1780</v>
      </c>
      <c r="C27" s="557"/>
      <c r="D27" s="373">
        <v>100</v>
      </c>
      <c r="E27" s="557"/>
      <c r="F27" s="373">
        <f>SUMIF(89:89,E27,90:90)-SUMIF(89:89,C27,90:90)+100</f>
        <v>100</v>
      </c>
      <c r="G27" s="557"/>
      <c r="H27" s="373">
        <f>SUMIF(89:89,G27,90:90)-SUMIF(89:89,C27,90:90)+100</f>
        <v>100</v>
      </c>
      <c r="I27" s="557"/>
      <c r="J27" s="373">
        <f>SUMIF(89:89,I27,90:90)-SUMIF(89:89,C27,90:90)+100</f>
        <v>100</v>
      </c>
      <c r="K27" s="537">
        <v>2</v>
      </c>
      <c r="L27" s="2489"/>
      <c r="M27" s="2484"/>
      <c r="N27" s="2484"/>
      <c r="O27" s="2484"/>
      <c r="P27" s="3407"/>
      <c r="Q27" s="1262" t="str">
        <f t="shared" ref="Q27:Q47" si="11">B27</f>
        <v>楼层</v>
      </c>
      <c r="R27" s="666" t="s">
        <v>14</v>
      </c>
      <c r="S27" s="667">
        <f>F27</f>
        <v>100</v>
      </c>
      <c r="T27" s="666" t="s">
        <v>14</v>
      </c>
      <c r="U27" s="667">
        <f>H27</f>
        <v>100</v>
      </c>
      <c r="V27" s="666" t="s">
        <v>14</v>
      </c>
      <c r="W27" s="667">
        <f>J27</f>
        <v>100</v>
      </c>
      <c r="X27" s="1264"/>
      <c r="Y27" s="3409"/>
      <c r="Z27" s="1263" t="str">
        <f>Q27</f>
        <v>楼层</v>
      </c>
      <c r="AA27" s="1263">
        <f t="shared" si="3"/>
        <v>1</v>
      </c>
      <c r="AB27" s="1263">
        <f t="shared" si="4"/>
        <v>1</v>
      </c>
      <c r="AC27" s="1811">
        <f t="shared" si="5"/>
        <v>1</v>
      </c>
    </row>
    <row r="28" spans="1:29" s="101" customFormat="1" ht="15">
      <c r="A28" s="369"/>
      <c r="B28" s="555" t="s">
        <v>1813</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07"/>
      <c r="Q28" s="529" t="str">
        <f t="shared" si="11"/>
        <v>朝向</v>
      </c>
      <c r="R28" s="663" t="s">
        <v>14</v>
      </c>
      <c r="S28" s="664">
        <f>F28</f>
        <v>100</v>
      </c>
      <c r="T28" s="663" t="s">
        <v>14</v>
      </c>
      <c r="U28" s="664">
        <f>H28</f>
        <v>100</v>
      </c>
      <c r="V28" s="663" t="s">
        <v>14</v>
      </c>
      <c r="W28" s="664">
        <f>J28</f>
        <v>100</v>
      </c>
      <c r="X28" s="665"/>
      <c r="Y28" s="3409"/>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07"/>
      <c r="Q29" s="1262">
        <f t="shared" si="11"/>
        <v>111</v>
      </c>
      <c r="R29" s="666" t="s">
        <v>14</v>
      </c>
      <c r="S29" s="667">
        <f t="shared" ref="S29:S47" si="12">F29</f>
        <v>100</v>
      </c>
      <c r="T29" s="666" t="s">
        <v>14</v>
      </c>
      <c r="U29" s="667">
        <f t="shared" ref="U29:U47" si="13">H29</f>
        <v>100</v>
      </c>
      <c r="V29" s="666" t="s">
        <v>14</v>
      </c>
      <c r="W29" s="667">
        <f t="shared" ref="W29:W47" si="14">J29</f>
        <v>100</v>
      </c>
      <c r="X29" s="1264"/>
      <c r="Y29" s="340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07"/>
      <c r="Q30" s="1262">
        <f t="shared" si="11"/>
        <v>111</v>
      </c>
      <c r="R30" s="666" t="s">
        <v>14</v>
      </c>
      <c r="S30" s="667">
        <f t="shared" si="12"/>
        <v>100</v>
      </c>
      <c r="T30" s="666" t="s">
        <v>14</v>
      </c>
      <c r="U30" s="667">
        <f t="shared" si="13"/>
        <v>100</v>
      </c>
      <c r="V30" s="666" t="s">
        <v>14</v>
      </c>
      <c r="W30" s="667">
        <f t="shared" si="14"/>
        <v>100</v>
      </c>
      <c r="X30" s="1264"/>
      <c r="Y30" s="340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07"/>
      <c r="Q31" s="1262">
        <f t="shared" si="11"/>
        <v>111</v>
      </c>
      <c r="R31" s="666" t="s">
        <v>14</v>
      </c>
      <c r="S31" s="667">
        <f t="shared" si="12"/>
        <v>100</v>
      </c>
      <c r="T31" s="666" t="s">
        <v>14</v>
      </c>
      <c r="U31" s="667">
        <f t="shared" si="13"/>
        <v>100</v>
      </c>
      <c r="V31" s="666" t="s">
        <v>14</v>
      </c>
      <c r="W31" s="667">
        <f t="shared" si="14"/>
        <v>100</v>
      </c>
      <c r="X31" s="1264"/>
      <c r="Y31" s="3409"/>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07"/>
      <c r="Q32" s="1262">
        <f t="shared" si="11"/>
        <v>111</v>
      </c>
      <c r="R32" s="666" t="s">
        <v>14</v>
      </c>
      <c r="S32" s="667">
        <f t="shared" si="12"/>
        <v>100</v>
      </c>
      <c r="T32" s="666" t="s">
        <v>14</v>
      </c>
      <c r="U32" s="667">
        <f t="shared" si="13"/>
        <v>100</v>
      </c>
      <c r="V32" s="666" t="s">
        <v>14</v>
      </c>
      <c r="W32" s="667">
        <f t="shared" si="14"/>
        <v>100</v>
      </c>
      <c r="X32" s="1264"/>
      <c r="Y32" s="3409"/>
      <c r="Z32" s="1263">
        <f t="shared" si="15"/>
        <v>111</v>
      </c>
      <c r="AA32" s="1263">
        <f t="shared" si="3"/>
        <v>1</v>
      </c>
      <c r="AB32" s="1263">
        <f t="shared" si="4"/>
        <v>1</v>
      </c>
      <c r="AC32" s="1811">
        <f t="shared" si="5"/>
        <v>1</v>
      </c>
    </row>
    <row r="33" spans="1:29" ht="15">
      <c r="A33" s="378" t="s">
        <v>1691</v>
      </c>
      <c r="B33" s="60" t="s">
        <v>1814</v>
      </c>
      <c r="C33" s="1763" t="s">
        <v>3494</v>
      </c>
      <c r="D33" s="404">
        <v>100</v>
      </c>
      <c r="E33" s="1763" t="s">
        <v>3494</v>
      </c>
      <c r="F33" s="399">
        <f>SUMIF(101:101,E33,102:102)-SUMIF(101:101,C33,102:102)+100</f>
        <v>100</v>
      </c>
      <c r="G33" s="1763" t="s">
        <v>3494</v>
      </c>
      <c r="H33" s="373">
        <f>SUMIF(101:101,G33,102:102)-SUMIF(101:101,C33,102:102)+100</f>
        <v>100</v>
      </c>
      <c r="I33" s="1763" t="s">
        <v>3494</v>
      </c>
      <c r="J33" s="404">
        <f>SUMIF(101:101,I33,102:102)-SUMIF(101:101,C33,102:102)+100</f>
        <v>100</v>
      </c>
      <c r="K33" s="537">
        <v>5</v>
      </c>
      <c r="L33" s="2489"/>
      <c r="M33" s="2484"/>
      <c r="N33" s="2484"/>
      <c r="O33" s="2484"/>
      <c r="P33" s="3410" t="s">
        <v>1693</v>
      </c>
      <c r="Q33" s="1262" t="str">
        <f t="shared" si="11"/>
        <v>建筑类型</v>
      </c>
      <c r="R33" s="666" t="s">
        <v>14</v>
      </c>
      <c r="S33" s="667">
        <f t="shared" si="12"/>
        <v>100</v>
      </c>
      <c r="T33" s="666" t="s">
        <v>14</v>
      </c>
      <c r="U33" s="667">
        <f t="shared" si="13"/>
        <v>100</v>
      </c>
      <c r="V33" s="666" t="s">
        <v>14</v>
      </c>
      <c r="W33" s="667">
        <f t="shared" si="14"/>
        <v>100</v>
      </c>
      <c r="X33" s="1264"/>
      <c r="Y33" s="3413" t="s">
        <v>1693</v>
      </c>
      <c r="Z33" s="1263" t="str">
        <f t="shared" si="15"/>
        <v>建筑类型</v>
      </c>
      <c r="AA33" s="1263">
        <f t="shared" si="3"/>
        <v>1</v>
      </c>
      <c r="AB33" s="1263">
        <f t="shared" si="4"/>
        <v>1</v>
      </c>
      <c r="AC33" s="1811">
        <f t="shared" si="5"/>
        <v>1</v>
      </c>
    </row>
    <row r="34" spans="1:29" s="407" customFormat="1" ht="15">
      <c r="A34" s="405"/>
      <c r="B34" s="363" t="s">
        <v>1694</v>
      </c>
      <c r="C34" s="406">
        <f>'数据-汇总表'!E3</f>
        <v>7170.4100000000008</v>
      </c>
      <c r="D34" s="118">
        <v>100</v>
      </c>
      <c r="E34" s="406">
        <v>645</v>
      </c>
      <c r="F34" s="363">
        <f>LOOKUP(E34,104:104,105:105)-LOOKUP(C34,104:104,105:105)+100</f>
        <v>102</v>
      </c>
      <c r="G34" s="406">
        <v>1388</v>
      </c>
      <c r="H34" s="118">
        <f>LOOKUP(G34,104:104,105:105)-LOOKUP(C34,104:104,105:105)+100</f>
        <v>101</v>
      </c>
      <c r="I34" s="406">
        <v>1388</v>
      </c>
      <c r="J34" s="118">
        <f>LOOKUP(I34,104:104,105:105)-LOOKUP(C34,104:104,105:105)+100</f>
        <v>101</v>
      </c>
      <c r="K34" s="538"/>
      <c r="L34" s="2488"/>
      <c r="M34" s="2490"/>
      <c r="N34" s="2490"/>
      <c r="O34" s="2490"/>
      <c r="P34" s="3411"/>
      <c r="Q34" s="530" t="str">
        <f t="shared" si="11"/>
        <v>项目建筑规模</v>
      </c>
      <c r="R34" s="668" t="s">
        <v>14</v>
      </c>
      <c r="S34" s="669">
        <f t="shared" si="12"/>
        <v>102</v>
      </c>
      <c r="T34" s="668" t="s">
        <v>14</v>
      </c>
      <c r="U34" s="669">
        <f t="shared" si="13"/>
        <v>101</v>
      </c>
      <c r="V34" s="668" t="s">
        <v>14</v>
      </c>
      <c r="W34" s="669">
        <f t="shared" si="14"/>
        <v>101</v>
      </c>
      <c r="X34" s="670"/>
      <c r="Y34" s="3413"/>
      <c r="Z34" s="671" t="str">
        <f t="shared" si="15"/>
        <v>项目建筑规模</v>
      </c>
      <c r="AA34" s="1263">
        <f t="shared" si="3"/>
        <v>0.98039215686274506</v>
      </c>
      <c r="AB34" s="1263">
        <f t="shared" si="4"/>
        <v>0.99009900990099009</v>
      </c>
      <c r="AC34" s="1811">
        <f t="shared" si="5"/>
        <v>0.99009900990099009</v>
      </c>
    </row>
    <row r="35" spans="1:29" ht="15">
      <c r="A35" s="408"/>
      <c r="B35" s="363" t="s">
        <v>1695</v>
      </c>
      <c r="C35" s="398" t="s">
        <v>3435</v>
      </c>
      <c r="D35" s="373">
        <v>100</v>
      </c>
      <c r="E35" s="398" t="s">
        <v>3435</v>
      </c>
      <c r="F35" s="399">
        <f>SUMIF(106:106,E35,107:107)-SUMIF(106:106,C35,107:107)+100</f>
        <v>100</v>
      </c>
      <c r="G35" s="398" t="s">
        <v>3435</v>
      </c>
      <c r="H35" s="373">
        <f>SUMIF(106:106,G35,107:107)-SUMIF(106:106,C35,107:107)+100</f>
        <v>100</v>
      </c>
      <c r="I35" s="398" t="s">
        <v>3435</v>
      </c>
      <c r="J35" s="373">
        <f>SUMIF(106:106,I35,107:107)-SUMIF(106:106,C35,107:107)+100</f>
        <v>100</v>
      </c>
      <c r="K35" s="537">
        <v>1</v>
      </c>
      <c r="L35" s="2489"/>
      <c r="M35" s="2484"/>
      <c r="N35" s="2484"/>
      <c r="O35" s="2484"/>
      <c r="P35" s="3411"/>
      <c r="Q35" s="1262" t="str">
        <f t="shared" si="11"/>
        <v>建筑结构</v>
      </c>
      <c r="R35" s="666" t="s">
        <v>14</v>
      </c>
      <c r="S35" s="667">
        <f t="shared" si="12"/>
        <v>100</v>
      </c>
      <c r="T35" s="666" t="s">
        <v>14</v>
      </c>
      <c r="U35" s="667">
        <f t="shared" si="13"/>
        <v>100</v>
      </c>
      <c r="V35" s="666" t="s">
        <v>14</v>
      </c>
      <c r="W35" s="667">
        <f t="shared" si="14"/>
        <v>100</v>
      </c>
      <c r="X35" s="1264"/>
      <c r="Y35" s="3413"/>
      <c r="Z35" s="1263" t="str">
        <f t="shared" si="15"/>
        <v>建筑结构</v>
      </c>
      <c r="AA35" s="1263">
        <f t="shared" si="3"/>
        <v>1</v>
      </c>
      <c r="AB35" s="1263">
        <f t="shared" si="4"/>
        <v>1</v>
      </c>
      <c r="AC35" s="1811">
        <f t="shared" si="5"/>
        <v>1</v>
      </c>
    </row>
    <row r="36" spans="1:29" ht="15">
      <c r="A36" s="408"/>
      <c r="B36" s="363" t="s">
        <v>1782</v>
      </c>
      <c r="C36" s="398" t="s">
        <v>3461</v>
      </c>
      <c r="D36" s="373">
        <v>100</v>
      </c>
      <c r="E36" s="398" t="s">
        <v>3461</v>
      </c>
      <c r="F36" s="399">
        <f>SUMIF(108:108,E36,109:109)-SUMIF(108:108,C36,109:109)+100</f>
        <v>100</v>
      </c>
      <c r="G36" s="398" t="s">
        <v>3461</v>
      </c>
      <c r="H36" s="373">
        <f>SUMIF(108:108,G36,109:109)-SUMIF(108:108,C36,109:109)+100</f>
        <v>100</v>
      </c>
      <c r="I36" s="398" t="s">
        <v>3461</v>
      </c>
      <c r="J36" s="373">
        <f>SUMIF(108:108,I36,109:109)-SUMIF(108:108,C36,109:109)+100</f>
        <v>100</v>
      </c>
      <c r="K36" s="537">
        <v>2</v>
      </c>
      <c r="L36" s="2489"/>
      <c r="M36" s="2484"/>
      <c r="N36" s="2484"/>
      <c r="O36" s="2484"/>
      <c r="P36" s="3411"/>
      <c r="Q36" s="1262" t="str">
        <f t="shared" si="11"/>
        <v>公共部分装修</v>
      </c>
      <c r="R36" s="666" t="s">
        <v>14</v>
      </c>
      <c r="S36" s="667">
        <f t="shared" si="12"/>
        <v>100</v>
      </c>
      <c r="T36" s="666" t="s">
        <v>14</v>
      </c>
      <c r="U36" s="667">
        <f t="shared" si="13"/>
        <v>100</v>
      </c>
      <c r="V36" s="666" t="s">
        <v>14</v>
      </c>
      <c r="W36" s="667">
        <f t="shared" si="14"/>
        <v>100</v>
      </c>
      <c r="X36" s="1264"/>
      <c r="Y36" s="3413"/>
      <c r="Z36" s="1263" t="str">
        <f t="shared" si="15"/>
        <v>公共部分装修</v>
      </c>
      <c r="AA36" s="1263">
        <f t="shared" si="3"/>
        <v>1</v>
      </c>
      <c r="AB36" s="1263">
        <f t="shared" si="4"/>
        <v>1</v>
      </c>
      <c r="AC36" s="1811">
        <f t="shared" si="5"/>
        <v>1</v>
      </c>
    </row>
    <row r="37" spans="1:29" ht="15">
      <c r="A37" s="408"/>
      <c r="B37" s="363" t="s">
        <v>1783</v>
      </c>
      <c r="C37" s="410">
        <f>'数据-取费表'!N6</f>
        <v>0.76</v>
      </c>
      <c r="D37" s="373">
        <v>100</v>
      </c>
      <c r="E37" s="410">
        <f>C37</f>
        <v>0.76</v>
      </c>
      <c r="F37" s="399">
        <f>LOOKUP(E37,111:111,112:112)-LOOKUP(C37,111:111,112:112)+100</f>
        <v>100</v>
      </c>
      <c r="G37" s="410">
        <f>C37</f>
        <v>0.76</v>
      </c>
      <c r="H37" s="399">
        <f>LOOKUP(G37,111:111,112:112)-LOOKUP(C37,111:111,112:112)+100</f>
        <v>100</v>
      </c>
      <c r="I37" s="410">
        <f>C37</f>
        <v>0.76</v>
      </c>
      <c r="J37" s="373">
        <f>LOOKUP(I37,111:111,112:112)-LOOKUP(C37,111:111,112:112)+100</f>
        <v>100</v>
      </c>
      <c r="K37" s="537">
        <v>1</v>
      </c>
      <c r="L37" s="2489"/>
      <c r="M37" s="2484"/>
      <c r="N37" s="2484"/>
      <c r="O37" s="2484"/>
      <c r="P37" s="3411"/>
      <c r="Q37" s="1262" t="str">
        <f t="shared" si="11"/>
        <v>成新度</v>
      </c>
      <c r="R37" s="666" t="s">
        <v>14</v>
      </c>
      <c r="S37" s="667">
        <f t="shared" si="12"/>
        <v>100</v>
      </c>
      <c r="T37" s="666" t="s">
        <v>14</v>
      </c>
      <c r="U37" s="667">
        <f t="shared" si="13"/>
        <v>100</v>
      </c>
      <c r="V37" s="666" t="s">
        <v>14</v>
      </c>
      <c r="W37" s="667">
        <f t="shared" si="14"/>
        <v>100</v>
      </c>
      <c r="X37" s="1264"/>
      <c r="Y37" s="3413"/>
      <c r="Z37" s="1263" t="str">
        <f t="shared" si="15"/>
        <v>成新度</v>
      </c>
      <c r="AA37" s="1263">
        <f t="shared" si="3"/>
        <v>1</v>
      </c>
      <c r="AB37" s="1263">
        <f t="shared" si="4"/>
        <v>1</v>
      </c>
      <c r="AC37" s="1811">
        <f t="shared" si="5"/>
        <v>1</v>
      </c>
    </row>
    <row r="38" spans="1:29" s="101" customFormat="1" ht="15" hidden="1">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11"/>
      <c r="Q38" s="529" t="str">
        <f t="shared" si="11"/>
        <v>写字楼等级</v>
      </c>
      <c r="R38" s="663" t="s">
        <v>14</v>
      </c>
      <c r="S38" s="664">
        <f t="shared" si="12"/>
        <v>100</v>
      </c>
      <c r="T38" s="663" t="s">
        <v>14</v>
      </c>
      <c r="U38" s="664">
        <f t="shared" si="13"/>
        <v>100</v>
      </c>
      <c r="V38" s="663" t="s">
        <v>14</v>
      </c>
      <c r="W38" s="664">
        <f t="shared" si="14"/>
        <v>100</v>
      </c>
      <c r="X38" s="665"/>
      <c r="Y38" s="3413"/>
      <c r="Z38" s="50" t="str">
        <f t="shared" si="15"/>
        <v>写字楼等级</v>
      </c>
      <c r="AA38" s="50">
        <f t="shared" si="3"/>
        <v>1</v>
      </c>
      <c r="AB38" s="50">
        <f t="shared" si="4"/>
        <v>1</v>
      </c>
      <c r="AC38" s="801">
        <f t="shared" si="5"/>
        <v>1</v>
      </c>
    </row>
    <row r="39" spans="1:29" ht="15">
      <c r="A39" s="408"/>
      <c r="B39" s="363" t="s">
        <v>1816</v>
      </c>
      <c r="C39" s="398" t="s">
        <v>3475</v>
      </c>
      <c r="D39" s="373">
        <v>100</v>
      </c>
      <c r="E39" s="398" t="s">
        <v>3475</v>
      </c>
      <c r="F39" s="399">
        <f>SUMIF(115:115,E39,116:116)-SUMIF(115:115,C39,116:116)+100</f>
        <v>100</v>
      </c>
      <c r="G39" s="398" t="s">
        <v>3475</v>
      </c>
      <c r="H39" s="373">
        <f>SUMIF(115:115,G39,116:116)-SUMIF(115:115,C39,116:116)+100</f>
        <v>100</v>
      </c>
      <c r="I39" s="398" t="s">
        <v>3475</v>
      </c>
      <c r="J39" s="373">
        <f>SUMIF(115:115,I39,116:116)-SUMIF(115:115,C39,116:116)+100</f>
        <v>100</v>
      </c>
      <c r="K39" s="537">
        <v>1</v>
      </c>
      <c r="L39" s="2489"/>
      <c r="M39" s="2484"/>
      <c r="N39" s="2484"/>
      <c r="O39" s="2484"/>
      <c r="P39" s="3411" t="s">
        <v>1693</v>
      </c>
      <c r="Q39" s="1262" t="str">
        <f t="shared" si="11"/>
        <v>物业管理</v>
      </c>
      <c r="R39" s="666" t="s">
        <v>14</v>
      </c>
      <c r="S39" s="667">
        <f t="shared" si="12"/>
        <v>100</v>
      </c>
      <c r="T39" s="666" t="s">
        <v>14</v>
      </c>
      <c r="U39" s="667">
        <f t="shared" si="13"/>
        <v>100</v>
      </c>
      <c r="V39" s="666" t="s">
        <v>14</v>
      </c>
      <c r="W39" s="667">
        <f t="shared" si="14"/>
        <v>100</v>
      </c>
      <c r="X39" s="1264"/>
      <c r="Y39" s="3413" t="s">
        <v>1693</v>
      </c>
      <c r="Z39" s="1263" t="str">
        <f t="shared" si="15"/>
        <v>物业管理</v>
      </c>
      <c r="AA39" s="1263">
        <f t="shared" si="3"/>
        <v>1</v>
      </c>
      <c r="AB39" s="1263">
        <f t="shared" si="4"/>
        <v>1</v>
      </c>
      <c r="AC39" s="1811">
        <f t="shared" si="5"/>
        <v>1</v>
      </c>
    </row>
    <row r="40" spans="1:29" ht="15" hidden="1">
      <c r="A40" s="408"/>
      <c r="B40" s="363" t="s">
        <v>1784</v>
      </c>
      <c r="C40" s="398" t="s">
        <v>3470</v>
      </c>
      <c r="D40" s="373">
        <v>100</v>
      </c>
      <c r="E40" s="398" t="s">
        <v>3470</v>
      </c>
      <c r="F40" s="399">
        <f>SUMIF(117:117,E40,118:118)-SUMIF(117:117,C40,118:118)+100</f>
        <v>100</v>
      </c>
      <c r="G40" s="398" t="s">
        <v>3470</v>
      </c>
      <c r="H40" s="373">
        <f>SUMIF(117:117,G40,118:118)-SUMIF(117:117,C40,118:118)+100</f>
        <v>100</v>
      </c>
      <c r="I40" s="398" t="s">
        <v>3470</v>
      </c>
      <c r="J40" s="373">
        <f>SUMIF(117:117,I40,118:118)-SUMIF(117:117,C40,118:118)+100</f>
        <v>100</v>
      </c>
      <c r="K40" s="537"/>
      <c r="L40" s="2489"/>
      <c r="M40" s="2484"/>
      <c r="N40" s="2484"/>
      <c r="O40" s="2484"/>
      <c r="P40" s="3411"/>
      <c r="Q40" s="1262" t="str">
        <f t="shared" si="11"/>
        <v>市政基础设施</v>
      </c>
      <c r="R40" s="666" t="s">
        <v>14</v>
      </c>
      <c r="S40" s="667">
        <f t="shared" si="12"/>
        <v>100</v>
      </c>
      <c r="T40" s="666" t="s">
        <v>14</v>
      </c>
      <c r="U40" s="667">
        <f t="shared" si="13"/>
        <v>100</v>
      </c>
      <c r="V40" s="666" t="s">
        <v>14</v>
      </c>
      <c r="W40" s="667">
        <f t="shared" si="14"/>
        <v>100</v>
      </c>
      <c r="X40" s="1264"/>
      <c r="Y40" s="3413"/>
      <c r="Z40" s="1263" t="str">
        <f t="shared" si="15"/>
        <v>市政基础设施</v>
      </c>
      <c r="AA40" s="1263">
        <f t="shared" si="3"/>
        <v>1</v>
      </c>
      <c r="AB40" s="1263">
        <f t="shared" si="4"/>
        <v>1</v>
      </c>
      <c r="AC40" s="1811">
        <f t="shared" si="5"/>
        <v>1</v>
      </c>
    </row>
    <row r="41" spans="1:29" ht="15" hidden="1">
      <c r="A41" s="408"/>
      <c r="B41" s="363" t="s">
        <v>1786</v>
      </c>
      <c r="C41" s="541" t="s">
        <v>3466</v>
      </c>
      <c r="D41" s="373">
        <v>100</v>
      </c>
      <c r="E41" s="541" t="s">
        <v>3466</v>
      </c>
      <c r="F41" s="399">
        <f>SUMIF(119:119,E41,120:120)-SUMIF(119:119,C41,120:120)+100</f>
        <v>100</v>
      </c>
      <c r="G41" s="541" t="s">
        <v>3466</v>
      </c>
      <c r="H41" s="373">
        <f>SUMIF(119:119,G41,120:120)-SUMIF(119:119,C41,120:120)+100</f>
        <v>100</v>
      </c>
      <c r="I41" s="541" t="s">
        <v>3466</v>
      </c>
      <c r="J41" s="373">
        <f>SUMIF(119:119,I41,120:120)-SUMIF(119:119,C41,120:120)+100</f>
        <v>100</v>
      </c>
      <c r="K41" s="537">
        <v>0</v>
      </c>
      <c r="L41" s="2489"/>
      <c r="M41" s="2484"/>
      <c r="N41" s="2484"/>
      <c r="O41" s="2484"/>
      <c r="P41" s="3411"/>
      <c r="Q41" s="1262" t="str">
        <f t="shared" si="11"/>
        <v>层高</v>
      </c>
      <c r="R41" s="666" t="s">
        <v>14</v>
      </c>
      <c r="S41" s="667">
        <f t="shared" si="12"/>
        <v>100</v>
      </c>
      <c r="T41" s="666" t="s">
        <v>14</v>
      </c>
      <c r="U41" s="667">
        <f t="shared" si="13"/>
        <v>100</v>
      </c>
      <c r="V41" s="666" t="s">
        <v>14</v>
      </c>
      <c r="W41" s="667">
        <f t="shared" si="14"/>
        <v>100</v>
      </c>
      <c r="X41" s="1264"/>
      <c r="Y41" s="3413"/>
      <c r="Z41" s="1263" t="str">
        <f t="shared" si="15"/>
        <v>层高</v>
      </c>
      <c r="AA41" s="1263">
        <f t="shared" si="3"/>
        <v>1</v>
      </c>
      <c r="AB41" s="1263">
        <f t="shared" si="4"/>
        <v>1</v>
      </c>
      <c r="AC41" s="1811">
        <f t="shared" si="5"/>
        <v>1</v>
      </c>
    </row>
    <row r="42" spans="1:29" s="407" customFormat="1" ht="15" hidden="1">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11"/>
      <c r="Q42" s="530" t="str">
        <f t="shared" si="11"/>
        <v>单套建筑面积</v>
      </c>
      <c r="R42" s="668" t="s">
        <v>14</v>
      </c>
      <c r="S42" s="669">
        <f t="shared" si="12"/>
        <v>100</v>
      </c>
      <c r="T42" s="668" t="s">
        <v>14</v>
      </c>
      <c r="U42" s="669">
        <f t="shared" si="13"/>
        <v>100</v>
      </c>
      <c r="V42" s="668" t="s">
        <v>14</v>
      </c>
      <c r="W42" s="669">
        <f t="shared" si="14"/>
        <v>100</v>
      </c>
      <c r="X42" s="670"/>
      <c r="Y42" s="3413"/>
      <c r="Z42" s="671" t="str">
        <f t="shared" si="15"/>
        <v>单套建筑面积</v>
      </c>
      <c r="AA42" s="1263">
        <f t="shared" si="3"/>
        <v>1</v>
      </c>
      <c r="AB42" s="1263">
        <f t="shared" si="4"/>
        <v>1</v>
      </c>
      <c r="AC42" s="1811">
        <f t="shared" si="5"/>
        <v>1</v>
      </c>
    </row>
    <row r="43" spans="1:29" ht="15">
      <c r="A43" s="408"/>
      <c r="B43" s="363" t="s">
        <v>1789</v>
      </c>
      <c r="C43" s="398" t="s">
        <v>3461</v>
      </c>
      <c r="D43" s="373">
        <v>100</v>
      </c>
      <c r="E43" s="398" t="s">
        <v>3461</v>
      </c>
      <c r="F43" s="399">
        <f>SUMIF(123:123,E43,124:124)-SUMIF(123:123,C43,124:124)+100</f>
        <v>100</v>
      </c>
      <c r="G43" s="398" t="s">
        <v>3461</v>
      </c>
      <c r="H43" s="373">
        <f>SUMIF(123:123,G43,124:124)-SUMIF(123:123,C43,124:124)+100</f>
        <v>100</v>
      </c>
      <c r="I43" s="398" t="s">
        <v>3461</v>
      </c>
      <c r="J43" s="373">
        <f>SUMIF(123:123,I43,124:124)-SUMIF(123:123,C43,124:124)+100</f>
        <v>100</v>
      </c>
      <c r="K43" s="537">
        <v>2</v>
      </c>
      <c r="L43" s="2489"/>
      <c r="M43" s="2484"/>
      <c r="N43" s="2484"/>
      <c r="O43" s="2484"/>
      <c r="P43" s="3411"/>
      <c r="Q43" s="1262" t="str">
        <f t="shared" si="11"/>
        <v>内部装修</v>
      </c>
      <c r="R43" s="666" t="s">
        <v>14</v>
      </c>
      <c r="S43" s="667">
        <f t="shared" si="12"/>
        <v>100</v>
      </c>
      <c r="T43" s="666" t="s">
        <v>14</v>
      </c>
      <c r="U43" s="667">
        <f t="shared" si="13"/>
        <v>100</v>
      </c>
      <c r="V43" s="666" t="s">
        <v>14</v>
      </c>
      <c r="W43" s="667">
        <f t="shared" si="14"/>
        <v>100</v>
      </c>
      <c r="X43" s="1264"/>
      <c r="Y43" s="3413"/>
      <c r="Z43" s="1263" t="str">
        <f t="shared" si="15"/>
        <v>内部装修</v>
      </c>
      <c r="AA43" s="1263">
        <f t="shared" si="3"/>
        <v>1</v>
      </c>
      <c r="AB43" s="1263">
        <f t="shared" si="4"/>
        <v>1</v>
      </c>
      <c r="AC43" s="1811">
        <f t="shared" si="5"/>
        <v>1</v>
      </c>
    </row>
    <row r="44" spans="1:29" ht="15">
      <c r="A44" s="408"/>
      <c r="B44" s="363" t="s">
        <v>1704</v>
      </c>
      <c r="C44" s="398" t="s">
        <v>3409</v>
      </c>
      <c r="D44" s="373">
        <v>100</v>
      </c>
      <c r="E44" s="398" t="s">
        <v>3409</v>
      </c>
      <c r="F44" s="399">
        <f>SUMIF(125:125,E44,126:126)-SUMIF(125:125,C44,126:126)+100</f>
        <v>100</v>
      </c>
      <c r="G44" s="398" t="s">
        <v>3409</v>
      </c>
      <c r="H44" s="373">
        <f>SUMIF(125:125,G44,126:126)-SUMIF(125:125,C44,126:126)+100</f>
        <v>100</v>
      </c>
      <c r="I44" s="398" t="s">
        <v>3409</v>
      </c>
      <c r="J44" s="373">
        <f>SUMIF(125:125,I44,126:126)-SUMIF(125:125,C44,126:126)+100</f>
        <v>100</v>
      </c>
      <c r="K44" s="537">
        <v>1</v>
      </c>
      <c r="L44" s="2489"/>
      <c r="M44" s="2484"/>
      <c r="N44" s="2484"/>
      <c r="O44" s="2484"/>
      <c r="P44" s="3411"/>
      <c r="Q44" s="1262" t="str">
        <f t="shared" si="11"/>
        <v>内部装修维护情况</v>
      </c>
      <c r="R44" s="666" t="s">
        <v>14</v>
      </c>
      <c r="S44" s="667">
        <f t="shared" si="12"/>
        <v>100</v>
      </c>
      <c r="T44" s="666" t="s">
        <v>14</v>
      </c>
      <c r="U44" s="667">
        <f t="shared" si="13"/>
        <v>100</v>
      </c>
      <c r="V44" s="666" t="s">
        <v>14</v>
      </c>
      <c r="W44" s="667">
        <f t="shared" si="14"/>
        <v>100</v>
      </c>
      <c r="X44" s="1264"/>
      <c r="Y44" s="3413"/>
      <c r="Z44" s="1263" t="str">
        <f t="shared" si="15"/>
        <v>内部装修维护情况</v>
      </c>
      <c r="AA44" s="1263">
        <f t="shared" si="3"/>
        <v>1</v>
      </c>
      <c r="AB44" s="1263">
        <f t="shared" si="4"/>
        <v>1</v>
      </c>
      <c r="AC44" s="1811">
        <f t="shared" si="5"/>
        <v>1</v>
      </c>
    </row>
    <row r="45" spans="1:29" s="101" customFormat="1" ht="15">
      <c r="A45" s="409"/>
      <c r="B45" s="3159" t="s">
        <v>3482</v>
      </c>
      <c r="C45" s="3168"/>
      <c r="D45" s="118">
        <v>100</v>
      </c>
      <c r="E45" s="3167"/>
      <c r="F45" s="363">
        <f>SUMIF(127:127,E45,128:128)-SUMIF(127:127,C45,128:128)+100</f>
        <v>100</v>
      </c>
      <c r="G45" s="3167"/>
      <c r="H45" s="118">
        <f>SUMIF(127:127,G45,128:128)-SUMIF(127:127,C45,128:128)+100</f>
        <v>100</v>
      </c>
      <c r="I45" s="3167"/>
      <c r="J45" s="118">
        <f>SUMIF(127:127,I45,128:128)-SUMIF(127:127,C45,128:128)+100</f>
        <v>100</v>
      </c>
      <c r="K45" s="538"/>
      <c r="L45" s="2485"/>
      <c r="M45" s="2437"/>
      <c r="N45" s="2437"/>
      <c r="O45" s="2437"/>
      <c r="P45" s="3411"/>
      <c r="Q45" s="529" t="str">
        <f t="shared" si="11"/>
        <v>户型</v>
      </c>
      <c r="R45" s="663" t="s">
        <v>14</v>
      </c>
      <c r="S45" s="664">
        <f t="shared" si="12"/>
        <v>100</v>
      </c>
      <c r="T45" s="663" t="s">
        <v>14</v>
      </c>
      <c r="U45" s="664">
        <f t="shared" si="13"/>
        <v>100</v>
      </c>
      <c r="V45" s="663" t="s">
        <v>14</v>
      </c>
      <c r="W45" s="664">
        <f t="shared" si="14"/>
        <v>100</v>
      </c>
      <c r="X45" s="665"/>
      <c r="Y45" s="3413"/>
      <c r="Z45" s="50" t="str">
        <f t="shared" si="15"/>
        <v>户型</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11"/>
      <c r="Q46" s="1262">
        <f t="shared" si="11"/>
        <v>111</v>
      </c>
      <c r="R46" s="666" t="s">
        <v>14</v>
      </c>
      <c r="S46" s="667">
        <f t="shared" si="12"/>
        <v>100</v>
      </c>
      <c r="T46" s="666" t="s">
        <v>14</v>
      </c>
      <c r="U46" s="667">
        <f t="shared" si="13"/>
        <v>100</v>
      </c>
      <c r="V46" s="666" t="s">
        <v>14</v>
      </c>
      <c r="W46" s="667">
        <f t="shared" si="14"/>
        <v>100</v>
      </c>
      <c r="X46" s="1264"/>
      <c r="Y46" s="3413"/>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12"/>
      <c r="Q47" s="1262">
        <f t="shared" si="11"/>
        <v>111</v>
      </c>
      <c r="R47" s="666" t="s">
        <v>14</v>
      </c>
      <c r="S47" s="667">
        <f t="shared" si="12"/>
        <v>100</v>
      </c>
      <c r="T47" s="666" t="s">
        <v>14</v>
      </c>
      <c r="U47" s="667">
        <f t="shared" si="13"/>
        <v>100</v>
      </c>
      <c r="V47" s="666" t="s">
        <v>14</v>
      </c>
      <c r="W47" s="667">
        <f t="shared" si="14"/>
        <v>100</v>
      </c>
      <c r="X47" s="1264"/>
      <c r="Y47" s="3414"/>
      <c r="Z47" s="1263">
        <f t="shared" si="15"/>
        <v>111</v>
      </c>
      <c r="AA47" s="1263">
        <f t="shared" si="3"/>
        <v>1</v>
      </c>
      <c r="AB47" s="1263">
        <f t="shared" si="4"/>
        <v>1</v>
      </c>
      <c r="AC47" s="1811">
        <f t="shared" si="5"/>
        <v>1</v>
      </c>
    </row>
    <row r="48" spans="1:29" ht="15">
      <c r="A48" s="415" t="s">
        <v>1705</v>
      </c>
      <c r="B48" s="416"/>
      <c r="C48" s="1080" t="s">
        <v>0</v>
      </c>
      <c r="D48" s="417"/>
      <c r="E48" s="418">
        <v>1.9</v>
      </c>
      <c r="F48" s="419"/>
      <c r="G48" s="418">
        <v>2</v>
      </c>
      <c r="H48" s="421"/>
      <c r="I48" s="418">
        <v>1.7</v>
      </c>
      <c r="J48" s="421"/>
      <c r="K48" s="673"/>
      <c r="L48" s="2491"/>
      <c r="M48" s="2484"/>
      <c r="N48" s="2484"/>
      <c r="O48" s="2484"/>
      <c r="P48" s="3392" t="str">
        <f>A48</f>
        <v>成交单价（元/平方米）</v>
      </c>
      <c r="Q48" s="3415"/>
      <c r="R48" s="3377">
        <f>E48</f>
        <v>1.9</v>
      </c>
      <c r="S48" s="3377"/>
      <c r="T48" s="3377">
        <f>G48</f>
        <v>2</v>
      </c>
      <c r="U48" s="3377"/>
      <c r="V48" s="3377">
        <f>I48</f>
        <v>1.7</v>
      </c>
      <c r="W48" s="3377"/>
      <c r="X48" s="384"/>
      <c r="Y48" s="672"/>
      <c r="Z48" s="384"/>
      <c r="AA48" s="384"/>
      <c r="AB48" s="384"/>
      <c r="AC48" s="554"/>
    </row>
    <row r="49" spans="1:29" ht="15.75" thickBot="1">
      <c r="A49" s="422" t="s">
        <v>1706</v>
      </c>
      <c r="B49" s="423"/>
      <c r="C49" s="1081">
        <f>R50</f>
        <v>1.8</v>
      </c>
      <c r="D49" s="2140" t="s">
        <v>2135</v>
      </c>
      <c r="E49" s="1082">
        <f>R49</f>
        <v>1.8</v>
      </c>
      <c r="F49" s="2141"/>
      <c r="G49" s="1081">
        <f>T49</f>
        <v>1.9</v>
      </c>
      <c r="H49" s="2141"/>
      <c r="I49" s="1082">
        <f>V49</f>
        <v>1.6</v>
      </c>
      <c r="J49" s="2141"/>
      <c r="K49" s="2143">
        <f>F49+H49+J49</f>
        <v>0</v>
      </c>
      <c r="L49" s="2491"/>
      <c r="M49" s="2484"/>
      <c r="N49" s="2484"/>
      <c r="O49" s="2484"/>
      <c r="P49" s="3392" t="str">
        <f>A49</f>
        <v>比较价值（元/平方米）</v>
      </c>
      <c r="Q49" s="3415"/>
      <c r="R49" s="3377">
        <f>IF(F1="售价",ROUND(PRODUCT(R48,AA7:AA47),0),ROUND(PRODUCT(R48,AA7:AA47),1))</f>
        <v>1.8</v>
      </c>
      <c r="S49" s="3377"/>
      <c r="T49" s="3377">
        <f>IF(F1="售价",ROUND(PRODUCT(T48,AB7:AB47),0),ROUND(PRODUCT(T48,AB7:AB47),1))</f>
        <v>1.9</v>
      </c>
      <c r="U49" s="3377"/>
      <c r="V49" s="3377">
        <f>IF(F1="售价",ROUND(PRODUCT(V48,AC7:AC47),0),ROUND(PRODUCT(V48,AC7:AC47),1))</f>
        <v>1.6</v>
      </c>
      <c r="W49" s="3377"/>
      <c r="X49" s="384"/>
      <c r="Y49" s="384"/>
      <c r="Z49" s="384"/>
      <c r="AA49" s="384"/>
      <c r="AB49" s="384"/>
      <c r="AC49" s="554"/>
    </row>
    <row r="50" spans="1:29" ht="15.75" thickBot="1">
      <c r="A50" s="426" t="s">
        <v>1791</v>
      </c>
      <c r="B50" s="427"/>
      <c r="C50" s="350">
        <f>R50</f>
        <v>1.8</v>
      </c>
      <c r="D50" s="350"/>
      <c r="E50" s="350"/>
      <c r="F50" s="350"/>
      <c r="G50" s="350"/>
      <c r="H50" s="350"/>
      <c r="I50" s="350"/>
      <c r="J50" s="428"/>
      <c r="K50" s="674"/>
      <c r="L50" s="2491"/>
      <c r="M50" s="2484"/>
      <c r="N50" s="2484"/>
      <c r="O50" s="2484"/>
      <c r="P50" s="3445" t="str">
        <f>A50</f>
        <v>估价对象XX用房的比较价值（楼面单价，元/平方米）</v>
      </c>
      <c r="Q50" s="3446"/>
      <c r="R50" s="3447">
        <f>IF(F1="售价",ROUND(IF(D49="简单平均",AVERAGE(R49:V49),R49*F49+T49*H49+V49*J49),0),ROUND(IF(D49="简单平均",AVERAGE(R49:V49),R49*F49+T49*H49+V49*J49),1))</f>
        <v>1.8</v>
      </c>
      <c r="S50" s="3447"/>
      <c r="T50" s="3447"/>
      <c r="U50" s="3447"/>
      <c r="V50" s="3447"/>
      <c r="W50" s="3447"/>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1792</v>
      </c>
      <c r="D53" s="432"/>
      <c r="E53" s="433">
        <f>IF(E48&lt;E49,E49/E48-1,E48/E49-1)</f>
        <v>5.555555555555558E-2</v>
      </c>
      <c r="F53" s="434" t="str">
        <f>IF(OR(E53&gt;=0.3,E53&lt;=-0.3),"超过30%","")</f>
        <v/>
      </c>
      <c r="G53" s="433">
        <f>IF(G48&lt;G49,G49/G48-1,G48/G49-1)</f>
        <v>5.2631578947368363E-2</v>
      </c>
      <c r="H53" s="434" t="str">
        <f>IF(OR(G53&gt;=0.3,G53&lt;=-0.3),"超过30%","")</f>
        <v/>
      </c>
      <c r="I53" s="433">
        <f>IF(I48&lt;I49,I49/I48-1,I48/I49-1)</f>
        <v>6.25E-2</v>
      </c>
      <c r="J53" s="434"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1793</v>
      </c>
      <c r="D54" s="435"/>
      <c r="E54" s="433">
        <f>IF(E49&lt;G49,G49/E49-1,E49/G49-1)</f>
        <v>5.555555555555558E-2</v>
      </c>
      <c r="F54" s="434" t="str">
        <f>IF(OR(E54&gt;=0.2,E54&lt;=-0.2),"超过20%","")</f>
        <v/>
      </c>
      <c r="G54" s="433">
        <f>IF(G49&lt;I49,I49/G49-1,G49/I49-1)</f>
        <v>0.18749999999999978</v>
      </c>
      <c r="H54" s="434" t="str">
        <f>IF(OR(G54&gt;=0.2,G54&lt;=-0.2),"超过20%","")</f>
        <v/>
      </c>
      <c r="I54" s="433">
        <f>IF(I49&lt;E49,E49/I49-1,I49/E49-1)</f>
        <v>0.125</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1710</v>
      </c>
      <c r="D55" s="435"/>
      <c r="E55" s="433">
        <f>IF(E48&lt;G48,G48/E48-1,E48/G48-1)</f>
        <v>5.2631578947368363E-2</v>
      </c>
      <c r="F55" s="434" t="str">
        <f>IF(OR(E55&gt;=0.3,E55&lt;=-0.3),"超过30%","")</f>
        <v/>
      </c>
      <c r="G55" s="433">
        <f>IF(G48&lt;I48,I48/G48-1,G48/I48-1)</f>
        <v>0.17647058823529416</v>
      </c>
      <c r="H55" s="434" t="str">
        <f>IF(OR(G55&gt;=0.3,G55&lt;=-0.3),"超过30%","")</f>
        <v/>
      </c>
      <c r="I55" s="433">
        <f>IF(I48&lt;E48,E48/I48-1,I48/E48-1)</f>
        <v>0.11764705882352944</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1711</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1676</v>
      </c>
      <c r="B59" s="440"/>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4"/>
      <c r="Q59" s="2507"/>
      <c r="R59" s="2507"/>
      <c r="S59" s="2507"/>
      <c r="T59" s="2507"/>
      <c r="U59" s="2507"/>
      <c r="V59" s="2507"/>
      <c r="W59" s="2507"/>
      <c r="X59" s="2507"/>
      <c r="Y59" s="2507"/>
      <c r="Z59" s="2507"/>
      <c r="AA59" s="2507"/>
      <c r="AB59" s="2507"/>
      <c r="AC59" s="2507"/>
    </row>
    <row r="60" spans="1:29" s="101"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75" thickBot="1">
      <c r="A61" s="448" t="s">
        <v>1713</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5">
      <c r="A62" s="454" t="s">
        <v>1678</v>
      </c>
      <c r="B62" s="443"/>
      <c r="C62" s="455" t="s">
        <v>1773</v>
      </c>
      <c r="D62" s="3160" t="s">
        <v>3449</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5.75" thickBot="1">
      <c r="A63" s="454"/>
      <c r="B63" s="443"/>
      <c r="C63" s="444">
        <v>100</v>
      </c>
      <c r="D63" s="445">
        <v>103</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1716</v>
      </c>
      <c r="B64" s="459" t="s">
        <v>1682</v>
      </c>
      <c r="C64" s="460" t="str">
        <f>C9</f>
        <v>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1685</v>
      </c>
      <c r="C66" s="512" t="s">
        <v>3429</v>
      </c>
      <c r="D66" s="512" t="s">
        <v>3430</v>
      </c>
      <c r="E66" s="512" t="s">
        <v>3431</v>
      </c>
      <c r="F66" s="512" t="s">
        <v>3432</v>
      </c>
      <c r="G66" s="512" t="s">
        <v>3433</v>
      </c>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v>100</v>
      </c>
      <c r="D67" s="466">
        <v>98</v>
      </c>
      <c r="E67" s="466">
        <v>96</v>
      </c>
      <c r="F67" s="466">
        <v>94</v>
      </c>
      <c r="G67" s="466">
        <v>92</v>
      </c>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1686</v>
      </c>
      <c r="C68" s="477" t="str">
        <f>C69&amp;"（含）"&amp;"-"&amp;D69</f>
        <v>0（含）-1</v>
      </c>
      <c r="D68" s="477" t="str">
        <f t="shared" ref="D68:L68" si="17">D69&amp;"（含）"&amp;"-"&amp;E69</f>
        <v>1（含）-2</v>
      </c>
      <c r="E68" s="477" t="str">
        <f t="shared" si="17"/>
        <v>2（含）-3</v>
      </c>
      <c r="F68" s="477" t="str">
        <f t="shared" si="17"/>
        <v>3（含）-4</v>
      </c>
      <c r="G68" s="477" t="str">
        <f t="shared" si="17"/>
        <v>4（含）-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1</v>
      </c>
      <c r="E69" s="479">
        <v>2</v>
      </c>
      <c r="F69" s="479">
        <v>3</v>
      </c>
      <c r="G69" s="479">
        <v>4</v>
      </c>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1687</v>
      </c>
      <c r="B77" s="459" t="s">
        <v>1818</v>
      </c>
      <c r="C77" s="503" t="s">
        <v>1718</v>
      </c>
      <c r="D77" s="503" t="s">
        <v>1719</v>
      </c>
      <c r="E77" s="503" t="s">
        <v>1720</v>
      </c>
      <c r="F77" s="503" t="s">
        <v>1721</v>
      </c>
      <c r="G77" s="503" t="s">
        <v>1722</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1723</v>
      </c>
      <c r="C79" s="508" t="s">
        <v>1718</v>
      </c>
      <c r="D79" s="508" t="s">
        <v>1719</v>
      </c>
      <c r="E79" s="508" t="s">
        <v>1720</v>
      </c>
      <c r="F79" s="508" t="s">
        <v>1721</v>
      </c>
      <c r="G79" s="508" t="s">
        <v>1722</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1724</v>
      </c>
      <c r="C81" s="508" t="s">
        <v>1718</v>
      </c>
      <c r="D81" s="508" t="s">
        <v>1719</v>
      </c>
      <c r="E81" s="508" t="s">
        <v>1720</v>
      </c>
      <c r="F81" s="508" t="s">
        <v>1721</v>
      </c>
      <c r="G81" s="508" t="s">
        <v>1722</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1810</v>
      </c>
      <c r="C83" s="580" t="s">
        <v>1796</v>
      </c>
      <c r="D83" s="580" t="s">
        <v>1797</v>
      </c>
      <c r="E83" s="580" t="s">
        <v>1798</v>
      </c>
      <c r="F83" s="580" t="s">
        <v>1799</v>
      </c>
      <c r="G83" s="580" t="s">
        <v>1800</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98</v>
      </c>
      <c r="E84" s="474">
        <f>D84-$K21</f>
        <v>96</v>
      </c>
      <c r="F84" s="474">
        <f>E84-$K21</f>
        <v>94</v>
      </c>
      <c r="G84" s="474">
        <f>F84-$K21</f>
        <v>92</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1819</v>
      </c>
      <c r="C85" s="508" t="s">
        <v>1718</v>
      </c>
      <c r="D85" s="508" t="s">
        <v>1719</v>
      </c>
      <c r="E85" s="508" t="s">
        <v>1720</v>
      </c>
      <c r="F85" s="508" t="s">
        <v>1721</v>
      </c>
      <c r="G85" s="508" t="s">
        <v>1722</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97</v>
      </c>
      <c r="E86" s="474">
        <f>D86-$K23</f>
        <v>94</v>
      </c>
      <c r="F86" s="474">
        <f>E86-$K23</f>
        <v>91</v>
      </c>
      <c r="G86" s="474">
        <f>F86-$K23</f>
        <v>88</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7.75" thickTop="1">
      <c r="A87" s="369"/>
      <c r="B87" s="468" t="s">
        <v>1820</v>
      </c>
      <c r="C87" s="3163" t="s">
        <v>3454</v>
      </c>
      <c r="D87" s="3163" t="s">
        <v>3455</v>
      </c>
      <c r="E87" s="3163" t="s">
        <v>3456</v>
      </c>
      <c r="F87" s="3163" t="s">
        <v>3457</v>
      </c>
      <c r="G87" s="3163" t="s">
        <v>3458</v>
      </c>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5.75" thickTop="1">
      <c r="A89" s="369"/>
      <c r="B89" s="468" t="str">
        <f>B27</f>
        <v>楼层</v>
      </c>
      <c r="C89" s="3163" t="s">
        <v>3459</v>
      </c>
      <c r="D89" s="3163" t="s">
        <v>3453</v>
      </c>
      <c r="E89" s="3163" t="s">
        <v>3452</v>
      </c>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1691</v>
      </c>
      <c r="B101" s="459" t="s">
        <v>1733</v>
      </c>
      <c r="C101" s="3165" t="s">
        <v>3495</v>
      </c>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95</v>
      </c>
      <c r="E102" s="474">
        <f t="shared" si="22"/>
        <v>90</v>
      </c>
      <c r="F102" s="474">
        <f t="shared" si="22"/>
        <v>85</v>
      </c>
      <c r="G102" s="474">
        <f t="shared" si="22"/>
        <v>80</v>
      </c>
      <c r="H102" s="474">
        <f t="shared" si="22"/>
        <v>75</v>
      </c>
      <c r="I102" s="474">
        <f t="shared" si="22"/>
        <v>70</v>
      </c>
      <c r="J102" s="474">
        <f t="shared" si="22"/>
        <v>65</v>
      </c>
      <c r="K102" s="474">
        <f t="shared" si="22"/>
        <v>60</v>
      </c>
      <c r="L102" s="474">
        <f t="shared" si="22"/>
        <v>55</v>
      </c>
      <c r="M102" s="475">
        <f t="shared" si="22"/>
        <v>50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1734</v>
      </c>
      <c r="C103" s="508" t="str">
        <f>C104&amp;"(含)"&amp;"-"&amp;D104</f>
        <v>0(含)-500</v>
      </c>
      <c r="D103" s="508" t="str">
        <f t="shared" ref="D103:L103" si="23">D104&amp;"(含)"&amp;"-"&amp;E104</f>
        <v>500(含)-1000</v>
      </c>
      <c r="E103" s="508" t="str">
        <f t="shared" si="23"/>
        <v>1000(含)-1500</v>
      </c>
      <c r="F103" s="508" t="str">
        <f t="shared" si="23"/>
        <v>1500(含)-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500</v>
      </c>
      <c r="E104" s="6">
        <v>1000</v>
      </c>
      <c r="F104" s="6">
        <v>1500</v>
      </c>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v>100</v>
      </c>
      <c r="D105" s="466">
        <v>99</v>
      </c>
      <c r="E105" s="466">
        <v>98</v>
      </c>
      <c r="F105" s="466">
        <v>97</v>
      </c>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1735</v>
      </c>
      <c r="C106" s="3163" t="s">
        <v>3460</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99</v>
      </c>
      <c r="E107" s="474">
        <f t="shared" si="24"/>
        <v>98</v>
      </c>
      <c r="F107" s="474">
        <f t="shared" si="24"/>
        <v>97</v>
      </c>
      <c r="G107" s="474">
        <f t="shared" si="24"/>
        <v>96</v>
      </c>
      <c r="H107" s="474">
        <f t="shared" si="24"/>
        <v>95</v>
      </c>
      <c r="I107" s="474">
        <f t="shared" si="24"/>
        <v>94</v>
      </c>
      <c r="J107" s="474">
        <f t="shared" si="24"/>
        <v>93</v>
      </c>
      <c r="K107" s="474">
        <f t="shared" si="24"/>
        <v>92</v>
      </c>
      <c r="L107" s="474">
        <f t="shared" si="24"/>
        <v>91</v>
      </c>
      <c r="M107" s="475">
        <f t="shared" si="24"/>
        <v>90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1737</v>
      </c>
      <c r="C108" s="3163" t="s">
        <v>3462</v>
      </c>
      <c r="D108" s="3163" t="s">
        <v>3463</v>
      </c>
      <c r="E108" s="3163" t="s">
        <v>3464</v>
      </c>
      <c r="F108" s="3166" t="s">
        <v>3465</v>
      </c>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101</v>
      </c>
      <c r="E112" s="474">
        <f t="shared" ref="E112:M112" si="26">D112+$K37</f>
        <v>102</v>
      </c>
      <c r="F112" s="474">
        <f t="shared" si="26"/>
        <v>103</v>
      </c>
      <c r="G112" s="474">
        <f t="shared" si="26"/>
        <v>104</v>
      </c>
      <c r="H112" s="474">
        <f t="shared" si="26"/>
        <v>105</v>
      </c>
      <c r="I112" s="474">
        <f t="shared" si="26"/>
        <v>106</v>
      </c>
      <c r="J112" s="474">
        <f t="shared" si="26"/>
        <v>107</v>
      </c>
      <c r="K112" s="474">
        <f t="shared" si="26"/>
        <v>108</v>
      </c>
      <c r="L112" s="474">
        <f t="shared" si="26"/>
        <v>109</v>
      </c>
      <c r="M112" s="474">
        <f t="shared" si="26"/>
        <v>110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1821</v>
      </c>
      <c r="C113" s="3163" t="s">
        <v>3478</v>
      </c>
      <c r="D113" s="3163" t="s">
        <v>3479</v>
      </c>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1738</v>
      </c>
      <c r="C115" s="3163" t="s">
        <v>3476</v>
      </c>
      <c r="D115" s="3163" t="s">
        <v>3477</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99</v>
      </c>
      <c r="E116" s="474">
        <f t="shared" si="28"/>
        <v>98</v>
      </c>
      <c r="F116" s="474">
        <f t="shared" si="28"/>
        <v>97</v>
      </c>
      <c r="G116" s="474">
        <f t="shared" si="28"/>
        <v>96</v>
      </c>
      <c r="H116" s="474">
        <f t="shared" si="28"/>
        <v>95</v>
      </c>
      <c r="I116" s="474">
        <f t="shared" si="28"/>
        <v>94</v>
      </c>
      <c r="J116" s="474">
        <f t="shared" si="28"/>
        <v>93</v>
      </c>
      <c r="K116" s="474">
        <f t="shared" si="28"/>
        <v>92</v>
      </c>
      <c r="L116" s="474">
        <f t="shared" si="28"/>
        <v>91</v>
      </c>
      <c r="M116" s="475">
        <f t="shared" si="28"/>
        <v>90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1739</v>
      </c>
      <c r="C117" s="3163" t="s">
        <v>3469</v>
      </c>
      <c r="D117" s="3163" t="s">
        <v>3471</v>
      </c>
      <c r="E117" s="3163" t="s">
        <v>3472</v>
      </c>
      <c r="F117" s="3163" t="s">
        <v>3473</v>
      </c>
      <c r="G117" s="3163" t="s">
        <v>3474</v>
      </c>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1822</v>
      </c>
      <c r="C119" s="3166" t="s">
        <v>3467</v>
      </c>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1805</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1741</v>
      </c>
      <c r="C123" s="3163" t="s">
        <v>3462</v>
      </c>
      <c r="D123" s="3163" t="s">
        <v>3463</v>
      </c>
      <c r="E123" s="3163" t="s">
        <v>3464</v>
      </c>
      <c r="F123" s="3166" t="s">
        <v>3465</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99</v>
      </c>
      <c r="E126" s="474">
        <f>D126-$K44</f>
        <v>98</v>
      </c>
      <c r="F126" s="474">
        <f>E126-$K44</f>
        <v>97</v>
      </c>
      <c r="G126" s="474">
        <f>F126-$K44</f>
        <v>96</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t="str">
        <f>B45</f>
        <v>户型</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7" stopIfTrue="1" operator="containsText" text="超过">
      <formula>NOT(ISERROR(SEARCH("超过",F53)))</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G55">
    <cfRule type="expression" dxfId="122" priority="13"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F98" sqref="F98"/>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807" t="s">
        <v>1807</v>
      </c>
      <c r="C1" s="1140" t="s">
        <v>1659</v>
      </c>
      <c r="D1" s="1141" t="s">
        <v>3</v>
      </c>
      <c r="E1" s="3128" t="s">
        <v>3493</v>
      </c>
      <c r="F1" s="1734" t="s">
        <v>3417</v>
      </c>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1460</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f>IF(C2="——",C50,ROUND(B2*10000/D3,0))</f>
        <v>20258</v>
      </c>
      <c r="C3" s="343" t="s">
        <v>1765</v>
      </c>
      <c r="D3" s="342">
        <f>IF(D1="",'数据-汇总表'!E3,SUMIF('数据-汇总表'!$C19:$C33,D1,'数据-汇总表'!$E19:$E33))</f>
        <v>0</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456" t="s">
        <v>1772</v>
      </c>
      <c r="Q4" s="3457"/>
      <c r="R4" s="3450" t="s">
        <v>1768</v>
      </c>
      <c r="S4" s="3451"/>
      <c r="T4" s="3450" t="s">
        <v>1769</v>
      </c>
      <c r="U4" s="3451"/>
      <c r="V4" s="3449" t="s">
        <v>1770</v>
      </c>
      <c r="W4" s="3449"/>
      <c r="X4" s="1808"/>
      <c r="Y4" s="3450" t="s">
        <v>1772</v>
      </c>
      <c r="Z4" s="3451"/>
      <c r="AA4" s="3452" t="s">
        <v>1768</v>
      </c>
      <c r="AB4" s="3452" t="s">
        <v>1769</v>
      </c>
      <c r="AC4" s="3453" t="s">
        <v>1770</v>
      </c>
    </row>
    <row r="5" spans="1:29" ht="15">
      <c r="A5" s="347"/>
      <c r="B5" s="348"/>
      <c r="C5" s="3460"/>
      <c r="D5" s="3387"/>
      <c r="E5" s="3384"/>
      <c r="F5" s="3385"/>
      <c r="G5" s="3460"/>
      <c r="H5" s="3387"/>
      <c r="I5" s="3460"/>
      <c r="J5" s="3387"/>
      <c r="K5" s="536"/>
      <c r="L5" s="2483"/>
      <c r="M5" s="2484"/>
      <c r="N5" s="2484"/>
      <c r="O5" s="2484"/>
      <c r="P5" s="3458"/>
      <c r="Q5" s="3400"/>
      <c r="R5" s="3382"/>
      <c r="S5" s="3383"/>
      <c r="T5" s="3382"/>
      <c r="U5" s="3383"/>
      <c r="V5" s="3377"/>
      <c r="W5" s="3377"/>
      <c r="X5" s="1264"/>
      <c r="Y5" s="3382"/>
      <c r="Z5" s="3383"/>
      <c r="AA5" s="3375"/>
      <c r="AB5" s="3375"/>
      <c r="AC5" s="3454"/>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59"/>
      <c r="Q6" s="3402"/>
      <c r="R6" s="3382"/>
      <c r="S6" s="3383"/>
      <c r="T6" s="3403"/>
      <c r="U6" s="3404"/>
      <c r="V6" s="3377"/>
      <c r="W6" s="3377"/>
      <c r="X6" s="1264"/>
      <c r="Y6" s="3403"/>
      <c r="Z6" s="3404"/>
      <c r="AA6" s="3376"/>
      <c r="AB6" s="3376"/>
      <c r="AC6" s="3455"/>
    </row>
    <row r="7" spans="1:29" s="101" customFormat="1" ht="15.75" thickBot="1">
      <c r="A7" s="351" t="s">
        <v>1676</v>
      </c>
      <c r="B7" s="352"/>
      <c r="C7" s="353">
        <f>'数据-取费表'!B2</f>
        <v>45315</v>
      </c>
      <c r="D7" s="354">
        <v>100</v>
      </c>
      <c r="E7" s="355">
        <f>C7</f>
        <v>45315</v>
      </c>
      <c r="F7" s="356">
        <f>SUMIF(59:59,YEAR(E7)&amp;"-"&amp;MONTH(E7),60:60)</f>
        <v>100</v>
      </c>
      <c r="G7" s="355">
        <f>C7</f>
        <v>45315</v>
      </c>
      <c r="H7" s="354">
        <f>SUMIF(59:59,YEAR(G7)&amp;"-"&amp;MONTH(G7),60:60)</f>
        <v>100</v>
      </c>
      <c r="I7" s="355">
        <f>C7</f>
        <v>45315</v>
      </c>
      <c r="J7" s="354">
        <f>SUMIF(59:59,YEAR(I7)&amp;"-"&amp;MONTH(I7),60:60)</f>
        <v>100</v>
      </c>
      <c r="K7" s="38"/>
      <c r="L7" s="2485"/>
      <c r="M7" s="2437"/>
      <c r="N7" s="2437"/>
      <c r="O7" s="2437"/>
      <c r="P7" s="3448" t="s">
        <v>1677</v>
      </c>
      <c r="Q7" s="3405"/>
      <c r="R7" s="663" t="s">
        <v>14</v>
      </c>
      <c r="S7" s="664">
        <f t="shared" ref="S7:S15" si="0">F7</f>
        <v>100</v>
      </c>
      <c r="T7" s="663" t="s">
        <v>14</v>
      </c>
      <c r="U7" s="664">
        <f t="shared" ref="U7:U15" si="1">H7</f>
        <v>100</v>
      </c>
      <c r="V7" s="663" t="s">
        <v>14</v>
      </c>
      <c r="W7" s="664">
        <f t="shared" ref="W7:W15" si="2">J7</f>
        <v>100</v>
      </c>
      <c r="X7" s="665"/>
      <c r="Y7" s="3378" t="s">
        <v>1677</v>
      </c>
      <c r="Z7" s="3379"/>
      <c r="AA7" s="50">
        <f>D7/F7</f>
        <v>1</v>
      </c>
      <c r="AB7" s="50">
        <f>D7/H7</f>
        <v>1</v>
      </c>
      <c r="AC7" s="801">
        <f>D7/J7</f>
        <v>1</v>
      </c>
    </row>
    <row r="8" spans="1:29" s="101" customFormat="1" ht="15.75" thickBot="1">
      <c r="A8" s="351" t="s">
        <v>1678</v>
      </c>
      <c r="B8" s="352"/>
      <c r="C8" s="357" t="s">
        <v>3426</v>
      </c>
      <c r="D8" s="354">
        <v>100</v>
      </c>
      <c r="E8" s="357" t="s">
        <v>3427</v>
      </c>
      <c r="F8" s="356">
        <f>SUMIF(62:62,E8,63:63)-SUMIF(62:62,C8,63:63)+100</f>
        <v>103</v>
      </c>
      <c r="G8" s="357" t="s">
        <v>3427</v>
      </c>
      <c r="H8" s="354">
        <f>SUMIF(62:62,G8,63:63)-SUMIF(62:62,C8,63:63)+100</f>
        <v>103</v>
      </c>
      <c r="I8" s="357" t="s">
        <v>3427</v>
      </c>
      <c r="J8" s="354">
        <f>SUMIF(62:62,I8,63:63)-SUMIF(62:62,C8,63:63)+100</f>
        <v>103</v>
      </c>
      <c r="K8" s="38"/>
      <c r="L8" s="2485"/>
      <c r="M8" s="2437"/>
      <c r="N8" s="2437"/>
      <c r="O8" s="2437"/>
      <c r="P8" s="3448" t="s">
        <v>1680</v>
      </c>
      <c r="Q8" s="3379"/>
      <c r="R8" s="663" t="s">
        <v>14</v>
      </c>
      <c r="S8" s="664">
        <f t="shared" si="0"/>
        <v>103</v>
      </c>
      <c r="T8" s="663" t="s">
        <v>14</v>
      </c>
      <c r="U8" s="664">
        <f t="shared" si="1"/>
        <v>103</v>
      </c>
      <c r="V8" s="663" t="s">
        <v>14</v>
      </c>
      <c r="W8" s="664">
        <f t="shared" si="2"/>
        <v>103</v>
      </c>
      <c r="X8" s="665"/>
      <c r="Y8" s="3378" t="s">
        <v>1680</v>
      </c>
      <c r="Z8" s="3379"/>
      <c r="AA8" s="50">
        <f t="shared" ref="AA8:AA47" si="3">D8/F8</f>
        <v>0.970873786407767</v>
      </c>
      <c r="AB8" s="50">
        <f t="shared" ref="AB8:AB47" si="4">D8/H8</f>
        <v>0.970873786407767</v>
      </c>
      <c r="AC8" s="801">
        <f t="shared" ref="AC8:AC47" si="5">D8/J8</f>
        <v>0.970873786407767</v>
      </c>
    </row>
    <row r="9" spans="1:29" s="101" customFormat="1">
      <c r="A9" s="358" t="s">
        <v>1681</v>
      </c>
      <c r="B9" s="60" t="s">
        <v>1682</v>
      </c>
      <c r="C9" s="3164" t="s">
        <v>3450</v>
      </c>
      <c r="D9" s="59">
        <v>100</v>
      </c>
      <c r="E9" s="361" t="s">
        <v>21</v>
      </c>
      <c r="F9" s="59">
        <f>SUMIF(64:64,E9,65:65)-SUMIF(64:64,C9,65:65)+100</f>
        <v>100</v>
      </c>
      <c r="G9" s="361" t="s">
        <v>21</v>
      </c>
      <c r="H9" s="59">
        <f>SUMIF(64:64,G9,65:65)-SUMIF(64:64,C9,65:65)+100</f>
        <v>100</v>
      </c>
      <c r="I9" s="361" t="s">
        <v>21</v>
      </c>
      <c r="J9" s="59">
        <f>SUMIF(64:64,I9,65:65)-SUMIF(64:64,C9,65:65)+100</f>
        <v>100</v>
      </c>
      <c r="K9" s="38"/>
      <c r="L9" s="2485"/>
      <c r="M9" s="2437"/>
      <c r="N9" s="2437"/>
      <c r="O9" s="2437"/>
      <c r="P9" s="3392"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801">
        <f t="shared" si="5"/>
        <v>1</v>
      </c>
    </row>
    <row r="10" spans="1:29" s="365" customFormat="1" ht="27">
      <c r="A10" s="362"/>
      <c r="B10" s="363" t="s">
        <v>1685</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92"/>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801">
        <f t="shared" si="5"/>
        <v>1</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92"/>
      <c r="Q11" s="529" t="str">
        <f t="shared" si="6"/>
        <v>容积率</v>
      </c>
      <c r="R11" s="663" t="s">
        <v>14</v>
      </c>
      <c r="S11" s="664">
        <f t="shared" si="0"/>
        <v>100</v>
      </c>
      <c r="T11" s="663" t="s">
        <v>14</v>
      </c>
      <c r="U11" s="664">
        <f t="shared" si="1"/>
        <v>100</v>
      </c>
      <c r="V11" s="663" t="s">
        <v>14</v>
      </c>
      <c r="W11" s="664">
        <f t="shared" si="2"/>
        <v>100</v>
      </c>
      <c r="X11" s="665"/>
      <c r="Y11" s="3343"/>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92"/>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92"/>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92"/>
      <c r="Q14" s="529">
        <f t="shared" si="6"/>
        <v>111</v>
      </c>
      <c r="R14" s="663" t="s">
        <v>14</v>
      </c>
      <c r="S14" s="664">
        <f t="shared" si="0"/>
        <v>100</v>
      </c>
      <c r="T14" s="663" t="s">
        <v>14</v>
      </c>
      <c r="U14" s="664">
        <f t="shared" si="1"/>
        <v>100</v>
      </c>
      <c r="V14" s="663" t="s">
        <v>14</v>
      </c>
      <c r="W14" s="664">
        <f t="shared" si="2"/>
        <v>100</v>
      </c>
      <c r="X14" s="665"/>
      <c r="Y14" s="3343"/>
      <c r="Z14" s="50">
        <f t="shared" si="7"/>
        <v>111</v>
      </c>
      <c r="AA14" s="50">
        <f t="shared" si="3"/>
        <v>1</v>
      </c>
      <c r="AB14" s="50">
        <f t="shared" si="4"/>
        <v>1</v>
      </c>
      <c r="AC14" s="801">
        <f t="shared" si="5"/>
        <v>1</v>
      </c>
    </row>
    <row r="15" spans="1:29" ht="71.25">
      <c r="A15" s="378" t="s">
        <v>1687</v>
      </c>
      <c r="B15" s="553" t="s">
        <v>1808</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89"/>
      <c r="M15" s="2484"/>
      <c r="N15" s="2484"/>
      <c r="O15" s="2484"/>
      <c r="P15" s="3406" t="s">
        <v>1688</v>
      </c>
      <c r="Q15" s="1262" t="str">
        <f t="shared" si="6"/>
        <v>办公集聚程度</v>
      </c>
      <c r="R15" s="666" t="s">
        <v>14</v>
      </c>
      <c r="S15" s="667">
        <f t="shared" si="0"/>
        <v>100</v>
      </c>
      <c r="T15" s="666" t="s">
        <v>14</v>
      </c>
      <c r="U15" s="667">
        <f t="shared" si="1"/>
        <v>100</v>
      </c>
      <c r="V15" s="666" t="s">
        <v>14</v>
      </c>
      <c r="W15" s="667">
        <f t="shared" si="2"/>
        <v>100</v>
      </c>
      <c r="X15" s="1264"/>
      <c r="Y15" s="3408" t="s">
        <v>1688</v>
      </c>
      <c r="Z15" s="1263" t="str">
        <f t="shared" si="7"/>
        <v>办公集聚程度</v>
      </c>
      <c r="AA15" s="1263">
        <f t="shared" si="3"/>
        <v>1</v>
      </c>
      <c r="AB15" s="1263">
        <f t="shared" si="4"/>
        <v>1</v>
      </c>
      <c r="AC15" s="1811">
        <f t="shared" si="5"/>
        <v>1</v>
      </c>
    </row>
    <row r="16" spans="1:29" ht="15">
      <c r="A16" s="366"/>
      <c r="B16" s="554"/>
      <c r="C16" s="1757" t="s">
        <v>3485</v>
      </c>
      <c r="D16" s="386"/>
      <c r="E16" s="1757" t="s">
        <v>3485</v>
      </c>
      <c r="F16" s="386"/>
      <c r="G16" s="1757" t="s">
        <v>3485</v>
      </c>
      <c r="H16" s="388"/>
      <c r="I16" s="1757" t="s">
        <v>3485</v>
      </c>
      <c r="J16" s="386"/>
      <c r="K16" s="540"/>
      <c r="L16" s="2489"/>
      <c r="M16" s="2484"/>
      <c r="N16" s="2484"/>
      <c r="O16" s="2484"/>
      <c r="P16" s="3407"/>
      <c r="Q16" s="1262"/>
      <c r="R16" s="666"/>
      <c r="S16" s="667"/>
      <c r="T16" s="666"/>
      <c r="U16" s="667"/>
      <c r="V16" s="666"/>
      <c r="W16" s="667"/>
      <c r="X16" s="1264"/>
      <c r="Y16" s="3409"/>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89"/>
      <c r="M17" s="2484"/>
      <c r="N17" s="2484"/>
      <c r="O17" s="2484"/>
      <c r="P17" s="3407"/>
      <c r="Q17" s="1262" t="str">
        <f>B17</f>
        <v>交通便捷度</v>
      </c>
      <c r="R17" s="666" t="s">
        <v>14</v>
      </c>
      <c r="S17" s="667">
        <f>F17</f>
        <v>100</v>
      </c>
      <c r="T17" s="666" t="s">
        <v>14</v>
      </c>
      <c r="U17" s="667">
        <f>H17</f>
        <v>100</v>
      </c>
      <c r="V17" s="666" t="s">
        <v>14</v>
      </c>
      <c r="W17" s="667">
        <f>J17</f>
        <v>100</v>
      </c>
      <c r="X17" s="1264"/>
      <c r="Y17" s="3409"/>
      <c r="Z17" s="1263" t="str">
        <f>Q17</f>
        <v>交通便捷度</v>
      </c>
      <c r="AA17" s="1263">
        <f t="shared" si="3"/>
        <v>1</v>
      </c>
      <c r="AB17" s="1263">
        <f t="shared" si="4"/>
        <v>1</v>
      </c>
      <c r="AC17" s="1811">
        <f t="shared" si="5"/>
        <v>1</v>
      </c>
    </row>
    <row r="18" spans="1:29" ht="15">
      <c r="A18" s="366"/>
      <c r="B18" s="400"/>
      <c r="C18" s="1757" t="s">
        <v>3485</v>
      </c>
      <c r="D18" s="388"/>
      <c r="E18" s="1757" t="s">
        <v>3485</v>
      </c>
      <c r="F18" s="388"/>
      <c r="G18" s="1757" t="s">
        <v>3485</v>
      </c>
      <c r="H18" s="386"/>
      <c r="I18" s="1757" t="s">
        <v>3485</v>
      </c>
      <c r="J18" s="386"/>
      <c r="K18" s="540"/>
      <c r="L18" s="2489"/>
      <c r="M18" s="2484"/>
      <c r="N18" s="2484"/>
      <c r="O18" s="2484"/>
      <c r="P18" s="3407"/>
      <c r="Q18" s="1262"/>
      <c r="R18" s="666"/>
      <c r="S18" s="667"/>
      <c r="T18" s="666"/>
      <c r="U18" s="667"/>
      <c r="V18" s="666"/>
      <c r="W18" s="667"/>
      <c r="X18" s="1264"/>
      <c r="Y18" s="3409"/>
      <c r="Z18" s="1263"/>
      <c r="AA18" s="1263">
        <v>1</v>
      </c>
      <c r="AB18" s="1263">
        <v>1</v>
      </c>
      <c r="AC18" s="1811">
        <v>1</v>
      </c>
    </row>
    <row r="19" spans="1:29" ht="42.75">
      <c r="A19" s="366"/>
      <c r="B19" s="555" t="s">
        <v>1809</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v>2</v>
      </c>
      <c r="L19" s="2489"/>
      <c r="M19" s="2484"/>
      <c r="N19" s="2484"/>
      <c r="O19" s="2484"/>
      <c r="P19" s="3407"/>
      <c r="Q19" s="1262" t="str">
        <f>B19</f>
        <v>公共配套设施</v>
      </c>
      <c r="R19" s="666" t="s">
        <v>14</v>
      </c>
      <c r="S19" s="667">
        <f>F19</f>
        <v>100</v>
      </c>
      <c r="T19" s="666" t="s">
        <v>14</v>
      </c>
      <c r="U19" s="667">
        <f>H19</f>
        <v>100</v>
      </c>
      <c r="V19" s="666" t="s">
        <v>14</v>
      </c>
      <c r="W19" s="667">
        <f>J19</f>
        <v>100</v>
      </c>
      <c r="X19" s="1264"/>
      <c r="Y19" s="3409"/>
      <c r="Z19" s="1263" t="str">
        <f>Q19</f>
        <v>公共配套设施</v>
      </c>
      <c r="AA19" s="1263">
        <f t="shared" si="3"/>
        <v>1</v>
      </c>
      <c r="AB19" s="1263">
        <f t="shared" si="4"/>
        <v>1</v>
      </c>
      <c r="AC19" s="1811">
        <f t="shared" si="5"/>
        <v>1</v>
      </c>
    </row>
    <row r="20" spans="1:29" ht="15">
      <c r="A20" s="366"/>
      <c r="B20" s="400"/>
      <c r="C20" s="1757" t="s">
        <v>3485</v>
      </c>
      <c r="D20" s="386"/>
      <c r="E20" s="1757" t="s">
        <v>3485</v>
      </c>
      <c r="F20" s="386"/>
      <c r="G20" s="1757" t="s">
        <v>3485</v>
      </c>
      <c r="H20" s="386"/>
      <c r="I20" s="1757" t="s">
        <v>3485</v>
      </c>
      <c r="J20" s="386"/>
      <c r="K20" s="540"/>
      <c r="L20" s="2489"/>
      <c r="M20" s="2484"/>
      <c r="N20" s="2484"/>
      <c r="O20" s="2484"/>
      <c r="P20" s="3407"/>
      <c r="Q20" s="1262"/>
      <c r="R20" s="666"/>
      <c r="S20" s="667"/>
      <c r="T20" s="666"/>
      <c r="U20" s="667"/>
      <c r="V20" s="666"/>
      <c r="W20" s="667"/>
      <c r="X20" s="1264"/>
      <c r="Y20" s="3409"/>
      <c r="Z20" s="1263"/>
      <c r="AA20" s="1263">
        <v>1</v>
      </c>
      <c r="AB20" s="1263">
        <v>1</v>
      </c>
      <c r="AC20" s="1811">
        <v>1</v>
      </c>
    </row>
    <row r="21" spans="1:29" ht="28.5">
      <c r="A21" s="366"/>
      <c r="B21" s="556" t="s">
        <v>1810</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2</v>
      </c>
      <c r="L21" s="2489"/>
      <c r="M21" s="2484"/>
      <c r="N21" s="2484"/>
      <c r="O21" s="2484"/>
      <c r="P21" s="3407"/>
      <c r="Q21" s="1262" t="str">
        <f>B21</f>
        <v>基础设施水平</v>
      </c>
      <c r="R21" s="666" t="s">
        <v>14</v>
      </c>
      <c r="S21" s="667">
        <f>F21</f>
        <v>100</v>
      </c>
      <c r="T21" s="666" t="s">
        <v>14</v>
      </c>
      <c r="U21" s="667">
        <f>H21</f>
        <v>100</v>
      </c>
      <c r="V21" s="666" t="s">
        <v>14</v>
      </c>
      <c r="W21" s="667">
        <f>J21</f>
        <v>100</v>
      </c>
      <c r="X21" s="1264"/>
      <c r="Y21" s="3409"/>
      <c r="Z21" s="1263" t="str">
        <f>Q21</f>
        <v>基础设施水平</v>
      </c>
      <c r="AA21" s="1263">
        <f t="shared" ref="AA21" si="8">D21/F21</f>
        <v>1</v>
      </c>
      <c r="AB21" s="1263">
        <f t="shared" ref="AB21" si="9">D21/H21</f>
        <v>1</v>
      </c>
      <c r="AC21" s="1811">
        <f t="shared" ref="AC21" si="10">D21/J21</f>
        <v>1</v>
      </c>
    </row>
    <row r="22" spans="1:29" ht="15">
      <c r="A22" s="366"/>
      <c r="B22" s="556"/>
      <c r="C22" s="1813" t="s">
        <v>3468</v>
      </c>
      <c r="D22" s="386"/>
      <c r="E22" s="1813" t="s">
        <v>3468</v>
      </c>
      <c r="F22" s="386"/>
      <c r="G22" s="1813" t="s">
        <v>3468</v>
      </c>
      <c r="H22" s="386"/>
      <c r="I22" s="1813" t="s">
        <v>3468</v>
      </c>
      <c r="J22" s="386"/>
      <c r="K22" s="1063"/>
      <c r="L22" s="2489"/>
      <c r="M22" s="2484"/>
      <c r="N22" s="2484"/>
      <c r="O22" s="2484"/>
      <c r="P22" s="3407"/>
      <c r="Q22" s="1262"/>
      <c r="R22" s="666"/>
      <c r="S22" s="667"/>
      <c r="T22" s="666"/>
      <c r="U22" s="667"/>
      <c r="V22" s="666"/>
      <c r="W22" s="667"/>
      <c r="X22" s="1264"/>
      <c r="Y22" s="3409"/>
      <c r="Z22" s="1263"/>
      <c r="AA22" s="1263">
        <v>1</v>
      </c>
      <c r="AB22" s="1263">
        <v>1</v>
      </c>
      <c r="AC22" s="1811">
        <v>1</v>
      </c>
    </row>
    <row r="23" spans="1:29" ht="42.75">
      <c r="A23" s="366"/>
      <c r="B23" s="555" t="s">
        <v>1811</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v>3</v>
      </c>
      <c r="L23" s="2489"/>
      <c r="M23" s="2484"/>
      <c r="N23" s="2484"/>
      <c r="O23" s="2484"/>
      <c r="P23" s="3407"/>
      <c r="Q23" s="1262" t="str">
        <f>B23</f>
        <v>环境质量</v>
      </c>
      <c r="R23" s="666" t="s">
        <v>14</v>
      </c>
      <c r="S23" s="667">
        <f>F23</f>
        <v>100</v>
      </c>
      <c r="T23" s="666" t="s">
        <v>14</v>
      </c>
      <c r="U23" s="667">
        <f>H23</f>
        <v>100</v>
      </c>
      <c r="V23" s="666" t="s">
        <v>14</v>
      </c>
      <c r="W23" s="667">
        <f>J23</f>
        <v>100</v>
      </c>
      <c r="X23" s="1264"/>
      <c r="Y23" s="3409"/>
      <c r="Z23" s="1263" t="str">
        <f>Q23</f>
        <v>环境质量</v>
      </c>
      <c r="AA23" s="1263">
        <f t="shared" si="3"/>
        <v>1</v>
      </c>
      <c r="AB23" s="1263">
        <f t="shared" si="4"/>
        <v>1</v>
      </c>
      <c r="AC23" s="1811">
        <f t="shared" si="5"/>
        <v>1</v>
      </c>
    </row>
    <row r="24" spans="1:29" ht="15">
      <c r="A24" s="366"/>
      <c r="B24" s="556"/>
      <c r="C24" s="1757" t="s">
        <v>3408</v>
      </c>
      <c r="D24" s="386"/>
      <c r="E24" s="1757" t="s">
        <v>3408</v>
      </c>
      <c r="F24" s="386"/>
      <c r="G24" s="1757" t="s">
        <v>3408</v>
      </c>
      <c r="H24" s="386"/>
      <c r="I24" s="1757" t="s">
        <v>3408</v>
      </c>
      <c r="J24" s="386"/>
      <c r="K24" s="540"/>
      <c r="L24" s="2489"/>
      <c r="M24" s="2484"/>
      <c r="N24" s="2484"/>
      <c r="O24" s="2484"/>
      <c r="P24" s="3407"/>
      <c r="Q24" s="1262"/>
      <c r="R24" s="666"/>
      <c r="S24" s="667"/>
      <c r="T24" s="666"/>
      <c r="U24" s="667"/>
      <c r="V24" s="666"/>
      <c r="W24" s="667"/>
      <c r="X24" s="1264"/>
      <c r="Y24" s="3409"/>
      <c r="Z24" s="1263"/>
      <c r="AA24" s="1263">
        <v>1</v>
      </c>
      <c r="AB24" s="1263">
        <v>1</v>
      </c>
      <c r="AC24" s="1811">
        <v>1</v>
      </c>
    </row>
    <row r="25" spans="1:29" ht="27">
      <c r="A25" s="347"/>
      <c r="B25" s="555" t="s">
        <v>1812</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07"/>
      <c r="Q25" s="1262" t="str">
        <f>B25</f>
        <v>毗邻道路的类型与等级</v>
      </c>
      <c r="R25" s="666" t="s">
        <v>14</v>
      </c>
      <c r="S25" s="667">
        <f>F25</f>
        <v>100</v>
      </c>
      <c r="T25" s="666" t="s">
        <v>14</v>
      </c>
      <c r="U25" s="667">
        <f>H25</f>
        <v>100</v>
      </c>
      <c r="V25" s="666" t="s">
        <v>14</v>
      </c>
      <c r="W25" s="667">
        <f>J25</f>
        <v>100</v>
      </c>
      <c r="X25" s="1264"/>
      <c r="Y25" s="340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07"/>
      <c r="Q26" s="1262"/>
      <c r="R26" s="666"/>
      <c r="S26" s="667"/>
      <c r="T26" s="666"/>
      <c r="U26" s="667"/>
      <c r="V26" s="666"/>
      <c r="W26" s="667"/>
      <c r="X26" s="1264"/>
      <c r="Y26" s="3409"/>
      <c r="Z26" s="1263"/>
      <c r="AA26" s="1263">
        <v>1</v>
      </c>
      <c r="AB26" s="1263">
        <v>1</v>
      </c>
      <c r="AC26" s="1811">
        <v>1</v>
      </c>
    </row>
    <row r="27" spans="1:29" ht="15">
      <c r="A27" s="366"/>
      <c r="B27" s="400" t="s">
        <v>1780</v>
      </c>
      <c r="C27" s="557"/>
      <c r="D27" s="373">
        <v>100</v>
      </c>
      <c r="E27" s="557"/>
      <c r="F27" s="373">
        <f>SUMIF(89:89,E27,90:90)-SUMIF(89:89,C27,90:90)+100</f>
        <v>100</v>
      </c>
      <c r="G27" s="557"/>
      <c r="H27" s="373">
        <f>SUMIF(89:89,G27,90:90)-SUMIF(89:89,C27,90:90)+100</f>
        <v>100</v>
      </c>
      <c r="I27" s="557"/>
      <c r="J27" s="373">
        <f>SUMIF(89:89,I27,90:90)-SUMIF(89:89,C27,90:90)+100</f>
        <v>100</v>
      </c>
      <c r="K27" s="537">
        <v>2</v>
      </c>
      <c r="L27" s="2489"/>
      <c r="M27" s="2484"/>
      <c r="N27" s="2484"/>
      <c r="O27" s="2484"/>
      <c r="P27" s="3407"/>
      <c r="Q27" s="1262" t="str">
        <f t="shared" ref="Q27:Q47" si="11">B27</f>
        <v>楼层</v>
      </c>
      <c r="R27" s="666" t="s">
        <v>14</v>
      </c>
      <c r="S27" s="667">
        <f>F27</f>
        <v>100</v>
      </c>
      <c r="T27" s="666" t="s">
        <v>14</v>
      </c>
      <c r="U27" s="667">
        <f>H27</f>
        <v>100</v>
      </c>
      <c r="V27" s="666" t="s">
        <v>14</v>
      </c>
      <c r="W27" s="667">
        <f>J27</f>
        <v>100</v>
      </c>
      <c r="X27" s="1264"/>
      <c r="Y27" s="3409"/>
      <c r="Z27" s="1263" t="str">
        <f>Q27</f>
        <v>楼层</v>
      </c>
      <c r="AA27" s="1263">
        <f t="shared" si="3"/>
        <v>1</v>
      </c>
      <c r="AB27" s="1263">
        <f t="shared" si="4"/>
        <v>1</v>
      </c>
      <c r="AC27" s="1811">
        <f t="shared" si="5"/>
        <v>1</v>
      </c>
    </row>
    <row r="28" spans="1:29" s="101" customFormat="1" ht="15">
      <c r="A28" s="369"/>
      <c r="B28" s="555" t="s">
        <v>1813</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07"/>
      <c r="Q28" s="529" t="str">
        <f t="shared" si="11"/>
        <v>朝向</v>
      </c>
      <c r="R28" s="663" t="s">
        <v>14</v>
      </c>
      <c r="S28" s="664">
        <f>F28</f>
        <v>100</v>
      </c>
      <c r="T28" s="663" t="s">
        <v>14</v>
      </c>
      <c r="U28" s="664">
        <f>H28</f>
        <v>100</v>
      </c>
      <c r="V28" s="663" t="s">
        <v>14</v>
      </c>
      <c r="W28" s="664">
        <f>J28</f>
        <v>100</v>
      </c>
      <c r="X28" s="665"/>
      <c r="Y28" s="3409"/>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07"/>
      <c r="Q29" s="1262">
        <f t="shared" si="11"/>
        <v>111</v>
      </c>
      <c r="R29" s="666" t="s">
        <v>14</v>
      </c>
      <c r="S29" s="667">
        <f t="shared" ref="S29:S47" si="12">F29</f>
        <v>100</v>
      </c>
      <c r="T29" s="666" t="s">
        <v>14</v>
      </c>
      <c r="U29" s="667">
        <f t="shared" ref="U29:U47" si="13">H29</f>
        <v>100</v>
      </c>
      <c r="V29" s="666" t="s">
        <v>14</v>
      </c>
      <c r="W29" s="667">
        <f t="shared" ref="W29:W47" si="14">J29</f>
        <v>100</v>
      </c>
      <c r="X29" s="1264"/>
      <c r="Y29" s="340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07"/>
      <c r="Q30" s="1262">
        <f t="shared" si="11"/>
        <v>111</v>
      </c>
      <c r="R30" s="666" t="s">
        <v>14</v>
      </c>
      <c r="S30" s="667">
        <f t="shared" si="12"/>
        <v>100</v>
      </c>
      <c r="T30" s="666" t="s">
        <v>14</v>
      </c>
      <c r="U30" s="667">
        <f t="shared" si="13"/>
        <v>100</v>
      </c>
      <c r="V30" s="666" t="s">
        <v>14</v>
      </c>
      <c r="W30" s="667">
        <f t="shared" si="14"/>
        <v>100</v>
      </c>
      <c r="X30" s="1264"/>
      <c r="Y30" s="340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07"/>
      <c r="Q31" s="1262">
        <f t="shared" si="11"/>
        <v>111</v>
      </c>
      <c r="R31" s="666" t="s">
        <v>14</v>
      </c>
      <c r="S31" s="667">
        <f t="shared" si="12"/>
        <v>100</v>
      </c>
      <c r="T31" s="666" t="s">
        <v>14</v>
      </c>
      <c r="U31" s="667">
        <f t="shared" si="13"/>
        <v>100</v>
      </c>
      <c r="V31" s="666" t="s">
        <v>14</v>
      </c>
      <c r="W31" s="667">
        <f t="shared" si="14"/>
        <v>100</v>
      </c>
      <c r="X31" s="1264"/>
      <c r="Y31" s="3409"/>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07"/>
      <c r="Q32" s="1262">
        <f t="shared" si="11"/>
        <v>111</v>
      </c>
      <c r="R32" s="666" t="s">
        <v>14</v>
      </c>
      <c r="S32" s="667">
        <f t="shared" si="12"/>
        <v>100</v>
      </c>
      <c r="T32" s="666" t="s">
        <v>14</v>
      </c>
      <c r="U32" s="667">
        <f t="shared" si="13"/>
        <v>100</v>
      </c>
      <c r="V32" s="666" t="s">
        <v>14</v>
      </c>
      <c r="W32" s="667">
        <f t="shared" si="14"/>
        <v>100</v>
      </c>
      <c r="X32" s="1264"/>
      <c r="Y32" s="3409"/>
      <c r="Z32" s="1263">
        <f t="shared" si="15"/>
        <v>111</v>
      </c>
      <c r="AA32" s="1263">
        <f t="shared" si="3"/>
        <v>1</v>
      </c>
      <c r="AB32" s="1263">
        <f t="shared" si="4"/>
        <v>1</v>
      </c>
      <c r="AC32" s="1811">
        <f t="shared" si="5"/>
        <v>1</v>
      </c>
    </row>
    <row r="33" spans="1:29" ht="15">
      <c r="A33" s="378" t="s">
        <v>1691</v>
      </c>
      <c r="B33" s="60" t="s">
        <v>1814</v>
      </c>
      <c r="C33" s="1763" t="s">
        <v>3494</v>
      </c>
      <c r="D33" s="404">
        <v>100</v>
      </c>
      <c r="E33" s="1763" t="s">
        <v>3494</v>
      </c>
      <c r="F33" s="399">
        <f>SUMIF(101:101,E33,102:102)-SUMIF(101:101,C33,102:102)+100</f>
        <v>100</v>
      </c>
      <c r="G33" s="1763" t="s">
        <v>3494</v>
      </c>
      <c r="H33" s="373">
        <f>SUMIF(101:101,G33,102:102)-SUMIF(101:101,C33,102:102)+100</f>
        <v>100</v>
      </c>
      <c r="I33" s="1763" t="s">
        <v>3494</v>
      </c>
      <c r="J33" s="404">
        <f>SUMIF(101:101,I33,102:102)-SUMIF(101:101,C33,102:102)+100</f>
        <v>100</v>
      </c>
      <c r="K33" s="537">
        <v>5</v>
      </c>
      <c r="L33" s="2489"/>
      <c r="M33" s="2484"/>
      <c r="N33" s="2484"/>
      <c r="O33" s="2484"/>
      <c r="P33" s="3410" t="s">
        <v>1693</v>
      </c>
      <c r="Q33" s="1262" t="str">
        <f t="shared" si="11"/>
        <v>建筑类型</v>
      </c>
      <c r="R33" s="666" t="s">
        <v>14</v>
      </c>
      <c r="S33" s="667">
        <f t="shared" si="12"/>
        <v>100</v>
      </c>
      <c r="T33" s="666" t="s">
        <v>14</v>
      </c>
      <c r="U33" s="667">
        <f t="shared" si="13"/>
        <v>100</v>
      </c>
      <c r="V33" s="666" t="s">
        <v>14</v>
      </c>
      <c r="W33" s="667">
        <f t="shared" si="14"/>
        <v>100</v>
      </c>
      <c r="X33" s="1264"/>
      <c r="Y33" s="3413" t="s">
        <v>1693</v>
      </c>
      <c r="Z33" s="1263" t="str">
        <f t="shared" si="15"/>
        <v>建筑类型</v>
      </c>
      <c r="AA33" s="1263">
        <f t="shared" si="3"/>
        <v>1</v>
      </c>
      <c r="AB33" s="1263">
        <f t="shared" si="4"/>
        <v>1</v>
      </c>
      <c r="AC33" s="1811">
        <f t="shared" si="5"/>
        <v>1</v>
      </c>
    </row>
    <row r="34" spans="1:29" s="407" customFormat="1" ht="15">
      <c r="A34" s="405"/>
      <c r="B34" s="363" t="s">
        <v>1694</v>
      </c>
      <c r="C34" s="406">
        <f>'数据-汇总表'!E3</f>
        <v>7170.4100000000008</v>
      </c>
      <c r="D34" s="118">
        <v>100</v>
      </c>
      <c r="E34" s="406">
        <v>1380</v>
      </c>
      <c r="F34" s="363">
        <f>LOOKUP(E34,104:104,105:105)-LOOKUP(C34,104:104,105:105)+100</f>
        <v>101</v>
      </c>
      <c r="G34" s="406">
        <v>1380</v>
      </c>
      <c r="H34" s="118">
        <f>LOOKUP(G34,104:104,105:105)-LOOKUP(C34,104:104,105:105)+100</f>
        <v>101</v>
      </c>
      <c r="I34" s="406">
        <v>645</v>
      </c>
      <c r="J34" s="118">
        <f>LOOKUP(I34,104:104,105:105)-LOOKUP(C34,104:104,105:105)+100</f>
        <v>102</v>
      </c>
      <c r="K34" s="538"/>
      <c r="L34" s="2488"/>
      <c r="M34" s="2490"/>
      <c r="N34" s="2490"/>
      <c r="O34" s="2490"/>
      <c r="P34" s="3411"/>
      <c r="Q34" s="530" t="str">
        <f t="shared" si="11"/>
        <v>项目建筑规模</v>
      </c>
      <c r="R34" s="668" t="s">
        <v>14</v>
      </c>
      <c r="S34" s="669">
        <f t="shared" si="12"/>
        <v>101</v>
      </c>
      <c r="T34" s="668" t="s">
        <v>14</v>
      </c>
      <c r="U34" s="669">
        <f t="shared" si="13"/>
        <v>101</v>
      </c>
      <c r="V34" s="668" t="s">
        <v>14</v>
      </c>
      <c r="W34" s="669">
        <f t="shared" si="14"/>
        <v>102</v>
      </c>
      <c r="X34" s="670"/>
      <c r="Y34" s="3413"/>
      <c r="Z34" s="671" t="str">
        <f t="shared" si="15"/>
        <v>项目建筑规模</v>
      </c>
      <c r="AA34" s="1263">
        <f t="shared" si="3"/>
        <v>0.99009900990099009</v>
      </c>
      <c r="AB34" s="1263">
        <f t="shared" si="4"/>
        <v>0.99009900990099009</v>
      </c>
      <c r="AC34" s="1811">
        <f t="shared" si="5"/>
        <v>0.98039215686274506</v>
      </c>
    </row>
    <row r="35" spans="1:29" ht="15">
      <c r="A35" s="408"/>
      <c r="B35" s="363" t="s">
        <v>1695</v>
      </c>
      <c r="C35" s="398" t="s">
        <v>3435</v>
      </c>
      <c r="D35" s="373">
        <v>100</v>
      </c>
      <c r="E35" s="398" t="s">
        <v>3435</v>
      </c>
      <c r="F35" s="399">
        <f>SUMIF(106:106,E35,107:107)-SUMIF(106:106,C35,107:107)+100</f>
        <v>100</v>
      </c>
      <c r="G35" s="398" t="s">
        <v>3435</v>
      </c>
      <c r="H35" s="373">
        <f>SUMIF(106:106,G35,107:107)-SUMIF(106:106,C35,107:107)+100</f>
        <v>100</v>
      </c>
      <c r="I35" s="398" t="s">
        <v>3435</v>
      </c>
      <c r="J35" s="373">
        <f>SUMIF(106:106,I35,107:107)-SUMIF(106:106,C35,107:107)+100</f>
        <v>100</v>
      </c>
      <c r="K35" s="537">
        <v>1</v>
      </c>
      <c r="L35" s="2489"/>
      <c r="M35" s="2484"/>
      <c r="N35" s="2484"/>
      <c r="O35" s="2484"/>
      <c r="P35" s="3411"/>
      <c r="Q35" s="1262" t="str">
        <f t="shared" si="11"/>
        <v>建筑结构</v>
      </c>
      <c r="R35" s="666" t="s">
        <v>14</v>
      </c>
      <c r="S35" s="667">
        <f t="shared" si="12"/>
        <v>100</v>
      </c>
      <c r="T35" s="666" t="s">
        <v>14</v>
      </c>
      <c r="U35" s="667">
        <f t="shared" si="13"/>
        <v>100</v>
      </c>
      <c r="V35" s="666" t="s">
        <v>14</v>
      </c>
      <c r="W35" s="667">
        <f t="shared" si="14"/>
        <v>100</v>
      </c>
      <c r="X35" s="1264"/>
      <c r="Y35" s="3413"/>
      <c r="Z35" s="1263" t="str">
        <f t="shared" si="15"/>
        <v>建筑结构</v>
      </c>
      <c r="AA35" s="1263">
        <f t="shared" si="3"/>
        <v>1</v>
      </c>
      <c r="AB35" s="1263">
        <f t="shared" si="4"/>
        <v>1</v>
      </c>
      <c r="AC35" s="1811">
        <f t="shared" si="5"/>
        <v>1</v>
      </c>
    </row>
    <row r="36" spans="1:29" ht="15">
      <c r="A36" s="408"/>
      <c r="B36" s="363" t="s">
        <v>1782</v>
      </c>
      <c r="C36" s="398" t="s">
        <v>3461</v>
      </c>
      <c r="D36" s="373">
        <v>100</v>
      </c>
      <c r="E36" s="398" t="s">
        <v>3461</v>
      </c>
      <c r="F36" s="399">
        <f>SUMIF(108:108,E36,109:109)-SUMIF(108:108,C36,109:109)+100</f>
        <v>100</v>
      </c>
      <c r="G36" s="398" t="s">
        <v>3461</v>
      </c>
      <c r="H36" s="373">
        <f>SUMIF(108:108,G36,109:109)-SUMIF(108:108,C36,109:109)+100</f>
        <v>100</v>
      </c>
      <c r="I36" s="398" t="s">
        <v>3461</v>
      </c>
      <c r="J36" s="373">
        <f>SUMIF(108:108,I36,109:109)-SUMIF(108:108,C36,109:109)+100</f>
        <v>100</v>
      </c>
      <c r="K36" s="537">
        <v>2</v>
      </c>
      <c r="L36" s="2489"/>
      <c r="M36" s="2484"/>
      <c r="N36" s="2484"/>
      <c r="O36" s="2484"/>
      <c r="P36" s="3411"/>
      <c r="Q36" s="1262" t="str">
        <f t="shared" si="11"/>
        <v>公共部分装修</v>
      </c>
      <c r="R36" s="666" t="s">
        <v>14</v>
      </c>
      <c r="S36" s="667">
        <f t="shared" si="12"/>
        <v>100</v>
      </c>
      <c r="T36" s="666" t="s">
        <v>14</v>
      </c>
      <c r="U36" s="667">
        <f t="shared" si="13"/>
        <v>100</v>
      </c>
      <c r="V36" s="666" t="s">
        <v>14</v>
      </c>
      <c r="W36" s="667">
        <f t="shared" si="14"/>
        <v>100</v>
      </c>
      <c r="X36" s="1264"/>
      <c r="Y36" s="3413"/>
      <c r="Z36" s="1263" t="str">
        <f t="shared" si="15"/>
        <v>公共部分装修</v>
      </c>
      <c r="AA36" s="1263">
        <f t="shared" si="3"/>
        <v>1</v>
      </c>
      <c r="AB36" s="1263">
        <f t="shared" si="4"/>
        <v>1</v>
      </c>
      <c r="AC36" s="1811">
        <f t="shared" si="5"/>
        <v>1</v>
      </c>
    </row>
    <row r="37" spans="1:29" ht="15">
      <c r="A37" s="408"/>
      <c r="B37" s="363" t="s">
        <v>1783</v>
      </c>
      <c r="C37" s="410">
        <f>'数据-取费表'!N6</f>
        <v>0.76</v>
      </c>
      <c r="D37" s="373">
        <v>100</v>
      </c>
      <c r="E37" s="410">
        <f>C37</f>
        <v>0.76</v>
      </c>
      <c r="F37" s="399">
        <f>LOOKUP(E37,111:111,112:112)-LOOKUP(C37,111:111,112:112)+100</f>
        <v>100</v>
      </c>
      <c r="G37" s="410">
        <f>C37</f>
        <v>0.76</v>
      </c>
      <c r="H37" s="399">
        <f>LOOKUP(G37,111:111,112:112)-LOOKUP(C37,111:111,112:112)+100</f>
        <v>100</v>
      </c>
      <c r="I37" s="410">
        <f>C37</f>
        <v>0.76</v>
      </c>
      <c r="J37" s="373">
        <f>LOOKUP(I37,111:111,112:112)-LOOKUP(C37,111:111,112:112)+100</f>
        <v>100</v>
      </c>
      <c r="K37" s="537">
        <v>2</v>
      </c>
      <c r="L37" s="2489"/>
      <c r="M37" s="2484"/>
      <c r="N37" s="2484"/>
      <c r="O37" s="2484"/>
      <c r="P37" s="3411"/>
      <c r="Q37" s="1262" t="str">
        <f t="shared" si="11"/>
        <v>成新度</v>
      </c>
      <c r="R37" s="666" t="s">
        <v>14</v>
      </c>
      <c r="S37" s="667">
        <f t="shared" si="12"/>
        <v>100</v>
      </c>
      <c r="T37" s="666" t="s">
        <v>14</v>
      </c>
      <c r="U37" s="667">
        <f t="shared" si="13"/>
        <v>100</v>
      </c>
      <c r="V37" s="666" t="s">
        <v>14</v>
      </c>
      <c r="W37" s="667">
        <f t="shared" si="14"/>
        <v>100</v>
      </c>
      <c r="X37" s="1264"/>
      <c r="Y37" s="3413"/>
      <c r="Z37" s="1263" t="str">
        <f t="shared" si="15"/>
        <v>成新度</v>
      </c>
      <c r="AA37" s="1263">
        <f t="shared" si="3"/>
        <v>1</v>
      </c>
      <c r="AB37" s="1263">
        <f t="shared" si="4"/>
        <v>1</v>
      </c>
      <c r="AC37" s="1811">
        <f t="shared" si="5"/>
        <v>1</v>
      </c>
    </row>
    <row r="38" spans="1:29" s="101" customFormat="1" ht="15" hidden="1">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11"/>
      <c r="Q38" s="529" t="str">
        <f t="shared" si="11"/>
        <v>写字楼等级</v>
      </c>
      <c r="R38" s="663" t="s">
        <v>14</v>
      </c>
      <c r="S38" s="664">
        <f t="shared" si="12"/>
        <v>100</v>
      </c>
      <c r="T38" s="663" t="s">
        <v>14</v>
      </c>
      <c r="U38" s="664">
        <f t="shared" si="13"/>
        <v>100</v>
      </c>
      <c r="V38" s="663" t="s">
        <v>14</v>
      </c>
      <c r="W38" s="664">
        <f t="shared" si="14"/>
        <v>100</v>
      </c>
      <c r="X38" s="665"/>
      <c r="Y38" s="3413"/>
      <c r="Z38" s="50" t="str">
        <f t="shared" si="15"/>
        <v>写字楼等级</v>
      </c>
      <c r="AA38" s="50">
        <f t="shared" si="3"/>
        <v>1</v>
      </c>
      <c r="AB38" s="50">
        <f t="shared" si="4"/>
        <v>1</v>
      </c>
      <c r="AC38" s="801">
        <f t="shared" si="5"/>
        <v>1</v>
      </c>
    </row>
    <row r="39" spans="1:29" ht="15">
      <c r="A39" s="408"/>
      <c r="B39" s="363" t="s">
        <v>1816</v>
      </c>
      <c r="C39" s="398" t="s">
        <v>3475</v>
      </c>
      <c r="D39" s="373">
        <v>100</v>
      </c>
      <c r="E39" s="398" t="s">
        <v>3475</v>
      </c>
      <c r="F39" s="399">
        <f>SUMIF(115:115,E39,116:116)-SUMIF(115:115,C39,116:116)+100</f>
        <v>100</v>
      </c>
      <c r="G39" s="398" t="s">
        <v>3475</v>
      </c>
      <c r="H39" s="373">
        <f>SUMIF(115:115,G39,116:116)-SUMIF(115:115,C39,116:116)+100</f>
        <v>100</v>
      </c>
      <c r="I39" s="398" t="s">
        <v>3475</v>
      </c>
      <c r="J39" s="373">
        <f>SUMIF(115:115,I39,116:116)-SUMIF(115:115,C39,116:116)+100</f>
        <v>100</v>
      </c>
      <c r="K39" s="537">
        <v>1</v>
      </c>
      <c r="L39" s="2489"/>
      <c r="M39" s="2484"/>
      <c r="N39" s="2484"/>
      <c r="O39" s="2484"/>
      <c r="P39" s="3411" t="s">
        <v>1693</v>
      </c>
      <c r="Q39" s="1262" t="str">
        <f t="shared" si="11"/>
        <v>物业管理</v>
      </c>
      <c r="R39" s="666" t="s">
        <v>14</v>
      </c>
      <c r="S39" s="667">
        <f t="shared" si="12"/>
        <v>100</v>
      </c>
      <c r="T39" s="666" t="s">
        <v>14</v>
      </c>
      <c r="U39" s="667">
        <f t="shared" si="13"/>
        <v>100</v>
      </c>
      <c r="V39" s="666" t="s">
        <v>14</v>
      </c>
      <c r="W39" s="667">
        <f t="shared" si="14"/>
        <v>100</v>
      </c>
      <c r="X39" s="1264"/>
      <c r="Y39" s="3413" t="s">
        <v>1693</v>
      </c>
      <c r="Z39" s="1263" t="str">
        <f t="shared" si="15"/>
        <v>物业管理</v>
      </c>
      <c r="AA39" s="1263">
        <f t="shared" si="3"/>
        <v>1</v>
      </c>
      <c r="AB39" s="1263">
        <f t="shared" si="4"/>
        <v>1</v>
      </c>
      <c r="AC39" s="1811">
        <f t="shared" si="5"/>
        <v>1</v>
      </c>
    </row>
    <row r="40" spans="1:29" ht="15" hidden="1">
      <c r="A40" s="408"/>
      <c r="B40" s="363" t="s">
        <v>1784</v>
      </c>
      <c r="C40" s="398" t="s">
        <v>3470</v>
      </c>
      <c r="D40" s="373">
        <v>100</v>
      </c>
      <c r="E40" s="398" t="s">
        <v>3470</v>
      </c>
      <c r="F40" s="399">
        <f>SUMIF(117:117,E40,118:118)-SUMIF(117:117,C40,118:118)+100</f>
        <v>100</v>
      </c>
      <c r="G40" s="398" t="s">
        <v>3470</v>
      </c>
      <c r="H40" s="373">
        <f>SUMIF(117:117,G40,118:118)-SUMIF(117:117,C40,118:118)+100</f>
        <v>100</v>
      </c>
      <c r="I40" s="398" t="s">
        <v>3470</v>
      </c>
      <c r="J40" s="373">
        <f>SUMIF(117:117,I40,118:118)-SUMIF(117:117,C40,118:118)+100</f>
        <v>100</v>
      </c>
      <c r="K40" s="537">
        <v>0</v>
      </c>
      <c r="L40" s="2489"/>
      <c r="M40" s="2484"/>
      <c r="N40" s="2484"/>
      <c r="O40" s="2484"/>
      <c r="P40" s="3411"/>
      <c r="Q40" s="1262" t="str">
        <f t="shared" si="11"/>
        <v>市政基础设施</v>
      </c>
      <c r="R40" s="666" t="s">
        <v>14</v>
      </c>
      <c r="S40" s="667">
        <f t="shared" si="12"/>
        <v>100</v>
      </c>
      <c r="T40" s="666" t="s">
        <v>14</v>
      </c>
      <c r="U40" s="667">
        <f t="shared" si="13"/>
        <v>100</v>
      </c>
      <c r="V40" s="666" t="s">
        <v>14</v>
      </c>
      <c r="W40" s="667">
        <f t="shared" si="14"/>
        <v>100</v>
      </c>
      <c r="X40" s="1264"/>
      <c r="Y40" s="3413"/>
      <c r="Z40" s="1263" t="str">
        <f t="shared" si="15"/>
        <v>市政基础设施</v>
      </c>
      <c r="AA40" s="1263">
        <f t="shared" si="3"/>
        <v>1</v>
      </c>
      <c r="AB40" s="1263">
        <f t="shared" si="4"/>
        <v>1</v>
      </c>
      <c r="AC40" s="1811">
        <f t="shared" si="5"/>
        <v>1</v>
      </c>
    </row>
    <row r="41" spans="1:29" ht="15">
      <c r="A41" s="408"/>
      <c r="B41" s="363" t="s">
        <v>1786</v>
      </c>
      <c r="C41" s="541" t="s">
        <v>3466</v>
      </c>
      <c r="D41" s="373">
        <v>100</v>
      </c>
      <c r="E41" s="541" t="s">
        <v>3466</v>
      </c>
      <c r="F41" s="399">
        <f>SUMIF(119:119,E41,120:120)-SUMIF(119:119,C41,120:120)+100</f>
        <v>100</v>
      </c>
      <c r="G41" s="541" t="s">
        <v>3466</v>
      </c>
      <c r="H41" s="373">
        <f>SUMIF(119:119,G41,120:120)-SUMIF(119:119,C41,120:120)+100</f>
        <v>100</v>
      </c>
      <c r="I41" s="541" t="s">
        <v>3466</v>
      </c>
      <c r="J41" s="373">
        <f>SUMIF(119:119,I41,120:120)-SUMIF(119:119,C41,120:120)+100</f>
        <v>100</v>
      </c>
      <c r="K41" s="537">
        <v>2</v>
      </c>
      <c r="L41" s="2489"/>
      <c r="M41" s="2484"/>
      <c r="N41" s="2484"/>
      <c r="O41" s="2484"/>
      <c r="P41" s="3411"/>
      <c r="Q41" s="1262" t="str">
        <f t="shared" si="11"/>
        <v>层高</v>
      </c>
      <c r="R41" s="666" t="s">
        <v>14</v>
      </c>
      <c r="S41" s="667">
        <f t="shared" si="12"/>
        <v>100</v>
      </c>
      <c r="T41" s="666" t="s">
        <v>14</v>
      </c>
      <c r="U41" s="667">
        <f t="shared" si="13"/>
        <v>100</v>
      </c>
      <c r="V41" s="666" t="s">
        <v>14</v>
      </c>
      <c r="W41" s="667">
        <f t="shared" si="14"/>
        <v>100</v>
      </c>
      <c r="X41" s="1264"/>
      <c r="Y41" s="3413"/>
      <c r="Z41" s="1263" t="str">
        <f t="shared" si="15"/>
        <v>层高</v>
      </c>
      <c r="AA41" s="1263">
        <f t="shared" si="3"/>
        <v>1</v>
      </c>
      <c r="AB41" s="1263">
        <f t="shared" si="4"/>
        <v>1</v>
      </c>
      <c r="AC41" s="1811">
        <f t="shared" si="5"/>
        <v>1</v>
      </c>
    </row>
    <row r="42" spans="1:29" s="407" customFormat="1" ht="15" hidden="1">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11"/>
      <c r="Q42" s="530" t="str">
        <f t="shared" si="11"/>
        <v>单套建筑面积</v>
      </c>
      <c r="R42" s="668" t="s">
        <v>14</v>
      </c>
      <c r="S42" s="669">
        <f t="shared" si="12"/>
        <v>100</v>
      </c>
      <c r="T42" s="668" t="s">
        <v>14</v>
      </c>
      <c r="U42" s="669">
        <f t="shared" si="13"/>
        <v>100</v>
      </c>
      <c r="V42" s="668" t="s">
        <v>14</v>
      </c>
      <c r="W42" s="669">
        <f t="shared" si="14"/>
        <v>100</v>
      </c>
      <c r="X42" s="670"/>
      <c r="Y42" s="3413"/>
      <c r="Z42" s="671" t="str">
        <f t="shared" si="15"/>
        <v>单套建筑面积</v>
      </c>
      <c r="AA42" s="1263">
        <f t="shared" si="3"/>
        <v>1</v>
      </c>
      <c r="AB42" s="1263">
        <f t="shared" si="4"/>
        <v>1</v>
      </c>
      <c r="AC42" s="1811">
        <f t="shared" si="5"/>
        <v>1</v>
      </c>
    </row>
    <row r="43" spans="1:29" ht="15">
      <c r="A43" s="408"/>
      <c r="B43" s="363" t="s">
        <v>1789</v>
      </c>
      <c r="C43" s="398" t="s">
        <v>3461</v>
      </c>
      <c r="D43" s="373">
        <v>100</v>
      </c>
      <c r="E43" s="398" t="s">
        <v>3461</v>
      </c>
      <c r="F43" s="399">
        <f>SUMIF(123:123,E43,124:124)-SUMIF(123:123,C43,124:124)+100</f>
        <v>100</v>
      </c>
      <c r="G43" s="398" t="s">
        <v>3461</v>
      </c>
      <c r="H43" s="373">
        <f>SUMIF(123:123,G43,124:124)-SUMIF(123:123,C43,124:124)+100</f>
        <v>100</v>
      </c>
      <c r="I43" s="398" t="s">
        <v>3461</v>
      </c>
      <c r="J43" s="373">
        <f>SUMIF(123:123,I43,124:124)-SUMIF(123:123,C43,124:124)+100</f>
        <v>100</v>
      </c>
      <c r="K43" s="537">
        <v>2</v>
      </c>
      <c r="L43" s="2489"/>
      <c r="M43" s="2484"/>
      <c r="N43" s="2484"/>
      <c r="O43" s="2484"/>
      <c r="P43" s="3411"/>
      <c r="Q43" s="1262" t="str">
        <f t="shared" si="11"/>
        <v>内部装修</v>
      </c>
      <c r="R43" s="666" t="s">
        <v>14</v>
      </c>
      <c r="S43" s="667">
        <f t="shared" si="12"/>
        <v>100</v>
      </c>
      <c r="T43" s="666" t="s">
        <v>14</v>
      </c>
      <c r="U43" s="667">
        <f t="shared" si="13"/>
        <v>100</v>
      </c>
      <c r="V43" s="666" t="s">
        <v>14</v>
      </c>
      <c r="W43" s="667">
        <f t="shared" si="14"/>
        <v>100</v>
      </c>
      <c r="X43" s="1264"/>
      <c r="Y43" s="3413"/>
      <c r="Z43" s="1263" t="str">
        <f t="shared" si="15"/>
        <v>内部装修</v>
      </c>
      <c r="AA43" s="1263">
        <f t="shared" si="3"/>
        <v>1</v>
      </c>
      <c r="AB43" s="1263">
        <f t="shared" si="4"/>
        <v>1</v>
      </c>
      <c r="AC43" s="1811">
        <f t="shared" si="5"/>
        <v>1</v>
      </c>
    </row>
    <row r="44" spans="1:29" ht="15">
      <c r="A44" s="408"/>
      <c r="B44" s="363" t="s">
        <v>1704</v>
      </c>
      <c r="C44" s="398" t="s">
        <v>3409</v>
      </c>
      <c r="D44" s="373">
        <v>100</v>
      </c>
      <c r="E44" s="398" t="s">
        <v>3409</v>
      </c>
      <c r="F44" s="399">
        <f>SUMIF(125:125,E44,126:126)-SUMIF(125:125,C44,126:126)+100</f>
        <v>100</v>
      </c>
      <c r="G44" s="398" t="s">
        <v>3409</v>
      </c>
      <c r="H44" s="373">
        <f>SUMIF(125:125,G44,126:126)-SUMIF(125:125,C44,126:126)+100</f>
        <v>100</v>
      </c>
      <c r="I44" s="398" t="s">
        <v>3409</v>
      </c>
      <c r="J44" s="373">
        <f>SUMIF(125:125,I44,126:126)-SUMIF(125:125,C44,126:126)+100</f>
        <v>100</v>
      </c>
      <c r="K44" s="537">
        <v>1</v>
      </c>
      <c r="L44" s="2489"/>
      <c r="M44" s="2484"/>
      <c r="N44" s="2484"/>
      <c r="O44" s="2484"/>
      <c r="P44" s="3411"/>
      <c r="Q44" s="1262" t="str">
        <f t="shared" si="11"/>
        <v>内部装修维护情况</v>
      </c>
      <c r="R44" s="666" t="s">
        <v>14</v>
      </c>
      <c r="S44" s="667">
        <f t="shared" si="12"/>
        <v>100</v>
      </c>
      <c r="T44" s="666" t="s">
        <v>14</v>
      </c>
      <c r="U44" s="667">
        <f t="shared" si="13"/>
        <v>100</v>
      </c>
      <c r="V44" s="666" t="s">
        <v>14</v>
      </c>
      <c r="W44" s="667">
        <f t="shared" si="14"/>
        <v>100</v>
      </c>
      <c r="X44" s="1264"/>
      <c r="Y44" s="3413"/>
      <c r="Z44" s="1263" t="str">
        <f t="shared" si="15"/>
        <v>内部装修维护情况</v>
      </c>
      <c r="AA44" s="1263">
        <f t="shared" si="3"/>
        <v>1</v>
      </c>
      <c r="AB44" s="1263">
        <f t="shared" si="4"/>
        <v>1</v>
      </c>
      <c r="AC44" s="1811">
        <f t="shared" si="5"/>
        <v>1</v>
      </c>
    </row>
    <row r="45" spans="1:29" s="101" customFormat="1" ht="15">
      <c r="A45" s="409"/>
      <c r="B45" s="3159"/>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11"/>
      <c r="Q45" s="529">
        <f t="shared" si="11"/>
        <v>0</v>
      </c>
      <c r="R45" s="663" t="s">
        <v>14</v>
      </c>
      <c r="S45" s="664">
        <f t="shared" si="12"/>
        <v>100</v>
      </c>
      <c r="T45" s="663" t="s">
        <v>14</v>
      </c>
      <c r="U45" s="664">
        <f t="shared" si="13"/>
        <v>100</v>
      </c>
      <c r="V45" s="663" t="s">
        <v>14</v>
      </c>
      <c r="W45" s="664">
        <f t="shared" si="14"/>
        <v>100</v>
      </c>
      <c r="X45" s="665"/>
      <c r="Y45" s="3413"/>
      <c r="Z45" s="50">
        <f t="shared" si="15"/>
        <v>0</v>
      </c>
      <c r="AA45" s="50">
        <f t="shared" si="3"/>
        <v>1</v>
      </c>
      <c r="AB45" s="50">
        <f t="shared" si="4"/>
        <v>1</v>
      </c>
      <c r="AC45" s="801">
        <f t="shared" si="5"/>
        <v>1</v>
      </c>
    </row>
    <row r="46" spans="1:29" ht="15">
      <c r="A46" s="408"/>
      <c r="B46" s="3159"/>
      <c r="C46" s="3169"/>
      <c r="D46" s="373">
        <v>100</v>
      </c>
      <c r="E46" s="3167"/>
      <c r="F46" s="399">
        <f>SUMIF(129:129,E46,130:130)-SUMIF(129:129,C46,130:130)+100</f>
        <v>100</v>
      </c>
      <c r="G46" s="3167"/>
      <c r="H46" s="373">
        <f>SUMIF(129:129,G46,130:130)-SUMIF(129:129,C46,130:130)+100</f>
        <v>100</v>
      </c>
      <c r="I46" s="3167"/>
      <c r="J46" s="373">
        <f>SUMIF(129:129,I46,130:130)-SUMIF(129:129,C46,130:130)+100</f>
        <v>100</v>
      </c>
      <c r="K46" s="538"/>
      <c r="L46" s="2489"/>
      <c r="M46" s="2484"/>
      <c r="N46" s="2484"/>
      <c r="O46" s="2484"/>
      <c r="P46" s="3411"/>
      <c r="Q46" s="1262">
        <f t="shared" si="11"/>
        <v>0</v>
      </c>
      <c r="R46" s="666" t="s">
        <v>14</v>
      </c>
      <c r="S46" s="667">
        <f t="shared" si="12"/>
        <v>100</v>
      </c>
      <c r="T46" s="666" t="s">
        <v>14</v>
      </c>
      <c r="U46" s="667">
        <f t="shared" si="13"/>
        <v>100</v>
      </c>
      <c r="V46" s="666" t="s">
        <v>14</v>
      </c>
      <c r="W46" s="667">
        <f t="shared" si="14"/>
        <v>100</v>
      </c>
      <c r="X46" s="1264"/>
      <c r="Y46" s="3413"/>
      <c r="Z46" s="1263">
        <f t="shared" si="15"/>
        <v>0</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12"/>
      <c r="Q47" s="1262">
        <f t="shared" si="11"/>
        <v>111</v>
      </c>
      <c r="R47" s="666" t="s">
        <v>14</v>
      </c>
      <c r="S47" s="667">
        <f t="shared" si="12"/>
        <v>100</v>
      </c>
      <c r="T47" s="666" t="s">
        <v>14</v>
      </c>
      <c r="U47" s="667">
        <f t="shared" si="13"/>
        <v>100</v>
      </c>
      <c r="V47" s="666" t="s">
        <v>14</v>
      </c>
      <c r="W47" s="667">
        <f t="shared" si="14"/>
        <v>100</v>
      </c>
      <c r="X47" s="1264"/>
      <c r="Y47" s="3414"/>
      <c r="Z47" s="1263">
        <f t="shared" si="15"/>
        <v>111</v>
      </c>
      <c r="AA47" s="1263">
        <f t="shared" si="3"/>
        <v>1</v>
      </c>
      <c r="AB47" s="1263">
        <f t="shared" si="4"/>
        <v>1</v>
      </c>
      <c r="AC47" s="1811">
        <f t="shared" si="5"/>
        <v>1</v>
      </c>
    </row>
    <row r="48" spans="1:29" ht="15">
      <c r="A48" s="415" t="s">
        <v>1705</v>
      </c>
      <c r="B48" s="416"/>
      <c r="C48" s="1080" t="s">
        <v>0</v>
      </c>
      <c r="D48" s="417"/>
      <c r="E48" s="418">
        <v>20168</v>
      </c>
      <c r="F48" s="419"/>
      <c r="G48" s="420">
        <v>20289</v>
      </c>
      <c r="H48" s="421"/>
      <c r="I48" s="418">
        <v>22992</v>
      </c>
      <c r="J48" s="421"/>
      <c r="K48" s="673"/>
      <c r="L48" s="2491"/>
      <c r="M48" s="2484"/>
      <c r="N48" s="2484"/>
      <c r="O48" s="2484"/>
      <c r="P48" s="3392" t="str">
        <f>A48</f>
        <v>成交单价（元/平方米）</v>
      </c>
      <c r="Q48" s="3415"/>
      <c r="R48" s="3377">
        <f>E48</f>
        <v>20168</v>
      </c>
      <c r="S48" s="3377"/>
      <c r="T48" s="3377">
        <f>G48</f>
        <v>20289</v>
      </c>
      <c r="U48" s="3377"/>
      <c r="V48" s="3377">
        <f>I48</f>
        <v>22992</v>
      </c>
      <c r="W48" s="3377"/>
      <c r="X48" s="384"/>
      <c r="Y48" s="672"/>
      <c r="Z48" s="384"/>
      <c r="AA48" s="384"/>
      <c r="AB48" s="384"/>
      <c r="AC48" s="554"/>
    </row>
    <row r="49" spans="1:29" ht="15.75" thickBot="1">
      <c r="A49" s="422" t="s">
        <v>1790</v>
      </c>
      <c r="B49" s="423"/>
      <c r="C49" s="1081">
        <f>R50</f>
        <v>20258</v>
      </c>
      <c r="D49" s="2140" t="s">
        <v>2135</v>
      </c>
      <c r="E49" s="1082">
        <f>R49</f>
        <v>19387</v>
      </c>
      <c r="F49" s="2141"/>
      <c r="G49" s="1081">
        <f>T49</f>
        <v>19503</v>
      </c>
      <c r="H49" s="2141"/>
      <c r="I49" s="1082">
        <f>V49</f>
        <v>21885</v>
      </c>
      <c r="J49" s="2141"/>
      <c r="K49" s="2143">
        <f>F49+H49+J49</f>
        <v>0</v>
      </c>
      <c r="L49" s="2491"/>
      <c r="M49" s="2484"/>
      <c r="N49" s="2484"/>
      <c r="O49" s="2484"/>
      <c r="P49" s="3392" t="str">
        <f>A49</f>
        <v>比较价值（元/平方米）</v>
      </c>
      <c r="Q49" s="3415"/>
      <c r="R49" s="3377">
        <f>IF(F1="售价",ROUND(PRODUCT(R48,AA7:AA47),0),ROUND(PRODUCT(R48,AA7:AA47),1))</f>
        <v>19387</v>
      </c>
      <c r="S49" s="3377"/>
      <c r="T49" s="3377">
        <f>IF(F1="售价",ROUND(PRODUCT(T48,AB7:AB47),0),ROUND(PRODUCT(T48,AB7:AB47),1))</f>
        <v>19503</v>
      </c>
      <c r="U49" s="3377"/>
      <c r="V49" s="3377">
        <f>IF(F1="售价",ROUND(PRODUCT(V48,AC7:AC47),0),ROUND(PRODUCT(V48,AC7:AC47),1))</f>
        <v>21885</v>
      </c>
      <c r="W49" s="3377"/>
      <c r="X49" s="384"/>
      <c r="Y49" s="384"/>
      <c r="Z49" s="384"/>
      <c r="AA49" s="384"/>
      <c r="AB49" s="384"/>
      <c r="AC49" s="554"/>
    </row>
    <row r="50" spans="1:29" ht="15.75" thickBot="1">
      <c r="A50" s="426" t="s">
        <v>1791</v>
      </c>
      <c r="B50" s="427"/>
      <c r="C50" s="350">
        <f>R50</f>
        <v>20258</v>
      </c>
      <c r="D50" s="350"/>
      <c r="E50" s="350"/>
      <c r="F50" s="350"/>
      <c r="G50" s="350"/>
      <c r="H50" s="350"/>
      <c r="I50" s="350"/>
      <c r="J50" s="428"/>
      <c r="K50" s="674"/>
      <c r="L50" s="2491"/>
      <c r="M50" s="2484"/>
      <c r="N50" s="2484"/>
      <c r="O50" s="2484"/>
      <c r="P50" s="3445" t="str">
        <f>A50</f>
        <v>估价对象XX用房的比较价值（楼面单价，元/平方米）</v>
      </c>
      <c r="Q50" s="3446"/>
      <c r="R50" s="3447">
        <f>IF(F1="售价",ROUND(IF(D49="简单平均",AVERAGE(R49:V49),R49*F49+T49*H49+V49*J49),0),ROUND(IF(D49="简单平均",AVERAGE(R49:V49),R49*F49+T49*H49+V49*J49),1))</f>
        <v>20258</v>
      </c>
      <c r="S50" s="3447"/>
      <c r="T50" s="3447"/>
      <c r="U50" s="3447"/>
      <c r="V50" s="3447"/>
      <c r="W50" s="3447"/>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1792</v>
      </c>
      <c r="D53" s="432"/>
      <c r="E53" s="433">
        <f>IF(E48&lt;E49,E49/E48-1,E48/E49-1)</f>
        <v>4.0284726878836441E-2</v>
      </c>
      <c r="F53" s="434" t="str">
        <f>IF(OR(E53&gt;=0.3,E53&lt;=-0.3),"超过30%","")</f>
        <v/>
      </c>
      <c r="G53" s="433">
        <f>IF(G48&lt;G49,G49/G48-1,G48/G49-1)</f>
        <v>4.0301492078141932E-2</v>
      </c>
      <c r="H53" s="434" t="str">
        <f>IF(OR(G53&gt;=0.3,G53&lt;=-0.3),"超过30%","")</f>
        <v/>
      </c>
      <c r="I53" s="433">
        <f>IF(I48&lt;I49,I49/I48-1,I48/I49-1)</f>
        <v>5.0582590815627215E-2</v>
      </c>
      <c r="J53" s="434"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1793</v>
      </c>
      <c r="D54" s="435"/>
      <c r="E54" s="433">
        <f>IF(E49&lt;G49,G49/E49-1,E49/G49-1)</f>
        <v>5.9833909320679002E-3</v>
      </c>
      <c r="F54" s="434" t="str">
        <f>IF(OR(E54&gt;=0.2,E54&lt;=-0.2),"超过20%","")</f>
        <v/>
      </c>
      <c r="G54" s="433">
        <f>IF(G49&lt;I49,I49/G49-1,G49/I49-1)</f>
        <v>0.12213505614520836</v>
      </c>
      <c r="H54" s="434" t="str">
        <f>IF(OR(G54&gt;=0.2,G54&lt;=-0.2),"超过20%","")</f>
        <v/>
      </c>
      <c r="I54" s="433">
        <f>IF(I49&lt;E49,E49/I49-1,I49/E49-1)</f>
        <v>0.12884922886470318</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1794</v>
      </c>
      <c r="D55" s="435"/>
      <c r="E55" s="433">
        <f>IF(E48&lt;G48,G48/E48-1,E48/G48-1)</f>
        <v>5.9996033320111053E-3</v>
      </c>
      <c r="F55" s="434" t="str">
        <f>IF(OR(E55&gt;=0.3,E55&lt;=-0.3),"超过30%","")</f>
        <v/>
      </c>
      <c r="G55" s="433">
        <f>IF(G48&lt;I48,I48/G48-1,G48/I48-1)</f>
        <v>0.13322490019222233</v>
      </c>
      <c r="H55" s="434" t="str">
        <f>IF(OR(G55&gt;=0.3,G55&lt;=-0.3),"超过30%","")</f>
        <v/>
      </c>
      <c r="I55" s="433">
        <f>IF(I48&lt;E48,E48/I48-1,I48/E48-1)</f>
        <v>0.14002380007933368</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1795</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1676</v>
      </c>
      <c r="B59" s="440"/>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4"/>
      <c r="Q59" s="2507"/>
      <c r="R59" s="2507"/>
      <c r="S59" s="2507"/>
      <c r="T59" s="2507"/>
      <c r="U59" s="2507"/>
      <c r="V59" s="2507"/>
      <c r="W59" s="2507"/>
      <c r="X59" s="2507"/>
      <c r="Y59" s="2507"/>
      <c r="Z59" s="2507"/>
      <c r="AA59" s="2507"/>
      <c r="AB59" s="2507"/>
      <c r="AC59" s="2507"/>
    </row>
    <row r="60" spans="1:29" s="101"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75" thickBot="1">
      <c r="A61" s="448" t="s">
        <v>1713</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5">
      <c r="A62" s="454" t="s">
        <v>1678</v>
      </c>
      <c r="B62" s="443"/>
      <c r="C62" s="455" t="s">
        <v>1773</v>
      </c>
      <c r="D62" s="3160" t="s">
        <v>3449</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5.75" thickBot="1">
      <c r="A63" s="454"/>
      <c r="B63" s="443"/>
      <c r="C63" s="444">
        <v>100</v>
      </c>
      <c r="D63" s="445">
        <v>103</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1716</v>
      </c>
      <c r="B64" s="459" t="s">
        <v>1682</v>
      </c>
      <c r="C64" s="460" t="str">
        <f>C9</f>
        <v>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1685</v>
      </c>
      <c r="C66" s="512" t="s">
        <v>3429</v>
      </c>
      <c r="D66" s="512" t="s">
        <v>3430</v>
      </c>
      <c r="E66" s="512" t="s">
        <v>3431</v>
      </c>
      <c r="F66" s="512" t="s">
        <v>3432</v>
      </c>
      <c r="G66" s="512" t="s">
        <v>3433</v>
      </c>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v>100</v>
      </c>
      <c r="D67" s="466">
        <v>98</v>
      </c>
      <c r="E67" s="466">
        <v>96</v>
      </c>
      <c r="F67" s="466">
        <v>94</v>
      </c>
      <c r="G67" s="466">
        <v>92</v>
      </c>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1686</v>
      </c>
      <c r="C68" s="477" t="str">
        <f>C69&amp;"（含）"&amp;"-"&amp;D69</f>
        <v>0（含）-1</v>
      </c>
      <c r="D68" s="477" t="str">
        <f t="shared" ref="D68:L68" si="17">D69&amp;"（含）"&amp;"-"&amp;E69</f>
        <v>1（含）-2</v>
      </c>
      <c r="E68" s="477" t="str">
        <f t="shared" si="17"/>
        <v>2（含）-3</v>
      </c>
      <c r="F68" s="477" t="str">
        <f t="shared" si="17"/>
        <v>3（含）-4</v>
      </c>
      <c r="G68" s="477" t="str">
        <f t="shared" si="17"/>
        <v>4（含）-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1</v>
      </c>
      <c r="E69" s="479">
        <v>2</v>
      </c>
      <c r="F69" s="479">
        <v>3</v>
      </c>
      <c r="G69" s="479">
        <v>4</v>
      </c>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1687</v>
      </c>
      <c r="B77" s="459" t="s">
        <v>1818</v>
      </c>
      <c r="C77" s="503" t="s">
        <v>1718</v>
      </c>
      <c r="D77" s="503" t="s">
        <v>1719</v>
      </c>
      <c r="E77" s="503" t="s">
        <v>1720</v>
      </c>
      <c r="F77" s="503" t="s">
        <v>1721</v>
      </c>
      <c r="G77" s="503" t="s">
        <v>1722</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1723</v>
      </c>
      <c r="C79" s="508" t="s">
        <v>1718</v>
      </c>
      <c r="D79" s="508" t="s">
        <v>1719</v>
      </c>
      <c r="E79" s="508" t="s">
        <v>1720</v>
      </c>
      <c r="F79" s="508" t="s">
        <v>1721</v>
      </c>
      <c r="G79" s="508" t="s">
        <v>1722</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1724</v>
      </c>
      <c r="C81" s="508" t="s">
        <v>1718</v>
      </c>
      <c r="D81" s="508" t="s">
        <v>1719</v>
      </c>
      <c r="E81" s="508" t="s">
        <v>1720</v>
      </c>
      <c r="F81" s="508" t="s">
        <v>1721</v>
      </c>
      <c r="G81" s="508" t="s">
        <v>1722</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1810</v>
      </c>
      <c r="C83" s="580" t="s">
        <v>1796</v>
      </c>
      <c r="D83" s="580" t="s">
        <v>1797</v>
      </c>
      <c r="E83" s="580" t="s">
        <v>1798</v>
      </c>
      <c r="F83" s="580" t="s">
        <v>1799</v>
      </c>
      <c r="G83" s="580" t="s">
        <v>1800</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98</v>
      </c>
      <c r="E84" s="474">
        <f>D84-$K21</f>
        <v>96</v>
      </c>
      <c r="F84" s="474">
        <f>E84-$K21</f>
        <v>94</v>
      </c>
      <c r="G84" s="474">
        <f>F84-$K21</f>
        <v>92</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1819</v>
      </c>
      <c r="C85" s="508" t="s">
        <v>1718</v>
      </c>
      <c r="D85" s="508" t="s">
        <v>1719</v>
      </c>
      <c r="E85" s="508" t="s">
        <v>1720</v>
      </c>
      <c r="F85" s="508" t="s">
        <v>1721</v>
      </c>
      <c r="G85" s="508" t="s">
        <v>1722</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97</v>
      </c>
      <c r="E86" s="474">
        <f>D86-$K23</f>
        <v>94</v>
      </c>
      <c r="F86" s="474">
        <f>E86-$K23</f>
        <v>91</v>
      </c>
      <c r="G86" s="474">
        <f>F86-$K23</f>
        <v>88</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7.75" thickTop="1">
      <c r="A87" s="369"/>
      <c r="B87" s="468" t="s">
        <v>1820</v>
      </c>
      <c r="C87" s="3163" t="s">
        <v>3454</v>
      </c>
      <c r="D87" s="3163" t="s">
        <v>3455</v>
      </c>
      <c r="E87" s="3163" t="s">
        <v>3456</v>
      </c>
      <c r="F87" s="3163" t="s">
        <v>3457</v>
      </c>
      <c r="G87" s="3163" t="s">
        <v>3458</v>
      </c>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5.75" thickTop="1">
      <c r="A89" s="369"/>
      <c r="B89" s="468" t="str">
        <f>B27</f>
        <v>楼层</v>
      </c>
      <c r="C89" s="3163" t="s">
        <v>3459</v>
      </c>
      <c r="D89" s="3163" t="s">
        <v>3453</v>
      </c>
      <c r="E89" s="3163" t="s">
        <v>3452</v>
      </c>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1691</v>
      </c>
      <c r="B101" s="459" t="s">
        <v>1733</v>
      </c>
      <c r="C101" s="3165" t="s">
        <v>3495</v>
      </c>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95</v>
      </c>
      <c r="E102" s="474">
        <f t="shared" si="22"/>
        <v>90</v>
      </c>
      <c r="F102" s="474">
        <f t="shared" si="22"/>
        <v>85</v>
      </c>
      <c r="G102" s="474">
        <f t="shared" si="22"/>
        <v>80</v>
      </c>
      <c r="H102" s="474">
        <f t="shared" si="22"/>
        <v>75</v>
      </c>
      <c r="I102" s="474">
        <f t="shared" si="22"/>
        <v>70</v>
      </c>
      <c r="J102" s="474">
        <f t="shared" si="22"/>
        <v>65</v>
      </c>
      <c r="K102" s="474">
        <f t="shared" si="22"/>
        <v>60</v>
      </c>
      <c r="L102" s="474">
        <f t="shared" si="22"/>
        <v>55</v>
      </c>
      <c r="M102" s="475">
        <f t="shared" si="22"/>
        <v>50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1734</v>
      </c>
      <c r="C103" s="508" t="str">
        <f>C104&amp;"(含)"&amp;"-"&amp;D104</f>
        <v>0(含)-500</v>
      </c>
      <c r="D103" s="508" t="str">
        <f t="shared" ref="D103:L103" si="23">D104&amp;"(含)"&amp;"-"&amp;E104</f>
        <v>500(含)-1000</v>
      </c>
      <c r="E103" s="508" t="str">
        <f t="shared" si="23"/>
        <v>1000(含)-1500</v>
      </c>
      <c r="F103" s="508" t="str">
        <f t="shared" si="23"/>
        <v>1500(含)-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500</v>
      </c>
      <c r="E104" s="6">
        <v>1000</v>
      </c>
      <c r="F104" s="6">
        <v>1500</v>
      </c>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v>100</v>
      </c>
      <c r="D105" s="466">
        <v>99</v>
      </c>
      <c r="E105" s="466">
        <v>98</v>
      </c>
      <c r="F105" s="466">
        <v>97</v>
      </c>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1735</v>
      </c>
      <c r="C106" s="3163" t="s">
        <v>3460</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99</v>
      </c>
      <c r="E107" s="474">
        <f t="shared" si="24"/>
        <v>98</v>
      </c>
      <c r="F107" s="474">
        <f t="shared" si="24"/>
        <v>97</v>
      </c>
      <c r="G107" s="474">
        <f t="shared" si="24"/>
        <v>96</v>
      </c>
      <c r="H107" s="474">
        <f t="shared" si="24"/>
        <v>95</v>
      </c>
      <c r="I107" s="474">
        <f t="shared" si="24"/>
        <v>94</v>
      </c>
      <c r="J107" s="474">
        <f t="shared" si="24"/>
        <v>93</v>
      </c>
      <c r="K107" s="474">
        <f t="shared" si="24"/>
        <v>92</v>
      </c>
      <c r="L107" s="474">
        <f t="shared" si="24"/>
        <v>91</v>
      </c>
      <c r="M107" s="475">
        <f t="shared" si="24"/>
        <v>90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1737</v>
      </c>
      <c r="C108" s="3163" t="s">
        <v>3462</v>
      </c>
      <c r="D108" s="3163" t="s">
        <v>3463</v>
      </c>
      <c r="E108" s="3163" t="s">
        <v>3464</v>
      </c>
      <c r="F108" s="3166" t="s">
        <v>3465</v>
      </c>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1821</v>
      </c>
      <c r="C113" s="3163" t="s">
        <v>3478</v>
      </c>
      <c r="D113" s="3163" t="s">
        <v>3479</v>
      </c>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1738</v>
      </c>
      <c r="C115" s="3163" t="s">
        <v>3476</v>
      </c>
      <c r="D115" s="3163" t="s">
        <v>3477</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99</v>
      </c>
      <c r="E116" s="474">
        <f t="shared" si="28"/>
        <v>98</v>
      </c>
      <c r="F116" s="474">
        <f t="shared" si="28"/>
        <v>97</v>
      </c>
      <c r="G116" s="474">
        <f t="shared" si="28"/>
        <v>96</v>
      </c>
      <c r="H116" s="474">
        <f t="shared" si="28"/>
        <v>95</v>
      </c>
      <c r="I116" s="474">
        <f t="shared" si="28"/>
        <v>94</v>
      </c>
      <c r="J116" s="474">
        <f t="shared" si="28"/>
        <v>93</v>
      </c>
      <c r="K116" s="474">
        <f t="shared" si="28"/>
        <v>92</v>
      </c>
      <c r="L116" s="474">
        <f t="shared" si="28"/>
        <v>91</v>
      </c>
      <c r="M116" s="475">
        <f t="shared" si="28"/>
        <v>90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1739</v>
      </c>
      <c r="C117" s="3163" t="s">
        <v>3469</v>
      </c>
      <c r="D117" s="3163" t="s">
        <v>3471</v>
      </c>
      <c r="E117" s="3163" t="s">
        <v>3472</v>
      </c>
      <c r="F117" s="3163" t="s">
        <v>3473</v>
      </c>
      <c r="G117" s="3163" t="s">
        <v>3474</v>
      </c>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1822</v>
      </c>
      <c r="C119" s="3166" t="s">
        <v>3467</v>
      </c>
      <c r="D119" s="3166" t="s">
        <v>3481</v>
      </c>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98</v>
      </c>
      <c r="E120" s="474">
        <f t="shared" ref="E120:M120" si="29">D120-$K41</f>
        <v>96</v>
      </c>
      <c r="F120" s="474">
        <f t="shared" si="29"/>
        <v>94</v>
      </c>
      <c r="G120" s="474">
        <f t="shared" si="29"/>
        <v>92</v>
      </c>
      <c r="H120" s="474">
        <f t="shared" si="29"/>
        <v>90</v>
      </c>
      <c r="I120" s="474">
        <f t="shared" si="29"/>
        <v>88</v>
      </c>
      <c r="J120" s="474">
        <f t="shared" si="29"/>
        <v>86</v>
      </c>
      <c r="K120" s="474">
        <f t="shared" si="29"/>
        <v>84</v>
      </c>
      <c r="L120" s="474">
        <f t="shared" si="29"/>
        <v>82</v>
      </c>
      <c r="M120" s="474">
        <f t="shared" si="29"/>
        <v>80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1805</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1741</v>
      </c>
      <c r="C123" s="3163" t="s">
        <v>3462</v>
      </c>
      <c r="D123" s="3163" t="s">
        <v>3463</v>
      </c>
      <c r="E123" s="3163" t="s">
        <v>3464</v>
      </c>
      <c r="F123" s="3166" t="s">
        <v>3465</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99</v>
      </c>
      <c r="E126" s="474">
        <f>D126-$K44</f>
        <v>98</v>
      </c>
      <c r="F126" s="474">
        <f>E126-$K44</f>
        <v>97</v>
      </c>
      <c r="G126" s="474">
        <f>F126-$K44</f>
        <v>96</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0</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0</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F7:F47 H7:H47 J7:J47">
    <cfRule type="cellIs" dxfId="112" priority="1" operator="notEqual">
      <formula>100</formula>
    </cfRule>
  </conditionalFormatting>
  <conditionalFormatting sqref="F49">
    <cfRule type="expression" dxfId="111" priority="4">
      <formula>$D$49="简单平均"</formula>
    </cfRule>
  </conditionalFormatting>
  <conditionalFormatting sqref="F53:F55 H53:H55">
    <cfRule type="containsText" dxfId="110" priority="17" stopIfTrue="1" operator="containsText" text="超过">
      <formula>NOT(ISERROR(SEARCH("超过",F53)))</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G55">
    <cfRule type="expression" dxfId="107" priority="13" stopIfTrue="1">
      <formula>$H$55="超过30%"</formula>
    </cfRule>
  </conditionalFormatting>
  <conditionalFormatting sqref="H49">
    <cfRule type="expression" dxfId="106" priority="3">
      <formula>$D$49="简单平均"</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J49">
    <cfRule type="expression" dxfId="102" priority="2">
      <formula>$D$49="简单平均"</formula>
    </cfRule>
  </conditionalFormatting>
  <conditionalFormatting sqref="J53:J55">
    <cfRule type="containsText" dxfId="10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3538</v>
      </c>
      <c r="D1" s="1270" t="s">
        <v>43</v>
      </c>
      <c r="E1" s="1271" t="s">
        <v>678</v>
      </c>
      <c r="F1" s="998">
        <f ca="1">J53</f>
        <v>28.17</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760</v>
      </c>
      <c r="C2" s="1288" t="s">
        <v>805</v>
      </c>
      <c r="D2" s="1288"/>
      <c r="E2" s="1294"/>
      <c r="F2" s="1295"/>
      <c r="G2" s="2475"/>
      <c r="H2" s="2465"/>
      <c r="I2" s="2465"/>
      <c r="J2" s="2465"/>
      <c r="K2" s="2466"/>
      <c r="L2" s="2465"/>
      <c r="M2" s="2465"/>
    </row>
    <row r="3" spans="1:37" ht="18" customHeight="1" thickBot="1">
      <c r="A3" s="1296" t="s">
        <v>806</v>
      </c>
      <c r="B3" s="1297">
        <f ca="1">IF(ISERROR(B2*10000/F43),0,ROUND(B2*10000/F43,0))</f>
        <v>4775</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52</v>
      </c>
      <c r="D5" s="1272" t="s">
        <v>693</v>
      </c>
      <c r="E5" s="1007"/>
      <c r="F5" s="1008"/>
      <c r="G5" s="1291"/>
      <c r="H5" s="290">
        <v>1</v>
      </c>
      <c r="I5" s="291" t="s">
        <v>692</v>
      </c>
      <c r="J5" s="1006">
        <f ca="1">J6+J10+J12</f>
        <v>0</v>
      </c>
      <c r="K5" s="1272" t="s">
        <v>693</v>
      </c>
      <c r="L5" s="1007"/>
      <c r="M5" s="1008"/>
    </row>
    <row r="6" spans="1:37" ht="18" customHeight="1">
      <c r="A6" s="1005" t="s">
        <v>398</v>
      </c>
      <c r="B6" s="3442" t="s">
        <v>694</v>
      </c>
      <c r="C6" s="1010">
        <f ca="1">ROUND(F6*F8*F7*(1-F9)/10000,0)</f>
        <v>52</v>
      </c>
      <c r="D6" s="146" t="s">
        <v>2106</v>
      </c>
      <c r="E6" s="293" t="s">
        <v>696</v>
      </c>
      <c r="F6" s="294">
        <f ca="1">INDIRECT("'数据-取费表'!u"&amp;$G$1)</f>
        <v>1</v>
      </c>
      <c r="G6" s="1291"/>
      <c r="H6" s="1005" t="s">
        <v>398</v>
      </c>
      <c r="I6" s="3442" t="s">
        <v>694</v>
      </c>
      <c r="J6" s="292">
        <f ca="1">ROUND(M6*M8*M7*(1-M9)/10000,0)</f>
        <v>0</v>
      </c>
      <c r="K6" s="146" t="s">
        <v>2105</v>
      </c>
      <c r="L6" s="293" t="s">
        <v>696</v>
      </c>
      <c r="M6" s="294">
        <f ca="1">INDIRECT("'数据-取费表'!z"&amp;$G$1)</f>
        <v>0</v>
      </c>
    </row>
    <row r="7" spans="1:37" ht="18" customHeight="1">
      <c r="A7" s="1009"/>
      <c r="B7" s="3443"/>
      <c r="C7" s="1011"/>
      <c r="D7" s="298"/>
      <c r="E7" s="1012" t="s">
        <v>697</v>
      </c>
      <c r="F7" s="294">
        <f ca="1">IF(INDIRECT("'数据-取费表'!ah"&amp;$G$1)="",INDIRECT("'数据-取费表'!k"&amp;$G$1),INDIRECT("'数据-取费表'!ah"&amp;$G$1))</f>
        <v>1591.64</v>
      </c>
      <c r="G7" s="1291"/>
      <c r="H7" s="295"/>
      <c r="I7" s="3443"/>
      <c r="J7" s="297"/>
      <c r="K7" s="298"/>
      <c r="L7" s="293" t="s">
        <v>697</v>
      </c>
      <c r="M7" s="294">
        <f ca="1">F7</f>
        <v>1591.64</v>
      </c>
    </row>
    <row r="8" spans="1:37" ht="18" customHeight="1">
      <c r="A8" s="295"/>
      <c r="B8" s="3443"/>
      <c r="C8" s="297"/>
      <c r="D8" s="298"/>
      <c r="E8" s="293" t="s">
        <v>698</v>
      </c>
      <c r="F8" s="294">
        <f ca="1">INDIRECT("'数据-取费表'!ai"&amp;$G$1)</f>
        <v>365</v>
      </c>
      <c r="G8" s="1291"/>
      <c r="H8" s="295"/>
      <c r="I8" s="3443"/>
      <c r="J8" s="297"/>
      <c r="K8" s="298"/>
      <c r="L8" s="293" t="s">
        <v>698</v>
      </c>
      <c r="M8" s="294">
        <f ca="1">INDIRECT("'数据-取费表'!ai"&amp;$G$1)</f>
        <v>365</v>
      </c>
    </row>
    <row r="9" spans="1:37" ht="18" customHeight="1">
      <c r="A9" s="295"/>
      <c r="B9" s="3444"/>
      <c r="C9" s="297"/>
      <c r="D9" s="298"/>
      <c r="E9" s="293" t="s">
        <v>699</v>
      </c>
      <c r="F9" s="303">
        <f ca="1">INDIRECT("'数据-取费表'!w"&amp;$G$1)</f>
        <v>0.1</v>
      </c>
      <c r="G9" s="1291"/>
      <c r="H9" s="295"/>
      <c r="I9" s="3444"/>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2113</v>
      </c>
      <c r="E10" s="304" t="s">
        <v>701</v>
      </c>
      <c r="F10" s="1052" t="s">
        <v>3414</v>
      </c>
      <c r="G10" s="1291"/>
      <c r="H10" s="1005" t="s">
        <v>402</v>
      </c>
      <c r="I10" s="1273" t="s">
        <v>700</v>
      </c>
      <c r="J10" s="292">
        <f ca="1">ROUND(IF(M10="押一",J6/12*M11,IF(M10="押二",J6/12*2*M11,IF(M10="押三",J6/12*3*M11,J11*M11))),0)</f>
        <v>0</v>
      </c>
      <c r="K10" s="149" t="s">
        <v>2113</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514</v>
      </c>
      <c r="D13" s="1017" t="s">
        <v>705</v>
      </c>
      <c r="E13" s="1017" t="s">
        <v>706</v>
      </c>
      <c r="F13" s="1018">
        <f ca="1">INDIRECT("'数据-取费表'!y"&amp;$G$1)</f>
        <v>0.76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525</v>
      </c>
      <c r="D14" s="1256" t="s">
        <v>708</v>
      </c>
      <c r="E14" s="1254"/>
      <c r="F14" s="310"/>
      <c r="G14" s="1291"/>
      <c r="H14" s="927" t="s">
        <v>398</v>
      </c>
      <c r="I14" s="293" t="s">
        <v>709</v>
      </c>
      <c r="J14" s="21">
        <f ca="1">C29</f>
        <v>676</v>
      </c>
      <c r="K14" s="12"/>
      <c r="L14" s="758"/>
      <c r="M14" s="759"/>
    </row>
    <row r="15" spans="1:37" s="1303" customFormat="1" ht="18" customHeight="1" thickBot="1">
      <c r="A15" s="927" t="s">
        <v>399</v>
      </c>
      <c r="B15" s="293" t="s">
        <v>710</v>
      </c>
      <c r="C15" s="21">
        <f ca="1">ROUND(C14*F15,0)</f>
        <v>16</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4</v>
      </c>
      <c r="K16" s="1023" t="s">
        <v>715</v>
      </c>
      <c r="L16" s="1024"/>
      <c r="M16" s="1008"/>
    </row>
    <row r="17" spans="1:37" s="1303" customFormat="1" ht="18" customHeight="1">
      <c r="A17" s="927" t="s">
        <v>681</v>
      </c>
      <c r="B17" s="293" t="s">
        <v>716</v>
      </c>
      <c r="C17" s="21">
        <f ca="1">ROUND(F17*(F43+INDIRECT("'数据-取费表'!S"&amp;$G$1))/10000,0)</f>
        <v>32</v>
      </c>
      <c r="D17" s="293" t="s">
        <v>717</v>
      </c>
      <c r="E17" s="293" t="s">
        <v>718</v>
      </c>
      <c r="F17" s="23">
        <f>'数据-取费表'!B35</f>
        <v>200</v>
      </c>
      <c r="G17" s="1302"/>
      <c r="H17" s="927" t="s">
        <v>398</v>
      </c>
      <c r="I17" s="293" t="s">
        <v>719</v>
      </c>
      <c r="J17" s="2139">
        <f ca="1">ROUND(IF(AND(项目基本情况!B11="自然人",项目基本情况!B10="北京市"),J6*M17/(1+'数据-取费表'!C42),J18+J19+J20),2)</f>
        <v>0.49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8</v>
      </c>
      <c r="D18" s="293" t="s">
        <v>711</v>
      </c>
      <c r="E18" s="293" t="s">
        <v>712</v>
      </c>
      <c r="F18" s="313">
        <f>'数据-取费表'!B36</f>
        <v>1.4999999999999999E-2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581</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12</v>
      </c>
      <c r="D20" s="314" t="s">
        <v>729</v>
      </c>
      <c r="E20" s="293" t="s">
        <v>712</v>
      </c>
      <c r="F20" s="313">
        <f>'数据-取费表'!B37</f>
        <v>0.02</v>
      </c>
      <c r="G20" s="1302"/>
      <c r="H20" s="927" t="s">
        <v>680</v>
      </c>
      <c r="I20" s="146" t="s">
        <v>730</v>
      </c>
      <c r="J20" s="22">
        <f ca="1">ROUND(M20*M21/10000,2)</f>
        <v>0.49</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3234.48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3.38</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-4</v>
      </c>
      <c r="K25" s="1031" t="s">
        <v>753</v>
      </c>
      <c r="L25" s="1032"/>
      <c r="M25" s="1033"/>
    </row>
    <row r="26" spans="1:37">
      <c r="A26" s="927" t="s">
        <v>397</v>
      </c>
      <c r="B26" s="293" t="s">
        <v>754</v>
      </c>
      <c r="C26" s="21">
        <f ca="1">ROUND((C19+C20)*F26,0)</f>
        <v>30</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676</v>
      </c>
      <c r="D29" s="1028"/>
      <c r="E29" s="1026"/>
      <c r="F29" s="1029"/>
      <c r="G29" s="1302"/>
      <c r="H29" s="324" t="s">
        <v>396</v>
      </c>
      <c r="I29" s="325" t="s">
        <v>768</v>
      </c>
      <c r="J29" s="326">
        <f ca="1">ROUND(J26/(1+F40)^F41,0)</f>
        <v>0</v>
      </c>
      <c r="K29" s="327" t="s">
        <v>769</v>
      </c>
      <c r="L29" s="328"/>
      <c r="M29" s="329">
        <f ca="1">INDIRECT("'数据-取费表'!k"&amp;$G$1)</f>
        <v>1591.64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9.15</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f ca="1">IF(项目基本情况!B11="自然人","——",ROUND(C6*F32/(1+'数据-取费表'!C42),2))</f>
        <v>2.72</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5.94</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0.49</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3234.48</v>
      </c>
      <c r="G35" s="1291"/>
      <c r="H35" s="2467"/>
      <c r="I35" s="1304"/>
      <c r="J35" s="1305"/>
      <c r="K35" s="2471"/>
      <c r="L35" s="2470"/>
      <c r="M35" s="2470"/>
    </row>
    <row r="36" spans="1:18" ht="18" customHeight="1">
      <c r="A36" s="1038" t="s">
        <v>402</v>
      </c>
      <c r="B36" s="293" t="s">
        <v>738</v>
      </c>
      <c r="C36" s="21">
        <f ca="1">ROUND(C29*F36,2)</f>
        <v>3.38</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0.51</v>
      </c>
      <c r="D37" s="1255" t="s">
        <v>743</v>
      </c>
      <c r="E37" s="293" t="s">
        <v>744</v>
      </c>
      <c r="F37" s="320">
        <f ca="1">INDIRECT("'数据-取费表'!Al"&amp;$G$1)</f>
        <v>1E-3</v>
      </c>
      <c r="G37" s="1291"/>
      <c r="H37" s="2470"/>
      <c r="I37" s="1304">
        <f ca="1">C39/C5</f>
        <v>0.75</v>
      </c>
      <c r="J37" s="1305"/>
      <c r="K37" s="2328"/>
      <c r="L37" s="2470"/>
      <c r="M37" s="2470"/>
    </row>
    <row r="38" spans="1:18" ht="18" customHeight="1" thickBot="1">
      <c r="A38" s="1025" t="s">
        <v>684</v>
      </c>
      <c r="B38" s="1026" t="s">
        <v>728</v>
      </c>
      <c r="C38" s="1027">
        <f ca="1">ROUND(C5*F38,2)</f>
        <v>0.26</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39</v>
      </c>
      <c r="D39" s="1031" t="s">
        <v>773</v>
      </c>
      <c r="E39" s="1032"/>
      <c r="F39" s="1033"/>
      <c r="G39" s="1291"/>
      <c r="H39" s="2470"/>
      <c r="I39" s="1304"/>
      <c r="J39" s="1305"/>
      <c r="K39" s="2468"/>
      <c r="L39" s="2470"/>
      <c r="M39" s="2470"/>
    </row>
    <row r="40" spans="1:18" ht="18" customHeight="1">
      <c r="A40" s="290" t="s">
        <v>395</v>
      </c>
      <c r="B40" s="291" t="s">
        <v>774</v>
      </c>
      <c r="C40" s="292">
        <f ca="1">ROUND(C39*(1-((1+F42)/(1+F40))^F41)/(F40-F42),0)</f>
        <v>725</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28.17</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4555</v>
      </c>
      <c r="D43" s="327" t="s">
        <v>777</v>
      </c>
      <c r="E43" s="328" t="s">
        <v>778</v>
      </c>
      <c r="F43" s="329">
        <f ca="1">INDIRECT("'数据-取费表'!k"&amp;$G$1)</f>
        <v>1591.64</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-785</v>
      </c>
      <c r="D46" s="1312" t="str">
        <f>C2</f>
        <v>万元</v>
      </c>
      <c r="E46" s="1306"/>
      <c r="F46" s="1306"/>
      <c r="I46" s="1313" t="s">
        <v>810</v>
      </c>
      <c r="J46" s="1314"/>
      <c r="K46" s="1315"/>
      <c r="L46" s="1316">
        <f ca="1">IF(M47="住宅",0,IF(L48&gt;J51,L60,J60))</f>
        <v>35</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3404</v>
      </c>
      <c r="K47" s="1322" t="s">
        <v>816</v>
      </c>
      <c r="L47" s="1323">
        <f ca="1">INDIRECT("'数据-取费表'!d"&amp;$G$1)</f>
        <v>50</v>
      </c>
      <c r="M47" s="1287" t="str">
        <f>IF(ISNUMBER(FIND("住宅",C1)),"住宅","非住宅")</f>
        <v>非住宅</v>
      </c>
      <c r="O47" s="1324" t="s">
        <v>403</v>
      </c>
      <c r="P47" s="1325" t="s">
        <v>817</v>
      </c>
      <c r="Q47" s="1326">
        <f ca="1">C40+J29</f>
        <v>725</v>
      </c>
      <c r="R47" s="1326" t="s">
        <v>818</v>
      </c>
    </row>
    <row r="48" spans="1:18" s="1291" customFormat="1" ht="28.5" thickBot="1">
      <c r="A48" s="1046" t="s">
        <v>438</v>
      </c>
      <c r="B48" s="291" t="s">
        <v>692</v>
      </c>
      <c r="C48" s="1267">
        <f ca="1">C49+C53+C55</f>
        <v>0</v>
      </c>
      <c r="D48" s="1048"/>
      <c r="E48" s="1049"/>
      <c r="F48" s="907"/>
      <c r="G48" s="680"/>
      <c r="H48" s="681"/>
      <c r="I48" s="1327" t="s">
        <v>819</v>
      </c>
      <c r="J48" s="1328" t="s">
        <v>3405</v>
      </c>
      <c r="K48" s="1329" t="s">
        <v>820</v>
      </c>
      <c r="L48" s="1330">
        <f ca="1">INDIRECT("'数据-取费表'!f"&amp;$G$1)</f>
        <v>28.17</v>
      </c>
      <c r="O48" s="1324" t="s">
        <v>404</v>
      </c>
      <c r="P48" s="1325" t="s">
        <v>821</v>
      </c>
      <c r="Q48" s="1326">
        <f ca="1">J60</f>
        <v>35</v>
      </c>
      <c r="R48" s="1326" t="s">
        <v>822</v>
      </c>
    </row>
    <row r="49" spans="1:18" s="1291" customFormat="1" ht="13.5" thickBot="1">
      <c r="A49" s="920" t="s">
        <v>439</v>
      </c>
      <c r="B49" s="1278" t="s">
        <v>779</v>
      </c>
      <c r="C49" s="1050">
        <f ca="1">ROUND(F49*F51*F50*(1-F52)/10000,0)</f>
        <v>0</v>
      </c>
      <c r="D49" s="991" t="s">
        <v>2105</v>
      </c>
      <c r="E49" s="1279" t="s">
        <v>780</v>
      </c>
      <c r="F49" s="996"/>
      <c r="H49" s="681"/>
      <c r="I49" s="1327" t="s">
        <v>823</v>
      </c>
      <c r="J49" s="1331">
        <f>'数据-取费表'!N18</f>
        <v>2007</v>
      </c>
      <c r="K49" s="1329" t="s">
        <v>824</v>
      </c>
      <c r="L49" s="1332"/>
      <c r="O49" s="1333" t="s">
        <v>405</v>
      </c>
      <c r="P49" s="1325" t="s">
        <v>825</v>
      </c>
      <c r="Q49" s="1326">
        <f ca="1">C29</f>
        <v>676</v>
      </c>
      <c r="R49" s="1326" t="s">
        <v>818</v>
      </c>
    </row>
    <row r="50" spans="1:18" s="1291" customFormat="1" ht="13.5" thickBot="1">
      <c r="A50" s="921"/>
      <c r="B50" s="924"/>
      <c r="C50" s="1054"/>
      <c r="D50" s="898"/>
      <c r="E50" s="992" t="s">
        <v>697</v>
      </c>
      <c r="F50" s="993">
        <f ca="1">F7</f>
        <v>1591.64</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33</v>
      </c>
      <c r="K51" s="1338" t="s">
        <v>830</v>
      </c>
      <c r="L51" s="1339">
        <f ca="1">ROUND(-PV(INDIRECT("'数据-取费表'!h"&amp;$G$1),J51,(C39-C13*C76),0),0)</f>
        <v>51</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f ca="1">J53</f>
        <v>28.17</v>
      </c>
      <c r="R52" s="1326" t="s">
        <v>835</v>
      </c>
    </row>
    <row r="53" spans="1:18" s="1291" customFormat="1" ht="24.75" thickBot="1">
      <c r="A53" s="1078" t="s">
        <v>440</v>
      </c>
      <c r="B53" s="1280" t="s">
        <v>700</v>
      </c>
      <c r="C53" s="307">
        <f ca="1">ROUND(IF(F53="押一",C49/12*F11,IF(F53="押二",C49/12*2*F11,IF(F53="押三",C49/12*3*F11,C54*F11))),0)</f>
        <v>0</v>
      </c>
      <c r="D53" s="149" t="s">
        <v>2113</v>
      </c>
      <c r="E53" s="304" t="s">
        <v>701</v>
      </c>
      <c r="F53" s="1052"/>
      <c r="I53" s="1343" t="s">
        <v>836</v>
      </c>
      <c r="J53" s="2005">
        <f ca="1">IF(M47="住宅",IF(D1="——",MAX(J51,L48),MAX(J51,L48-'数据-取费表'!B24)),IF(D1="——",MIN(J51,L48),MIN(J51,L48-'数据-取费表'!B24)))</f>
        <v>28.17</v>
      </c>
      <c r="K53" s="3440" t="s">
        <v>837</v>
      </c>
      <c r="L53" s="3441"/>
      <c r="O53" s="1324" t="s">
        <v>409</v>
      </c>
      <c r="P53" s="1325" t="s">
        <v>838</v>
      </c>
      <c r="Q53" s="1326">
        <f ca="1">Q47+Q48</f>
        <v>760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0.115</v>
      </c>
      <c r="K55" s="1349" t="s">
        <v>841</v>
      </c>
      <c r="L55" s="1350"/>
      <c r="O55" s="1317" t="s">
        <v>811</v>
      </c>
      <c r="P55" s="1318" t="s">
        <v>812</v>
      </c>
      <c r="Q55" s="1319" t="s">
        <v>813</v>
      </c>
      <c r="R55" s="1319" t="s">
        <v>814</v>
      </c>
    </row>
    <row r="56" spans="1:18" s="1291" customFormat="1" ht="25.5" thickTop="1" thickBot="1">
      <c r="A56" s="902">
        <v>2</v>
      </c>
      <c r="B56" s="903" t="s">
        <v>704</v>
      </c>
      <c r="C56" s="223">
        <f ca="1">C13</f>
        <v>514</v>
      </c>
      <c r="D56" s="1351"/>
      <c r="E56" s="1352"/>
      <c r="F56" s="1344"/>
      <c r="I56" s="1353" t="s">
        <v>842</v>
      </c>
      <c r="J56" s="1354" t="s">
        <v>3381</v>
      </c>
      <c r="K56" s="1327" t="s">
        <v>843</v>
      </c>
      <c r="L56" s="1330" t="str">
        <f ca="1">IF(L48&lt;J51,"——",L48-J53)</f>
        <v>——</v>
      </c>
      <c r="O56" s="1324" t="s">
        <v>403</v>
      </c>
      <c r="P56" s="1325" t="s">
        <v>817</v>
      </c>
      <c r="Q56" s="1326">
        <f ca="1">C40+J29</f>
        <v>725</v>
      </c>
      <c r="R56" s="1326" t="s">
        <v>818</v>
      </c>
    </row>
    <row r="57" spans="1:18" s="1291" customFormat="1" ht="24.75" thickBot="1">
      <c r="A57" s="1355"/>
      <c r="B57" s="895" t="s">
        <v>767</v>
      </c>
      <c r="C57" s="229">
        <f ca="1">C29</f>
        <v>676</v>
      </c>
      <c r="D57" s="1356"/>
      <c r="E57" s="1357"/>
      <c r="F57" s="1358"/>
      <c r="I57" s="1359" t="s">
        <v>844</v>
      </c>
      <c r="J57" s="1360">
        <f ca="1">IF(OR(M47="住宅",J51&lt;L48,J56="是"),"——",J51-L48)</f>
        <v>4.8299999999999983</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270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35</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0.49</v>
      </c>
      <c r="D62" s="910" t="s">
        <v>786</v>
      </c>
      <c r="E62" s="895" t="s">
        <v>787</v>
      </c>
      <c r="F62" s="316">
        <f t="shared" si="0"/>
        <v>1.5</v>
      </c>
      <c r="I62" s="1366" t="s">
        <v>858</v>
      </c>
      <c r="J62" s="609" t="s">
        <v>859</v>
      </c>
      <c r="K62" s="609" t="s">
        <v>860</v>
      </c>
      <c r="L62" s="609" t="s">
        <v>861</v>
      </c>
      <c r="M62" s="1367" t="s">
        <v>862</v>
      </c>
      <c r="O62" s="1324" t="s">
        <v>409</v>
      </c>
      <c r="P62" s="1325" t="s">
        <v>863</v>
      </c>
      <c r="Q62" s="1326">
        <f ca="1">Q56+Q57</f>
        <v>725</v>
      </c>
      <c r="R62" s="1326" t="s">
        <v>410</v>
      </c>
    </row>
    <row r="63" spans="1:18" s="1291" customFormat="1" ht="13.5" thickBot="1">
      <c r="A63" s="317"/>
      <c r="B63" s="901"/>
      <c r="C63" s="26"/>
      <c r="D63" s="911"/>
      <c r="E63" s="895" t="s">
        <v>736</v>
      </c>
      <c r="F63" s="294">
        <f t="shared" ca="1" si="0"/>
        <v>3234.48</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3.38</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0.51</v>
      </c>
      <c r="D65" s="909" t="s">
        <v>743</v>
      </c>
      <c r="E65" s="895" t="s">
        <v>744</v>
      </c>
      <c r="F65" s="320">
        <f t="shared" ca="1" si="0"/>
        <v>1E-3</v>
      </c>
      <c r="I65" s="1366" t="s">
        <v>867</v>
      </c>
      <c r="J65" s="609">
        <v>40</v>
      </c>
      <c r="K65" s="609">
        <v>30</v>
      </c>
      <c r="L65" s="609">
        <v>50</v>
      </c>
      <c r="M65" s="1368">
        <v>0.02</v>
      </c>
      <c r="O65" s="1324" t="s">
        <v>403</v>
      </c>
      <c r="P65" s="1325" t="s">
        <v>868</v>
      </c>
      <c r="Q65" s="1326">
        <f ca="1">C40+J29</f>
        <v>725</v>
      </c>
      <c r="R65" s="1326" t="s">
        <v>818</v>
      </c>
    </row>
    <row r="66" spans="1:18" s="1291" customFormat="1" ht="16.5"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-4</v>
      </c>
      <c r="D67" s="908" t="s">
        <v>753</v>
      </c>
      <c r="E67" s="913"/>
      <c r="F67" s="914"/>
      <c r="O67" s="1333" t="s">
        <v>405</v>
      </c>
      <c r="P67" s="1325" t="s">
        <v>850</v>
      </c>
      <c r="Q67" s="1369">
        <f ca="1">L51</f>
        <v>51</v>
      </c>
      <c r="R67" s="1326" t="s">
        <v>870</v>
      </c>
    </row>
    <row r="68" spans="1:18" s="1291" customFormat="1" ht="16.5" thickBot="1">
      <c r="A68" s="892" t="s">
        <v>395</v>
      </c>
      <c r="B68" s="893" t="s">
        <v>774</v>
      </c>
      <c r="C68" s="292">
        <f ca="1">ROUND(C67*(1-((1+F70)/(1+F68))^F69)/(F68-F70),0)</f>
        <v>-60</v>
      </c>
      <c r="D68" s="910" t="s">
        <v>758</v>
      </c>
      <c r="E68" s="895" t="s">
        <v>759</v>
      </c>
      <c r="F68" s="303">
        <f ca="1">F40</f>
        <v>0.05</v>
      </c>
      <c r="O68" s="1333" t="s">
        <v>406</v>
      </c>
      <c r="P68" s="1370" t="s">
        <v>871</v>
      </c>
      <c r="Q68" s="1326">
        <f ca="1">ROUND(Q69-Q70*Q71,0)</f>
        <v>3</v>
      </c>
      <c r="R68" s="1326" t="s">
        <v>414</v>
      </c>
    </row>
    <row r="69" spans="1:18" s="1291" customFormat="1" ht="13.5" thickBot="1">
      <c r="A69" s="896"/>
      <c r="B69" s="897"/>
      <c r="C69" s="297"/>
      <c r="D69" s="915" t="s">
        <v>762</v>
      </c>
      <c r="E69" s="895" t="s">
        <v>763</v>
      </c>
      <c r="F69" s="323">
        <f ca="1">F41</f>
        <v>28.17</v>
      </c>
      <c r="O69" s="1333" t="s">
        <v>411</v>
      </c>
      <c r="P69" s="1370" t="s">
        <v>872</v>
      </c>
      <c r="Q69" s="1326">
        <f ca="1">C39</f>
        <v>39</v>
      </c>
      <c r="R69" s="1326" t="s">
        <v>818</v>
      </c>
    </row>
    <row r="70" spans="1:18" s="1291" customFormat="1" ht="13.5" thickBot="1">
      <c r="A70" s="899"/>
      <c r="B70" s="900"/>
      <c r="C70" s="301"/>
      <c r="D70" s="911"/>
      <c r="E70" s="895" t="s">
        <v>766</v>
      </c>
      <c r="F70" s="990"/>
      <c r="O70" s="1333" t="s">
        <v>412</v>
      </c>
      <c r="P70" s="1370" t="s">
        <v>873</v>
      </c>
      <c r="Q70" s="1326">
        <f ca="1">C13</f>
        <v>514</v>
      </c>
      <c r="R70" s="1326" t="s">
        <v>818</v>
      </c>
    </row>
    <row r="71" spans="1:18" s="1291" customFormat="1" ht="13.5" thickBot="1">
      <c r="A71" s="916" t="s">
        <v>396</v>
      </c>
      <c r="B71" s="917" t="s">
        <v>776</v>
      </c>
      <c r="C71" s="326">
        <f ca="1">ROUND(C68*10000/F71,0)</f>
        <v>-377</v>
      </c>
      <c r="D71" s="918" t="s">
        <v>777</v>
      </c>
      <c r="E71" s="919" t="s">
        <v>778</v>
      </c>
      <c r="F71" s="329">
        <f ca="1">F43</f>
        <v>1591.64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36</v>
      </c>
      <c r="D75" s="1291"/>
      <c r="E75" s="1291"/>
      <c r="F75" s="1291"/>
      <c r="K75" s="1308"/>
      <c r="L75" s="1291"/>
      <c r="O75" s="1324" t="s">
        <v>409</v>
      </c>
      <c r="P75" s="1325" t="s">
        <v>838</v>
      </c>
      <c r="Q75" s="1326">
        <f ca="1">Q65+Q66</f>
        <v>725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7.6999999999999957E-2</v>
      </c>
    </row>
    <row r="80" spans="1:18">
      <c r="B80" s="330" t="s">
        <v>800</v>
      </c>
      <c r="C80" s="265">
        <f ca="1">ROUND(C75/C39,3)</f>
        <v>0.92300000000000004</v>
      </c>
    </row>
    <row r="81" spans="2:3">
      <c r="B81" s="261" t="s">
        <v>801</v>
      </c>
      <c r="C81" s="229"/>
    </row>
    <row r="82" spans="2:3">
      <c r="B82" s="264" t="s">
        <v>802</v>
      </c>
      <c r="C82" s="266">
        <f ca="1">1-C83</f>
        <v>0.29100000000000004</v>
      </c>
    </row>
    <row r="83" spans="2:3">
      <c r="B83" s="264" t="s">
        <v>803</v>
      </c>
      <c r="C83" s="265">
        <f ca="1">ROUND(C13/C40,3)</f>
        <v>0.70899999999999996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0" priority="3">
      <formula>$F$10="自定义"</formula>
    </cfRule>
  </conditionalFormatting>
  <conditionalFormatting sqref="C54">
    <cfRule type="expression" dxfId="99" priority="1">
      <formula>$F$53="自定义"</formula>
    </cfRule>
  </conditionalFormatting>
  <conditionalFormatting sqref="I55 I60">
    <cfRule type="expression" dxfId="98" priority="5">
      <formula>$J$51&gt;$L$48</formula>
    </cfRule>
  </conditionalFormatting>
  <conditionalFormatting sqref="J11">
    <cfRule type="expression" dxfId="97" priority="2">
      <formula>$M$10="自定义"</formula>
    </cfRule>
  </conditionalFormatting>
  <conditionalFormatting sqref="K55 K60">
    <cfRule type="expression" dxfId="9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9"/>
  <sheetViews>
    <sheetView topLeftCell="A25" workbookViewId="0">
      <selection activeCell="M40" sqref="M40"/>
    </sheetView>
  </sheetViews>
  <sheetFormatPr defaultRowHeight="13.5"/>
  <sheetData>
    <row r="39" spans="13:13">
      <c r="M39">
        <f>2847*1743/2952</f>
        <v>1681.0030487804879</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v>
      </c>
      <c r="D1" s="1270" t="s">
        <v>43</v>
      </c>
      <c r="E1" s="1271" t="s">
        <v>678</v>
      </c>
      <c r="F1" s="998" t="e">
        <f ca="1">J53</f>
        <v>#N/A</v>
      </c>
      <c r="G1" s="1285" t="e">
        <f>MATCH(C1,'数据-取费表'!A6:A16,0)+5</f>
        <v>#N/A</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#N/A</v>
      </c>
      <c r="C2" s="1288" t="s">
        <v>879</v>
      </c>
      <c r="D2" s="1374" t="e">
        <f ca="1">C40+J29+L46</f>
        <v>#N/A</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t="e">
        <f ca="1">C6+C10+C12</f>
        <v>#N/A</v>
      </c>
      <c r="D5" s="1272" t="s">
        <v>889</v>
      </c>
      <c r="E5" s="1007"/>
      <c r="F5" s="1008"/>
      <c r="G5" s="1291"/>
      <c r="H5" s="290">
        <v>1</v>
      </c>
      <c r="I5" s="291" t="s">
        <v>888</v>
      </c>
      <c r="J5" s="1006" t="e">
        <f ca="1">J6+J10+J12</f>
        <v>#N/A</v>
      </c>
      <c r="K5" s="1272" t="s">
        <v>889</v>
      </c>
      <c r="L5" s="1007"/>
      <c r="M5" s="1008"/>
    </row>
    <row r="6" spans="1:37" ht="18" customHeight="1">
      <c r="A6" s="1005" t="s">
        <v>398</v>
      </c>
      <c r="B6" s="3442" t="s">
        <v>694</v>
      </c>
      <c r="C6" s="1010" t="e">
        <f ca="1">ROUND(F6*F8*F7*(1-F9),0)</f>
        <v>#N/A</v>
      </c>
      <c r="D6" s="146" t="s">
        <v>2103</v>
      </c>
      <c r="E6" s="293" t="s">
        <v>696</v>
      </c>
      <c r="F6" s="294" t="e">
        <f ca="1">INDIRECT("'数据-取费表'!u"&amp;$G$1)</f>
        <v>#N/A</v>
      </c>
      <c r="G6" s="1291"/>
      <c r="H6" s="1005" t="s">
        <v>398</v>
      </c>
      <c r="I6" s="3442" t="s">
        <v>694</v>
      </c>
      <c r="J6" s="292" t="e">
        <f ca="1">ROUND(M6*M8*M7*(1-M9),0)</f>
        <v>#N/A</v>
      </c>
      <c r="K6" s="1283" t="s">
        <v>2104</v>
      </c>
      <c r="L6" s="293" t="s">
        <v>696</v>
      </c>
      <c r="M6" s="294" t="e">
        <f ca="1">INDIRECT("'数据-取费表'!z"&amp;$G$1)</f>
        <v>#N/A</v>
      </c>
    </row>
    <row r="7" spans="1:37" ht="18" customHeight="1">
      <c r="A7" s="1009"/>
      <c r="B7" s="3443"/>
      <c r="C7" s="1011"/>
      <c r="D7" s="298"/>
      <c r="E7" s="1012" t="s">
        <v>697</v>
      </c>
      <c r="F7" s="294" t="e">
        <f ca="1">IF(INDIRECT("'数据-取费表'!ah"&amp;$G$1)="",INDIRECT("'数据-取费表'!k"&amp;$G$1),INDIRECT("'数据-取费表'!ah"&amp;$G$1))</f>
        <v>#N/A</v>
      </c>
      <c r="G7" s="1291"/>
      <c r="H7" s="295"/>
      <c r="I7" s="3443"/>
      <c r="J7" s="297"/>
      <c r="K7" s="298"/>
      <c r="L7" s="293" t="s">
        <v>697</v>
      </c>
      <c r="M7" s="294" t="e">
        <f ca="1">F7</f>
        <v>#N/A</v>
      </c>
    </row>
    <row r="8" spans="1:37" ht="18" customHeight="1">
      <c r="A8" s="295"/>
      <c r="B8" s="3443"/>
      <c r="C8" s="297"/>
      <c r="D8" s="298"/>
      <c r="E8" s="293" t="s">
        <v>698</v>
      </c>
      <c r="F8" s="294" t="e">
        <f ca="1">INDIRECT("'数据-取费表'!ai"&amp;$G$1)</f>
        <v>#N/A</v>
      </c>
      <c r="G8" s="1291"/>
      <c r="H8" s="295"/>
      <c r="I8" s="3443"/>
      <c r="J8" s="297"/>
      <c r="K8" s="298"/>
      <c r="L8" s="293" t="s">
        <v>698</v>
      </c>
      <c r="M8" s="294" t="e">
        <f ca="1">INDIRECT("'数据-取费表'!ai"&amp;$G$1)</f>
        <v>#N/A</v>
      </c>
    </row>
    <row r="9" spans="1:37" ht="18" customHeight="1">
      <c r="A9" s="295"/>
      <c r="B9" s="3444"/>
      <c r="C9" s="297"/>
      <c r="D9" s="298"/>
      <c r="E9" s="293" t="s">
        <v>699</v>
      </c>
      <c r="F9" s="303" t="e">
        <f ca="1">INDIRECT("'数据-取费表'!w"&amp;$G$1)</f>
        <v>#N/A</v>
      </c>
      <c r="G9" s="1291"/>
      <c r="H9" s="295"/>
      <c r="I9" s="3444"/>
      <c r="J9" s="297"/>
      <c r="K9" s="298"/>
      <c r="L9" s="304" t="s">
        <v>699</v>
      </c>
      <c r="M9" s="305" t="e">
        <f ca="1">INDIRECT("'数据-取费表'!ab"&amp;$G$1)</f>
        <v>#N/A</v>
      </c>
    </row>
    <row r="10" spans="1:37" ht="18" customHeight="1">
      <c r="A10" s="1005" t="s">
        <v>402</v>
      </c>
      <c r="B10" s="1273" t="s">
        <v>700</v>
      </c>
      <c r="C10" s="307" t="e">
        <f ca="1">ROUND(IF(F10="押一",C6/12*F11,IF(F10="押二",C6/12*2*F11,IF(F10="押三",C6/12*3*F11,C11*F11))),0)</f>
        <v>#N/A</v>
      </c>
      <c r="D10" s="149" t="s">
        <v>2113</v>
      </c>
      <c r="E10" s="304" t="s">
        <v>701</v>
      </c>
      <c r="F10" s="1052" t="s">
        <v>3414</v>
      </c>
      <c r="G10" s="1291"/>
      <c r="H10" s="1005" t="s">
        <v>402</v>
      </c>
      <c r="I10" s="1273" t="s">
        <v>700</v>
      </c>
      <c r="J10" s="292">
        <f ca="1">ROUND(IF(M10="押一",J6/12*M11,IF(M10="押二",J6/12*2*M11,IF(M10="押三",J6/12*3*M11,J11*M11))),0)</f>
        <v>0</v>
      </c>
      <c r="K10" s="1284" t="s">
        <v>2115</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ROUND(INDIRECT("'数据-取费表'!l"&amp;$G$1)*F43+'数据-取费表'!L14*INDIRECT("'数据-取费表'!S"&amp;$G$1),0)</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ROUND(INDIRECT("'数据-取费表'!l"&amp;$G$1)*F43*F16,0)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ROUND(F17*(F43+INDIRECT("'数据-取费表'!S"&amp;$G$1)),0)</f>
        <v>#N/A</v>
      </c>
      <c r="D17" s="293" t="s">
        <v>717</v>
      </c>
      <c r="E17" s="293" t="s">
        <v>718</v>
      </c>
      <c r="F17" s="23">
        <f>'数据-取费表'!B35</f>
        <v>200</v>
      </c>
      <c r="G17" s="1302"/>
      <c r="H17" s="927" t="s">
        <v>398</v>
      </c>
      <c r="I17" s="293" t="s">
        <v>719</v>
      </c>
      <c r="J17" s="2139" t="e">
        <f ca="1">ROUND(IF(AND(项目基本情况!B11="自然人",项目基本情况!B10="北京市"),J6*M17/(1+'数据-取费表'!C42),J18+J19+J20),0)</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1.4999999999999999E-2</v>
      </c>
      <c r="G18" s="1302"/>
      <c r="H18" s="927" t="s">
        <v>397</v>
      </c>
      <c r="I18" s="293" t="s">
        <v>723</v>
      </c>
      <c r="J18" s="21" t="e">
        <f ca="1">ROUND(J6*M18/(1+'数据-取费表'!C42),0)</f>
        <v>#N/A</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2" t="s">
        <v>726</v>
      </c>
      <c r="E19" s="1268"/>
      <c r="F19" s="23"/>
      <c r="G19" s="1291"/>
      <c r="H19" s="927" t="s">
        <v>399</v>
      </c>
      <c r="I19" s="293" t="s">
        <v>727</v>
      </c>
      <c r="J19" s="21" t="e">
        <f ca="1">IF(K19="按租金收入计税",ROUND(J6*M19/(1+'数据-取费表'!C42),0),ROUND(C29*M19*0.7,0))</f>
        <v>#N/A</v>
      </c>
      <c r="K19" s="1277" t="s">
        <v>3334</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0.02</v>
      </c>
      <c r="G20" s="1302"/>
      <c r="H20" s="927" t="s">
        <v>680</v>
      </c>
      <c r="I20" s="146" t="s">
        <v>730</v>
      </c>
      <c r="J20" s="22" t="e">
        <f ca="1">ROUND(M20*M21,0)</f>
        <v>#N/A</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t="e">
        <f ca="1">ROUND(J14*M22,0)</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t="e">
        <f ca="1">ROUND(J13*M23,0)</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t="e">
        <f ca="1">ROUND(J5*M24,0)</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t="e">
        <f ca="1">J5-J16</f>
        <v>#N/A</v>
      </c>
      <c r="K25" s="1031" t="s">
        <v>753</v>
      </c>
      <c r="L25" s="1032"/>
      <c r="M25" s="1033"/>
    </row>
    <row r="26" spans="1:37" ht="18" customHeight="1">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7"/>
      <c r="I30" s="1304"/>
      <c r="J30" s="1305"/>
      <c r="K30" s="120"/>
      <c r="L30" s="2468"/>
      <c r="M30" s="2469"/>
    </row>
    <row r="31" spans="1:37" ht="18" customHeight="1">
      <c r="A31" s="927" t="s">
        <v>398</v>
      </c>
      <c r="B31" s="293" t="s">
        <v>719</v>
      </c>
      <c r="C31" s="2139" t="e">
        <f ca="1">ROUND(IF(AND(项目基本情况!B11="自然人",项目基本情况!B10="北京市"),C6*F31/(1+'数据-取费表'!C42),C32+C33+C34),0)</f>
        <v>#N/A</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t="e">
        <f ca="1">IF(项目基本情况!B11="自然人","——",ROUND(C6*F32/(1+'数据-取费表'!C42),0))</f>
        <v>#N/A</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t="e">
        <f ca="1">IF(项目基本情况!B11="自然人","——",IF(D33="按租金收入计税",ROUND(C6*F33/(1+'数据-取费表'!C42),0),IF(D33="按房产原值计税",ROUND(C29*F33*0.7,0),INDIRECT("'数据-取费表'!Aj"&amp;$G$1))))</f>
        <v>#N/A</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e">
        <f ca="1">IF(项目基本情况!B11="自然人","——",ROUND(F34*F35,0))</f>
        <v>#N/A</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t="e">
        <f ca="1">INDIRECT("'数据-取费表'!r"&amp;$G$1)</f>
        <v>#N/A</v>
      </c>
      <c r="G35" s="1291"/>
      <c r="H35" s="2467"/>
      <c r="I35" s="1304"/>
      <c r="J35" s="1305"/>
      <c r="K35" s="2471"/>
      <c r="L35" s="2470"/>
      <c r="M35" s="2470"/>
    </row>
    <row r="36" spans="1:18" ht="18" customHeight="1">
      <c r="A36" s="1038" t="s">
        <v>402</v>
      </c>
      <c r="B36" s="293" t="s">
        <v>738</v>
      </c>
      <c r="C36" s="21" t="e">
        <f ca="1">ROUND(C29*F36,0)</f>
        <v>#N/A</v>
      </c>
      <c r="D36" s="1255" t="s">
        <v>771</v>
      </c>
      <c r="E36" s="293" t="s">
        <v>712</v>
      </c>
      <c r="F36" s="319" t="e">
        <f ca="1">INDIRECT("'数据-取费表'!Ak"&amp;$G$1)</f>
        <v>#N/A</v>
      </c>
      <c r="G36" s="1291"/>
      <c r="H36" s="2470"/>
      <c r="I36" s="1304"/>
      <c r="J36" s="1305"/>
      <c r="K36" s="2328"/>
      <c r="L36" s="2470"/>
      <c r="M36" s="2470"/>
    </row>
    <row r="37" spans="1:18" ht="18" customHeight="1">
      <c r="A37" s="927" t="s">
        <v>437</v>
      </c>
      <c r="B37" s="293" t="s">
        <v>742</v>
      </c>
      <c r="C37" s="21" t="e">
        <f ca="1">ROUND(C13*F37,0)</f>
        <v>#N/A</v>
      </c>
      <c r="D37" s="1255" t="s">
        <v>743</v>
      </c>
      <c r="E37" s="293" t="s">
        <v>744</v>
      </c>
      <c r="F37" s="320" t="e">
        <f ca="1">INDIRECT("'数据-取费表'!Al"&amp;$G$1)</f>
        <v>#N/A</v>
      </c>
      <c r="G37" s="1291"/>
      <c r="H37" s="2470"/>
      <c r="I37" s="1304"/>
      <c r="J37" s="1305"/>
      <c r="K37" s="2328"/>
      <c r="L37" s="2470"/>
      <c r="M37" s="2470"/>
    </row>
    <row r="38" spans="1:18" ht="18" customHeight="1" thickBot="1">
      <c r="A38" s="1025" t="s">
        <v>684</v>
      </c>
      <c r="B38" s="1026" t="s">
        <v>728</v>
      </c>
      <c r="C38" s="1027" t="e">
        <f ca="1">ROUND(C5*F38,0)</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1" t="e">
        <f ca="1">C5-C30</f>
        <v>#N/A</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8"/>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t="e">
        <f ca="1">C39/C5</f>
        <v>#N/A</v>
      </c>
      <c r="I41" s="1304"/>
      <c r="J41" s="1305"/>
      <c r="K41" s="2328"/>
      <c r="L41" s="120"/>
      <c r="M41" s="120"/>
    </row>
    <row r="42" spans="1:18" ht="18" customHeight="1">
      <c r="A42" s="299"/>
      <c r="B42" s="300"/>
      <c r="C42" s="301"/>
      <c r="D42" s="318"/>
      <c r="E42" s="293" t="s">
        <v>766</v>
      </c>
      <c r="F42" s="303" t="e">
        <f ca="1">INDIRECT("'数据-取费表'!v"&amp;$G$1)</f>
        <v>#N/A</v>
      </c>
      <c r="G42" s="1291"/>
      <c r="H42" s="120"/>
      <c r="I42" s="1304"/>
      <c r="J42" s="1305"/>
      <c r="K42" s="2328"/>
      <c r="L42" s="120"/>
      <c r="M42" s="120"/>
    </row>
    <row r="43" spans="1:18" ht="18" customHeight="1" thickBot="1">
      <c r="A43" s="324" t="s">
        <v>396</v>
      </c>
      <c r="B43" s="325" t="s">
        <v>776</v>
      </c>
      <c r="C43" s="326" t="e">
        <f ca="1">ROUND(C40/F43,0)</f>
        <v>#N/A</v>
      </c>
      <c r="D43" s="327" t="s">
        <v>777</v>
      </c>
      <c r="E43" s="328" t="s">
        <v>778</v>
      </c>
      <c r="F43" s="329" t="e">
        <f ca="1">INDIRECT("'数据-取费表'!k"&amp;$G$1)</f>
        <v>#N/A</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3350</v>
      </c>
      <c r="B45" s="1306"/>
      <c r="C45" s="1375" t="e">
        <f ca="1">ROUND((C68-C40)/10000,4)</f>
        <v>#N/A</v>
      </c>
      <c r="D45" s="3127" t="s">
        <v>3351</v>
      </c>
      <c r="E45" s="1306"/>
      <c r="F45" s="1306"/>
      <c r="O45" s="1309" t="s">
        <v>808</v>
      </c>
      <c r="P45" s="1365"/>
      <c r="Q45" s="1365"/>
      <c r="R45" s="1365"/>
    </row>
    <row r="46" spans="1:18" s="1291" customFormat="1" ht="13.5" thickBot="1">
      <c r="A46" s="1310" t="s">
        <v>809</v>
      </c>
      <c r="C46" s="1311" t="e">
        <f ca="1">ROUND(C45,0)</f>
        <v>#N/A</v>
      </c>
      <c r="D46" s="1312" t="str">
        <f>C2</f>
        <v>万元</v>
      </c>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3435</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t="s">
        <v>3405</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ROUND(F49*F51*F50*(1-F52),0)</f>
        <v>#N/A</v>
      </c>
      <c r="D49" s="991" t="s">
        <v>695</v>
      </c>
      <c r="E49" s="1279" t="s">
        <v>780</v>
      </c>
      <c r="F49" s="996"/>
      <c r="H49" s="681"/>
      <c r="I49" s="1327" t="s">
        <v>823</v>
      </c>
      <c r="J49" s="1331">
        <f>'数据-取费表'!N18</f>
        <v>2007</v>
      </c>
      <c r="K49" s="1329" t="s">
        <v>824</v>
      </c>
      <c r="L49" s="1332"/>
      <c r="O49" s="1333" t="s">
        <v>405</v>
      </c>
      <c r="P49" s="1325" t="s">
        <v>825</v>
      </c>
      <c r="Q49" s="1326" t="e">
        <f ca="1">C29</f>
        <v>#N/A</v>
      </c>
      <c r="R49" s="1326" t="s">
        <v>818</v>
      </c>
    </row>
    <row r="50" spans="1:18" s="1291" customFormat="1" ht="13.5" thickBot="1">
      <c r="A50" s="921"/>
      <c r="B50" s="924"/>
      <c r="C50" s="925"/>
      <c r="D50" s="898"/>
      <c r="E50" s="992" t="s">
        <v>697</v>
      </c>
      <c r="F50" s="993" t="e">
        <f ca="1">F7</f>
        <v>#N/A</v>
      </c>
      <c r="H50" s="681"/>
      <c r="I50" s="1327" t="s">
        <v>826</v>
      </c>
      <c r="J50" s="1334">
        <f>SUMPRODUCT((I63:I65=J47)*(J62:L62=J48)*(J63:L65))</f>
        <v>60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43</v>
      </c>
      <c r="K51" s="1338" t="s">
        <v>830</v>
      </c>
      <c r="L51" s="1339" t="e">
        <f ca="1">ROUND(-PV(INDIRECT("'数据-取费表'!h"&amp;$G$1),J51,(C39-C13*C76),0),0)</f>
        <v>#N/A</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t="e">
        <f ca="1">J53</f>
        <v>#N/A</v>
      </c>
      <c r="R52" s="1326" t="s">
        <v>835</v>
      </c>
    </row>
    <row r="53" spans="1:18" s="1291" customFormat="1" ht="30.75" customHeight="1" thickBot="1">
      <c r="A53" s="1047" t="s">
        <v>440</v>
      </c>
      <c r="B53" s="314" t="s">
        <v>700</v>
      </c>
      <c r="C53" s="307">
        <f ca="1">ROUND(IF(F53="押一",C49/12*F11,IF(F53="押二",C49/12*2*F11,IF(F53="押三",C49/12*3*F11,C54*F11))),0)</f>
        <v>0</v>
      </c>
      <c r="D53" s="149" t="s">
        <v>2116</v>
      </c>
      <c r="E53" s="304" t="s">
        <v>701</v>
      </c>
      <c r="F53" s="1052"/>
      <c r="I53" s="1343" t="s">
        <v>836</v>
      </c>
      <c r="J53" s="2005" t="e">
        <f ca="1">IF(M47="住宅",IF(D1="——",MAX(J51,L48),MAX(J51,L48-'数据-取费表'!B24)),IF(D1="——",MIN(J51,L48),MIN(J51,L48-'数据-取费表'!B24)))</f>
        <v>#N/A</v>
      </c>
      <c r="K53" s="3440" t="s">
        <v>837</v>
      </c>
      <c r="L53" s="3441"/>
      <c r="O53" s="1324" t="s">
        <v>409</v>
      </c>
      <c r="P53" s="1325" t="s">
        <v>838</v>
      </c>
      <c r="Q53" s="1326" t="e">
        <f ca="1">Q47+Q48</f>
        <v>#N/A</v>
      </c>
      <c r="R53" s="1326" t="s">
        <v>410</v>
      </c>
    </row>
    <row r="54" spans="1:18" s="1291" customFormat="1" ht="13.5" thickBot="1">
      <c r="A54" s="920"/>
      <c r="B54" s="1376" t="s">
        <v>891</v>
      </c>
      <c r="C54" s="904"/>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6" customHeight="1" thickTop="1" thickBot="1">
      <c r="A56" s="902">
        <v>2</v>
      </c>
      <c r="B56" s="903" t="s">
        <v>704</v>
      </c>
      <c r="C56" s="223" t="e">
        <f ca="1">C13</f>
        <v>#N/A</v>
      </c>
      <c r="D56" s="1351"/>
      <c r="E56" s="1352"/>
      <c r="F56" s="1344"/>
      <c r="I56" s="1353" t="s">
        <v>842</v>
      </c>
      <c r="J56" s="1354" t="s">
        <v>3381</v>
      </c>
      <c r="K56" s="1327" t="s">
        <v>843</v>
      </c>
      <c r="L56" s="1330" t="e">
        <f ca="1">IF(L48&lt;J51,"——",L48-J51)</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892</v>
      </c>
      <c r="L57" s="1330" t="e">
        <f ca="1">IF(L48&lt;J51,"——",IF(L55="比较法",L49,IF(L55="基准地价",L50,L51)))</f>
        <v>#N/A</v>
      </c>
      <c r="O57" s="1324" t="s">
        <v>404</v>
      </c>
      <c r="P57" s="1325" t="s">
        <v>893</v>
      </c>
      <c r="Q57" s="1326" t="e">
        <f ca="1">L60</f>
        <v>#N/A</v>
      </c>
      <c r="R57" s="1326" t="s">
        <v>894</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895</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IF(项目基本情况!B11="自然人","——",ROUND(C48*F60/(1+'数据-取费表'!C42),0))</f>
        <v>#N/A</v>
      </c>
      <c r="D60" s="909" t="s">
        <v>724</v>
      </c>
      <c r="E60" s="895" t="s">
        <v>712</v>
      </c>
      <c r="F60" s="321">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IF(项目基本情况!B11="自然人","——",IF(D61="按租金收入计税",ROUND(C49*F61/(1+'数据-取费表'!C42),0),IF(D61="按房产原值计税",ROUND(C57*F61*0.7,0),INDIRECT("'数据-取费表'!Aj"&amp;$G$1))))</f>
        <v>#N/A</v>
      </c>
      <c r="D61" s="1277" t="s">
        <v>3334</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IF(项目基本情况!B11="自然人","——",ROUND(F62*F63,0))</f>
        <v>#N/A</v>
      </c>
      <c r="D62" s="910" t="s">
        <v>786</v>
      </c>
      <c r="E62" s="895" t="s">
        <v>787</v>
      </c>
      <c r="F62" s="316">
        <f t="shared" si="0"/>
        <v>1.5</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ROUND(C57*F64,0)</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ROUND(C56*F65,0)</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ROUND(C48*F66,0)</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J11">
    <cfRule type="expression" dxfId="92" priority="2">
      <formula>$M$10="自定义"</formula>
    </cfRule>
  </conditionalFormatting>
  <conditionalFormatting sqref="K55 K60">
    <cfRule type="expression" dxfId="9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受贵公司委托，我公司对北京市延庆县康庄镇康祥路11号1-6幢工业用房房地产抵押价值进行了预评估。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估价对象为北京市延庆县康庄镇康祥路11号1-6幢工业用房房地产，为所有。根据《国有土地使用证》[]，估价对象（分摊）出让国有建设用地使用权面积为14571.48平方米，建筑面积为7170.41平方米。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康庄镇康祥路11号1-6幢工业用房房地产,属开发建设的工业项目，该项目尚在开发建设中。根据《国有土地使用证》[]，估价对象（分摊）出让国有建设用地使用权面积为14571.48平方米，规划建筑面积为7170.41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延庆县康庄镇康祥路11号1-6幢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2024年1月24日（评估专业人员实地查勘之日）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0" zoomScaleNormal="70" zoomScaleSheetLayoutView="100"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1458</v>
      </c>
      <c r="B1" s="1373"/>
      <c r="C1" s="1716" t="s">
        <v>1560</v>
      </c>
      <c r="D1" s="189"/>
      <c r="E1" s="189"/>
      <c r="F1" s="189"/>
      <c r="G1" s="1061">
        <f>MATCH(B1,'数据-取费表'!A6:A16,0)+5</f>
        <v>8</v>
      </c>
      <c r="H1" s="997" t="str">
        <f>IF(ISERROR(FIND("住宅",B1)),"非住宅","住宅")</f>
        <v>非住宅</v>
      </c>
    </row>
    <row r="2" spans="1:8" s="191" customFormat="1" ht="18" customHeight="1">
      <c r="A2" s="192" t="s">
        <v>1459</v>
      </c>
      <c r="B2" s="3119">
        <f ca="1">ROUND(IF(D2="——",C52/10000,C52/10000-E2),4)</f>
        <v>1870.8431</v>
      </c>
      <c r="C2" s="190" t="s">
        <v>1460</v>
      </c>
      <c r="D2" s="1710" t="s">
        <v>43</v>
      </c>
      <c r="E2" s="1088" t="e">
        <f ca="1">SUMIF(INDIRECT("'"&amp;G2&amp;"'"&amp;"!A:A"),"承租人权益价值",INDIRECT("'"&amp;G2&amp;"'"&amp;"!c:c"))</f>
        <v>#REF!</v>
      </c>
      <c r="F2" s="1711" t="s">
        <v>1460</v>
      </c>
      <c r="G2" s="1712"/>
    </row>
    <row r="3" spans="1:8" s="191" customFormat="1" ht="18" customHeight="1" thickBot="1">
      <c r="A3" s="194" t="s">
        <v>1461</v>
      </c>
      <c r="B3" s="195">
        <f ca="1">ROUND(B2*10000/(IF(B1="",'数据-汇总表'!E3,INDIRECT("'数据-取费表'!k"&amp;$G$1))),0)</f>
        <v>2609</v>
      </c>
      <c r="C3" s="190" t="s">
        <v>1462</v>
      </c>
      <c r="D3" s="190"/>
      <c r="E3" s="190"/>
      <c r="F3" s="190"/>
      <c r="G3" s="190"/>
    </row>
    <row r="4" spans="1:8" s="199" customFormat="1" ht="15.75">
      <c r="A4" s="196" t="s">
        <v>1463</v>
      </c>
      <c r="B4" s="197"/>
      <c r="C4" s="197"/>
      <c r="D4" s="197"/>
      <c r="E4" s="197"/>
      <c r="F4" s="197"/>
      <c r="G4" s="198"/>
    </row>
    <row r="5" spans="1:8" s="205" customFormat="1" ht="13.5" customHeight="1">
      <c r="A5" s="246" t="s">
        <v>1464</v>
      </c>
      <c r="B5" s="201" t="s">
        <v>1465</v>
      </c>
      <c r="C5" s="202">
        <f ca="1">C6+C7+C8</f>
        <v>1075562</v>
      </c>
      <c r="D5" s="202" t="s">
        <v>1466</v>
      </c>
      <c r="E5" s="203" t="s">
        <v>1467</v>
      </c>
      <c r="F5" s="203" t="s">
        <v>1468</v>
      </c>
      <c r="G5" s="204"/>
    </row>
    <row r="6" spans="1:8" s="205" customFormat="1" ht="13.5" customHeight="1">
      <c r="A6" s="731" t="s">
        <v>1469</v>
      </c>
      <c r="B6" s="206" t="s">
        <v>1470</v>
      </c>
      <c r="C6" s="207">
        <f>基准地价修正!W2+基准地价修正!W3</f>
        <v>0</v>
      </c>
      <c r="D6" s="208"/>
      <c r="E6" s="209"/>
      <c r="F6" s="209"/>
      <c r="G6" s="210"/>
    </row>
    <row r="7" spans="1:8" s="205" customFormat="1" ht="13.5" customHeight="1">
      <c r="A7" s="731" t="s">
        <v>1471</v>
      </c>
      <c r="B7" s="206" t="s">
        <v>1472</v>
      </c>
      <c r="C7" s="211">
        <f>ROUND(C6*F7,0)</f>
        <v>0</v>
      </c>
      <c r="D7" s="211"/>
      <c r="E7" s="209"/>
      <c r="F7" s="212">
        <f>IF(项目基本情况!B8="出让",0,'数据-取费表'!B48+'数据-取费表'!B49)</f>
        <v>3.0499999999999999E-2</v>
      </c>
      <c r="G7" s="210"/>
    </row>
    <row r="8" spans="1:8" s="214" customFormat="1">
      <c r="A8" s="731" t="s">
        <v>1473</v>
      </c>
      <c r="B8" s="206" t="s">
        <v>1474</v>
      </c>
      <c r="C8" s="211">
        <f ca="1">IF(G8="已包含在土地购买价格中",0,C9+C10)</f>
        <v>1075562</v>
      </c>
      <c r="D8" s="213"/>
      <c r="E8" s="211"/>
      <c r="F8" s="212"/>
      <c r="G8" s="1713" t="s">
        <v>3410</v>
      </c>
    </row>
    <row r="9" spans="1:8" s="205" customFormat="1" ht="13.5" customHeight="1">
      <c r="A9" s="732" t="s">
        <v>355</v>
      </c>
      <c r="B9" s="215" t="s">
        <v>1475</v>
      </c>
      <c r="C9" s="216">
        <f ca="1">ROUND(D9*E9,0)</f>
        <v>0</v>
      </c>
      <c r="D9" s="794">
        <f ca="1">IF(B1="",'数据-汇总表'!E5,IF(INDIRECT("'数据-取费表'!c"&amp;$G$1)="住宅",INDIRECT("'数据-取费表'!k"&amp;$G$1),0))</f>
        <v>0</v>
      </c>
      <c r="E9" s="216">
        <f>'数据-取费表'!B27</f>
        <v>100</v>
      </c>
      <c r="F9" s="212"/>
      <c r="G9" s="217"/>
    </row>
    <row r="10" spans="1:8" s="205" customFormat="1" ht="13.5" customHeight="1">
      <c r="A10" s="732" t="s">
        <v>356</v>
      </c>
      <c r="B10" s="215" t="s">
        <v>1477</v>
      </c>
      <c r="C10" s="216">
        <f ca="1">ROUND(D10*E10,0)</f>
        <v>1075562</v>
      </c>
      <c r="D10" s="794">
        <f ca="1">IF(B1="",'数据-汇总表'!E6,IF(INDIRECT("'数据-取费表'!c"&amp;$G$1)="住宅",INDIRECT("'数据-取费表'!s"&amp;$G$1),INDIRECT("'数据-取费表'!k"&amp;$G$1)+INDIRECT("'数据-取费表'!s"&amp;$G$1)))</f>
        <v>7170.4100000000008</v>
      </c>
      <c r="E10" s="216">
        <f>'数据-取费表'!B28</f>
        <v>150</v>
      </c>
      <c r="F10" s="212"/>
      <c r="G10" s="217"/>
    </row>
    <row r="11" spans="1:8" s="205" customFormat="1" ht="13.5" hidden="1" customHeight="1">
      <c r="A11" s="218" t="s">
        <v>4</v>
      </c>
      <c r="B11" s="206" t="s">
        <v>1478</v>
      </c>
      <c r="C11" s="202"/>
      <c r="D11" s="209"/>
      <c r="E11" s="209"/>
      <c r="F11" s="209"/>
      <c r="G11" s="210"/>
    </row>
    <row r="12" spans="1:8" s="205" customFormat="1" ht="13.5" hidden="1" customHeight="1">
      <c r="A12" s="218" t="s">
        <v>5</v>
      </c>
      <c r="B12" s="206" t="s">
        <v>1561</v>
      </c>
      <c r="C12" s="202">
        <v>0</v>
      </c>
      <c r="D12" s="209"/>
      <c r="E12" s="219"/>
      <c r="F12" s="212">
        <v>3.0499999999999999E-2</v>
      </c>
      <c r="G12" s="210"/>
    </row>
    <row r="13" spans="1:8" s="205" customFormat="1" ht="13.5" hidden="1" customHeight="1">
      <c r="A13" s="218" t="s">
        <v>6</v>
      </c>
      <c r="B13" s="206" t="s">
        <v>1562</v>
      </c>
      <c r="C13" s="202"/>
      <c r="D13" s="209"/>
      <c r="E13" s="209"/>
      <c r="F13" s="209"/>
      <c r="G13" s="210"/>
    </row>
    <row r="14" spans="1:8" s="205" customFormat="1" ht="13.5" hidden="1" customHeight="1">
      <c r="A14" s="218" t="s">
        <v>7</v>
      </c>
      <c r="B14" s="206" t="s">
        <v>1474</v>
      </c>
      <c r="C14" s="202"/>
      <c r="D14" s="209"/>
      <c r="E14" s="209"/>
      <c r="F14" s="209"/>
      <c r="G14" s="210" t="s">
        <v>1563</v>
      </c>
    </row>
    <row r="15" spans="1:8" s="205" customFormat="1" ht="13.5" hidden="1" customHeight="1">
      <c r="A15" s="218" t="s">
        <v>8</v>
      </c>
      <c r="B15" s="206" t="s">
        <v>1564</v>
      </c>
      <c r="C15" s="211"/>
      <c r="D15" s="209"/>
      <c r="E15" s="209"/>
      <c r="F15" s="209"/>
      <c r="G15" s="210" t="s">
        <v>1565</v>
      </c>
    </row>
    <row r="16" spans="1:8" s="205" customFormat="1" ht="13.5" hidden="1" customHeight="1">
      <c r="A16" s="218" t="s">
        <v>9</v>
      </c>
      <c r="B16" s="206" t="s">
        <v>1474</v>
      </c>
      <c r="C16" s="211"/>
      <c r="D16" s="209"/>
      <c r="E16" s="209"/>
      <c r="F16" s="209"/>
      <c r="G16" s="210"/>
    </row>
    <row r="17" spans="1:7" s="205" customFormat="1" ht="13.5" hidden="1" customHeight="1">
      <c r="A17" s="218" t="s">
        <v>10</v>
      </c>
      <c r="B17" s="206" t="s">
        <v>1566</v>
      </c>
      <c r="C17" s="220"/>
      <c r="D17" s="220"/>
      <c r="E17" s="220"/>
      <c r="F17" s="220"/>
      <c r="G17" s="210" t="s">
        <v>1565</v>
      </c>
    </row>
    <row r="18" spans="1:7" s="205" customFormat="1" ht="13.5" hidden="1" customHeight="1">
      <c r="A18" s="218" t="s">
        <v>11</v>
      </c>
      <c r="B18" s="206" t="s">
        <v>1567</v>
      </c>
      <c r="C18" s="211">
        <v>0</v>
      </c>
      <c r="D18" s="209"/>
      <c r="E18" s="209"/>
      <c r="F18" s="212">
        <v>3.0499999999999999E-2</v>
      </c>
      <c r="G18" s="210" t="s">
        <v>1568</v>
      </c>
    </row>
    <row r="19" spans="1:7" s="214" customFormat="1" ht="13.5" customHeight="1">
      <c r="A19" s="246" t="s">
        <v>1569</v>
      </c>
      <c r="B19" s="201" t="s">
        <v>1570</v>
      </c>
      <c r="C19" s="202" t="str">
        <f>IF(G19="已包含在土地取得成本中","0",ROUND(D19*E19,0))</f>
        <v>0</v>
      </c>
      <c r="D19" s="203">
        <f ca="1">D9+D10</f>
        <v>7170.4100000000008</v>
      </c>
      <c r="E19" s="202">
        <f>'数据-取费表'!B31</f>
        <v>200</v>
      </c>
      <c r="F19" s="222"/>
      <c r="G19" s="1713" t="s">
        <v>3412</v>
      </c>
    </row>
    <row r="20" spans="1:7" s="205" customFormat="1" ht="13.5" customHeight="1">
      <c r="A20" s="246" t="s">
        <v>1571</v>
      </c>
      <c r="B20" s="201" t="s">
        <v>1572</v>
      </c>
      <c r="C20" s="223">
        <f ca="1">ROUND((C5+C19)*F20,0)</f>
        <v>21511</v>
      </c>
      <c r="D20" s="223"/>
      <c r="E20" s="223"/>
      <c r="F20" s="224">
        <f>'数据-取费表'!B37</f>
        <v>0.02</v>
      </c>
      <c r="G20" s="225" t="s">
        <v>1573</v>
      </c>
    </row>
    <row r="21" spans="1:7" s="205" customFormat="1" ht="13.5" customHeight="1">
      <c r="A21" s="246" t="s">
        <v>1574</v>
      </c>
      <c r="B21" s="201" t="s">
        <v>1575</v>
      </c>
      <c r="C21" s="226">
        <f>F21</f>
        <v>0.01</v>
      </c>
      <c r="D21" s="227" t="s">
        <v>1576</v>
      </c>
      <c r="E21" s="223"/>
      <c r="F21" s="224">
        <f>'数据-取费表'!B38</f>
        <v>0.01</v>
      </c>
      <c r="G21" s="225" t="s">
        <v>1577</v>
      </c>
    </row>
    <row r="22" spans="1:7" s="205" customFormat="1" ht="13.5" customHeight="1">
      <c r="A22" s="246" t="s">
        <v>1578</v>
      </c>
      <c r="B22" s="201" t="s">
        <v>1579</v>
      </c>
      <c r="C22" s="223">
        <f ca="1">ROUND(SUM(C23:C25),0)</f>
        <v>37478</v>
      </c>
      <c r="D22" s="226">
        <f ca="1">C26</f>
        <v>2.0000000000000001E-4</v>
      </c>
      <c r="E22" s="227" t="s">
        <v>1576</v>
      </c>
      <c r="F22" s="228">
        <f ca="1">'数据-取费表'!B40</f>
        <v>3.4500000000000003E-2</v>
      </c>
      <c r="G22" s="225" t="str">
        <f>IF('数据-取费表'!B22&lt;=1,"单利计息","复利计息")</f>
        <v>单利计息</v>
      </c>
    </row>
    <row r="23" spans="1:7" s="205" customFormat="1" ht="13.5" customHeight="1">
      <c r="A23" s="733" t="s">
        <v>1469</v>
      </c>
      <c r="B23" s="206" t="s">
        <v>1580</v>
      </c>
      <c r="C23" s="229">
        <f ca="1">ROUND(IF('数据-取费表'!B22&lt;=1,C5*F22*'数据-取费表'!B22,C5*(POWER((1+F22),'数据-取费表'!B22)-1)),0)</f>
        <v>37107</v>
      </c>
      <c r="D23" s="229"/>
      <c r="E23" s="229"/>
      <c r="F23" s="230"/>
      <c r="G23" s="231" t="s">
        <v>1581</v>
      </c>
    </row>
    <row r="24" spans="1:7" s="205" customFormat="1" ht="13.5" customHeight="1">
      <c r="A24" s="733" t="s">
        <v>1471</v>
      </c>
      <c r="B24" s="206" t="s">
        <v>1582</v>
      </c>
      <c r="C24" s="229">
        <f ca="1">ROUND(IF('数据-取费表'!B22&lt;=1,C19*F22*('数据-取费表'!B19/2+'数据-取费表'!B20),C19*(POWER((1+F22),('数据-取费表'!B19/2+'数据-取费表'!B20))-1)),0)</f>
        <v>0</v>
      </c>
      <c r="D24" s="229"/>
      <c r="E24" s="229"/>
      <c r="F24" s="230"/>
      <c r="G24" s="231" t="s">
        <v>1583</v>
      </c>
    </row>
    <row r="25" spans="1:7" s="205" customFormat="1" ht="24">
      <c r="A25" s="733" t="s">
        <v>1473</v>
      </c>
      <c r="B25" s="206" t="s">
        <v>1584</v>
      </c>
      <c r="C25" s="229">
        <f ca="1">ROUND(IF('数据-取费表'!B22&lt;=1,C20*F22*'数据-取费表'!B22/2,C20*(POWER((1+F22),'数据-取费表'!B22/2)-1)),0)</f>
        <v>371</v>
      </c>
      <c r="D25" s="229"/>
      <c r="E25" s="232"/>
      <c r="F25" s="230"/>
      <c r="G25" s="233" t="s">
        <v>1585</v>
      </c>
    </row>
    <row r="26" spans="1:7" s="205" customFormat="1">
      <c r="A26" s="733" t="s">
        <v>350</v>
      </c>
      <c r="B26" s="206" t="s">
        <v>1508</v>
      </c>
      <c r="C26" s="229">
        <f ca="1">ROUND(IF('数据-取费表'!B22&lt;=1,F21*F22*'数据-取费表'!B22/2,F21*(POWER((1+F22),'数据-取费表'!B22/2)-1)),4)</f>
        <v>2.0000000000000001E-4</v>
      </c>
      <c r="D26" s="229"/>
      <c r="E26" s="232"/>
      <c r="F26" s="230"/>
      <c r="G26" s="234"/>
    </row>
    <row r="27" spans="1:7" s="205" customFormat="1" ht="24.75">
      <c r="A27" s="246" t="s">
        <v>1509</v>
      </c>
      <c r="B27" s="235" t="s">
        <v>1510</v>
      </c>
      <c r="C27" s="236">
        <f ca="1">C28</f>
        <v>54854</v>
      </c>
      <c r="D27" s="226">
        <f ca="1">C29</f>
        <v>5.0000000000000001E-4</v>
      </c>
      <c r="E27" s="227" t="s">
        <v>1511</v>
      </c>
      <c r="F27" s="237">
        <f ca="1">IF(B1="",'数据-取费表'!Q16,INDIRECT("'数据-取费表'!q"&amp;$G$1))</f>
        <v>0.05</v>
      </c>
      <c r="G27" s="238" t="s">
        <v>1512</v>
      </c>
    </row>
    <row r="28" spans="1:7" s="205" customFormat="1" ht="13.5" customHeight="1">
      <c r="A28" s="733" t="s">
        <v>346</v>
      </c>
      <c r="B28" s="239" t="s">
        <v>1513</v>
      </c>
      <c r="C28" s="240">
        <f ca="1">ROUND((C5+C19+C20)*F27,0)</f>
        <v>54854</v>
      </c>
      <c r="D28" s="226"/>
      <c r="E28" s="227"/>
      <c r="F28" s="237"/>
      <c r="G28" s="238"/>
    </row>
    <row r="29" spans="1:7" s="205" customFormat="1" ht="13.5" customHeight="1">
      <c r="A29" s="733" t="s">
        <v>347</v>
      </c>
      <c r="B29" s="239" t="s">
        <v>1514</v>
      </c>
      <c r="C29" s="229">
        <f ca="1">ROUND(C21*F27,4)</f>
        <v>5.0000000000000001E-4</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1269511</v>
      </c>
      <c r="D31" s="221"/>
      <c r="E31" s="202"/>
      <c r="F31" s="241"/>
      <c r="G31" s="225" t="s">
        <v>1519</v>
      </c>
    </row>
    <row r="32" spans="1:7" s="199" customFormat="1" ht="15.75">
      <c r="A32" s="243" t="s">
        <v>1586</v>
      </c>
      <c r="B32" s="244"/>
      <c r="C32" s="244"/>
      <c r="D32" s="244"/>
      <c r="E32" s="244"/>
      <c r="F32" s="244"/>
      <c r="G32" s="245"/>
    </row>
    <row r="33" spans="1:7" s="205" customFormat="1" ht="13.5" customHeight="1">
      <c r="A33" s="246" t="s">
        <v>337</v>
      </c>
      <c r="B33" s="201" t="s">
        <v>1587</v>
      </c>
      <c r="C33" s="247">
        <f ca="1">SUM(C34:C38)</f>
        <v>19748445</v>
      </c>
      <c r="D33" s="223"/>
      <c r="E33" s="203"/>
      <c r="F33" s="232"/>
      <c r="G33" s="225"/>
    </row>
    <row r="34" spans="1:7" s="249" customFormat="1" ht="13.5" customHeight="1">
      <c r="A34" s="733" t="s">
        <v>346</v>
      </c>
      <c r="B34" s="206" t="s">
        <v>1522</v>
      </c>
      <c r="C34" s="211">
        <f ca="1">ROUND(IF(B1="",SUMPRODUCT('数据-取费表'!K6:K14,'数据-取费表'!L6:L14),INDIRECT("'数据-取费表'!l"&amp;$G$1)*INDIRECT("'数据-取费表'!k"&amp;$G$1)+'数据-取费表'!L14*INDIRECT("'数据-取费表'!S"&amp;$G$1)),0)</f>
        <v>17525706</v>
      </c>
      <c r="D34" s="208"/>
      <c r="E34" s="211"/>
      <c r="F34" s="248"/>
      <c r="G34" s="210"/>
    </row>
    <row r="35" spans="1:7" ht="13.5" customHeight="1">
      <c r="A35" s="733" t="s">
        <v>351</v>
      </c>
      <c r="B35" s="206" t="s">
        <v>1524</v>
      </c>
      <c r="C35" s="211">
        <f ca="1">ROUND(C34*F35,0)</f>
        <v>525771</v>
      </c>
      <c r="D35" s="211"/>
      <c r="E35" s="211"/>
      <c r="F35" s="250">
        <f>'数据-取费表'!B33</f>
        <v>0.03</v>
      </c>
      <c r="G35" s="210" t="s">
        <v>1525</v>
      </c>
    </row>
    <row r="36" spans="1:7" ht="24">
      <c r="A36" s="733" t="s">
        <v>352</v>
      </c>
      <c r="B36" s="206" t="s">
        <v>1526</v>
      </c>
      <c r="C36" s="211">
        <f ca="1">ROUND(IF(B1="",SUM('数据-取费表'!AP6:AP13)*F36,IF(INDIRECT("'数据-取费表'!c"&amp;$G$1)="住宅",INDIRECT("'数据-取费表'!k"&amp;$G$1)*INDIRECT("'数据-取费表'!l"&amp;$G$1)*F36,0)),0)</f>
        <v>0</v>
      </c>
      <c r="D36" s="211"/>
      <c r="E36" s="211"/>
      <c r="F36" s="250">
        <f>'数据-取费表'!B34</f>
        <v>0</v>
      </c>
      <c r="G36" s="251" t="s">
        <v>1527</v>
      </c>
    </row>
    <row r="37" spans="1:7" s="249" customFormat="1" ht="13.5" customHeight="1">
      <c r="A37" s="733" t="s">
        <v>353</v>
      </c>
      <c r="B37" s="206" t="s">
        <v>1528</v>
      </c>
      <c r="C37" s="240">
        <f ca="1">ROUND(E37*D37,0)</f>
        <v>1434082</v>
      </c>
      <c r="D37" s="208">
        <f ca="1">D19</f>
        <v>7170.4100000000008</v>
      </c>
      <c r="E37" s="240">
        <f>'数据-取费表'!B35</f>
        <v>200</v>
      </c>
      <c r="F37" s="250"/>
      <c r="G37" s="252"/>
    </row>
    <row r="38" spans="1:7" ht="13.5" customHeight="1">
      <c r="A38" s="733" t="s">
        <v>354</v>
      </c>
      <c r="B38" s="206" t="s">
        <v>1530</v>
      </c>
      <c r="C38" s="211">
        <f ca="1">ROUND(C34*F38,0)</f>
        <v>262886</v>
      </c>
      <c r="D38" s="211"/>
      <c r="E38" s="211"/>
      <c r="F38" s="250">
        <f>'数据-取费表'!B36</f>
        <v>1.4999999999999999E-2</v>
      </c>
      <c r="G38" s="210" t="s">
        <v>1525</v>
      </c>
    </row>
    <row r="39" spans="1:7" s="205" customFormat="1" ht="13.5" customHeight="1">
      <c r="A39" s="246" t="s">
        <v>1531</v>
      </c>
      <c r="B39" s="201" t="s">
        <v>1532</v>
      </c>
      <c r="C39" s="223">
        <f ca="1">ROUND(C33*F20,0)</f>
        <v>394969</v>
      </c>
      <c r="D39" s="223"/>
      <c r="E39" s="223"/>
      <c r="F39" s="224">
        <f>F20</f>
        <v>0.02</v>
      </c>
      <c r="G39" s="225" t="s">
        <v>1533</v>
      </c>
    </row>
    <row r="40" spans="1:7" s="205" customFormat="1" ht="13.5" customHeight="1">
      <c r="A40" s="246" t="s">
        <v>1534</v>
      </c>
      <c r="B40" s="201" t="s">
        <v>1535</v>
      </c>
      <c r="C40" s="226">
        <f>F21</f>
        <v>0.01</v>
      </c>
      <c r="D40" s="227" t="s">
        <v>1536</v>
      </c>
      <c r="E40" s="223"/>
      <c r="F40" s="224">
        <f>F21</f>
        <v>0.01</v>
      </c>
      <c r="G40" s="225" t="s">
        <v>1537</v>
      </c>
    </row>
    <row r="41" spans="1:7" s="205" customFormat="1" ht="13.5" customHeight="1">
      <c r="A41" s="246" t="s">
        <v>1538</v>
      </c>
      <c r="B41" s="201" t="s">
        <v>1539</v>
      </c>
      <c r="C41" s="223">
        <f ca="1">ROUND(SUM(C42:C43),0)</f>
        <v>347474</v>
      </c>
      <c r="D41" s="226">
        <f ca="1">C44</f>
        <v>2.0000000000000001E-4</v>
      </c>
      <c r="E41" s="227" t="s">
        <v>1536</v>
      </c>
      <c r="F41" s="228">
        <f ca="1">F22</f>
        <v>3.4500000000000003E-2</v>
      </c>
      <c r="G41" s="225" t="str">
        <f>IF('数据-取费表'!B22&lt;=1,"单利计息","复利计息")</f>
        <v>单利计息</v>
      </c>
    </row>
    <row r="42" spans="1:7" ht="13.5" customHeight="1">
      <c r="A42" s="733" t="s">
        <v>346</v>
      </c>
      <c r="B42" s="206" t="s">
        <v>1540</v>
      </c>
      <c r="C42" s="229">
        <f ca="1">ROUND(IF('数据-取费表'!B22&lt;=1,C33*F22*'数据-取费表'!B20/2,C33*(POWER((1+F22),'数据-取费表'!B20/2)-1)),0)</f>
        <v>340661</v>
      </c>
      <c r="D42" s="229"/>
      <c r="E42" s="229"/>
      <c r="F42" s="230"/>
      <c r="G42" s="3371" t="s">
        <v>1588</v>
      </c>
    </row>
    <row r="43" spans="1:7" ht="13.5" customHeight="1">
      <c r="A43" s="733" t="s">
        <v>347</v>
      </c>
      <c r="B43" s="206" t="s">
        <v>1542</v>
      </c>
      <c r="C43" s="229">
        <f ca="1">ROUND(IF('数据-取费表'!B22&lt;=1,C39*F22*'数据-取费表'!B20/2,C39*(POWER((1+F22),'数据-取费表'!B20/2)-1)),0)</f>
        <v>6813</v>
      </c>
      <c r="D43" s="229"/>
      <c r="E43" s="229"/>
      <c r="F43" s="230"/>
      <c r="G43" s="3372"/>
    </row>
    <row r="44" spans="1:7" ht="13.5" customHeight="1">
      <c r="A44" s="733" t="s">
        <v>348</v>
      </c>
      <c r="B44" s="206" t="s">
        <v>1543</v>
      </c>
      <c r="C44" s="229">
        <f ca="1">ROUND(IF('数据-取费表'!B22&lt;=1,C40*F22*'数据-取费表'!B20/2,C40*(POWER((1+F22),'数据-取费表'!B20/2)-1)),4)</f>
        <v>2.0000000000000001E-4</v>
      </c>
      <c r="D44" s="229"/>
      <c r="E44" s="229"/>
      <c r="F44" s="230"/>
      <c r="G44" s="3373"/>
    </row>
    <row r="45" spans="1:7" s="205" customFormat="1" ht="13.5" customHeight="1">
      <c r="A45" s="246" t="s">
        <v>1544</v>
      </c>
      <c r="B45" s="235" t="s">
        <v>1510</v>
      </c>
      <c r="C45" s="236">
        <f ca="1">C46</f>
        <v>1007171</v>
      </c>
      <c r="D45" s="226">
        <f ca="1">C47</f>
        <v>5.0000000000000001E-4</v>
      </c>
      <c r="E45" s="227" t="s">
        <v>1536</v>
      </c>
      <c r="F45" s="237">
        <f ca="1">F27</f>
        <v>0.05</v>
      </c>
      <c r="G45" s="238" t="s">
        <v>1545</v>
      </c>
    </row>
    <row r="46" spans="1:7" s="205" customFormat="1" ht="13.5" customHeight="1">
      <c r="A46" s="733" t="s">
        <v>346</v>
      </c>
      <c r="B46" s="239" t="s">
        <v>1546</v>
      </c>
      <c r="C46" s="240">
        <f ca="1">ROUND((C33+C39)*F27,0)</f>
        <v>1007171</v>
      </c>
      <c r="D46" s="254"/>
      <c r="E46" s="227"/>
      <c r="F46" s="237"/>
      <c r="G46" s="238"/>
    </row>
    <row r="47" spans="1:7" s="205" customFormat="1" ht="13.5" customHeight="1">
      <c r="A47" s="733" t="s">
        <v>347</v>
      </c>
      <c r="B47" s="239" t="s">
        <v>1547</v>
      </c>
      <c r="C47" s="229">
        <f ca="1">ROUND(C40*F27,4)</f>
        <v>5.0000000000000001E-4</v>
      </c>
      <c r="D47" s="254"/>
      <c r="E47" s="227"/>
      <c r="F47" s="237"/>
      <c r="G47" s="238"/>
    </row>
    <row r="48" spans="1:7" s="205" customFormat="1" ht="13.5" customHeight="1">
      <c r="A48" s="246" t="s">
        <v>1509</v>
      </c>
      <c r="B48" s="201" t="s">
        <v>1548</v>
      </c>
      <c r="C48" s="253">
        <f>ROUND(F30/(1+'数据-取费表'!C42),4)</f>
        <v>5.2400000000000002E-2</v>
      </c>
      <c r="D48" s="227" t="s">
        <v>1536</v>
      </c>
      <c r="E48" s="223"/>
      <c r="F48" s="228">
        <f>F30</f>
        <v>5.5000000000000007E-2</v>
      </c>
      <c r="G48" s="225" t="s">
        <v>1549</v>
      </c>
    </row>
    <row r="49" spans="1:7" ht="16.5" customHeight="1">
      <c r="A49" s="246" t="s">
        <v>1515</v>
      </c>
      <c r="B49" s="201" t="s">
        <v>1589</v>
      </c>
      <c r="C49" s="223">
        <f ca="1">ROUND((C33+C39+C41+C45)/(1-C40-D41-D45-C48),0)</f>
        <v>22945948</v>
      </c>
      <c r="D49" s="223"/>
      <c r="E49" s="223"/>
      <c r="F49" s="255"/>
      <c r="G49" s="225" t="s">
        <v>1551</v>
      </c>
    </row>
    <row r="50" spans="1:7" s="249" customFormat="1">
      <c r="A50" s="246" t="s">
        <v>1552</v>
      </c>
      <c r="B50" s="201" t="s">
        <v>1553</v>
      </c>
      <c r="C50" s="223"/>
      <c r="D50" s="223"/>
      <c r="E50" s="223"/>
      <c r="F50" s="255">
        <f>IF('数据-取费表'!B24=0,'数据-取费表'!N16,1)</f>
        <v>0.76</v>
      </c>
      <c r="G50" s="238"/>
    </row>
    <row r="51" spans="1:7" ht="16.5" customHeight="1">
      <c r="A51" s="246" t="s">
        <v>1555</v>
      </c>
      <c r="B51" s="201" t="s">
        <v>1590</v>
      </c>
      <c r="C51" s="223">
        <f ca="1">ROUND(C49*F50,0)</f>
        <v>17438920</v>
      </c>
      <c r="D51" s="223"/>
      <c r="E51" s="223"/>
      <c r="F51" s="255"/>
      <c r="G51" s="225" t="s">
        <v>1557</v>
      </c>
    </row>
    <row r="52" spans="1:7" s="199" customFormat="1" ht="16.5" thickBot="1">
      <c r="A52" s="256" t="s">
        <v>1558</v>
      </c>
      <c r="B52" s="257"/>
      <c r="C52" s="258">
        <f ca="1">C31+C51</f>
        <v>18708431</v>
      </c>
      <c r="D52" s="257"/>
      <c r="E52" s="257"/>
      <c r="F52" s="257"/>
      <c r="G52" s="259"/>
    </row>
    <row r="55" spans="1:7" ht="15">
      <c r="B55" s="261" t="s">
        <v>1559</v>
      </c>
      <c r="C55" s="262"/>
    </row>
    <row r="56" spans="1:7">
      <c r="B56" s="264" t="s">
        <v>802</v>
      </c>
      <c r="C56" s="266">
        <f ca="1">1-C57</f>
        <v>6.7999999999999949E-2</v>
      </c>
    </row>
    <row r="57" spans="1:7">
      <c r="B57" s="264" t="s">
        <v>803</v>
      </c>
      <c r="C57" s="265">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1591</v>
      </c>
      <c r="B1" s="120"/>
      <c r="C1" s="1109"/>
      <c r="D1" s="1108"/>
      <c r="E1" s="2564"/>
      <c r="F1" s="2564"/>
      <c r="G1" s="2445"/>
      <c r="H1" s="2564"/>
      <c r="I1" s="2564"/>
      <c r="J1" s="2564"/>
      <c r="K1" s="2565">
        <f>MATCH(C1,'数据-取费表'!A6:A16,0)+5</f>
        <v>8</v>
      </c>
    </row>
    <row r="2" spans="1:33" ht="18" customHeight="1">
      <c r="A2" s="192" t="s">
        <v>1459</v>
      </c>
      <c r="B2" s="195">
        <f ca="1">C32</f>
        <v>0</v>
      </c>
      <c r="C2" s="267" t="s">
        <v>1592</v>
      </c>
      <c r="D2" s="267"/>
      <c r="E2" s="2564"/>
      <c r="F2" s="2564"/>
      <c r="G2" s="2564"/>
      <c r="H2" s="2564"/>
      <c r="I2" s="2564"/>
      <c r="J2" s="2564"/>
      <c r="K2" s="2564"/>
    </row>
    <row r="3" spans="1:33" ht="18" customHeight="1" thickBot="1">
      <c r="A3" s="194" t="s">
        <v>1461</v>
      </c>
      <c r="B3" s="195">
        <f ca="1">ROUND(B2*10000/IF(C1="",'数据-汇总表'!E3,INDIRECT("'数据-取费表'!K"&amp;$K$1)),0)</f>
        <v>0</v>
      </c>
      <c r="C3" s="267" t="s">
        <v>1593</v>
      </c>
      <c r="D3" s="267"/>
      <c r="E3" s="2564"/>
      <c r="F3" s="2564"/>
      <c r="G3" s="2564"/>
      <c r="H3" s="2564"/>
      <c r="I3" s="2564"/>
      <c r="J3" s="2564"/>
      <c r="K3" s="2564"/>
    </row>
    <row r="4" spans="1:33" s="738" customFormat="1" ht="16.5" customHeight="1">
      <c r="A4" s="735" t="s">
        <v>1594</v>
      </c>
      <c r="B4" s="736"/>
      <c r="C4" s="774">
        <f>SUM(C8:K8)</f>
        <v>0</v>
      </c>
      <c r="D4" s="736"/>
      <c r="E4" s="736"/>
      <c r="F4" s="736"/>
      <c r="G4" s="736"/>
      <c r="H4" s="736"/>
      <c r="I4" s="736"/>
      <c r="J4" s="736"/>
      <c r="K4" s="737"/>
    </row>
    <row r="5" spans="1:33" s="742" customFormat="1" ht="15">
      <c r="A5" s="739" t="s">
        <v>1595</v>
      </c>
      <c r="B5" s="740" t="s">
        <v>1596</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1597</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1598</v>
      </c>
      <c r="B7" s="122" t="s">
        <v>1599</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1600</v>
      </c>
      <c r="B8" s="155" t="s">
        <v>1601</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1602</v>
      </c>
      <c r="B9" s="736"/>
      <c r="C9" s="736"/>
      <c r="D9" s="736"/>
      <c r="E9" s="736"/>
      <c r="F9" s="736"/>
      <c r="G9" s="736"/>
      <c r="H9" s="736"/>
      <c r="I9" s="736"/>
      <c r="J9" s="736"/>
      <c r="K9" s="737"/>
    </row>
    <row r="10" spans="1:33" s="750" customFormat="1" ht="13.5" customHeight="1">
      <c r="A10" s="739" t="s">
        <v>1603</v>
      </c>
      <c r="B10" s="5" t="s">
        <v>1604</v>
      </c>
      <c r="C10" s="746" t="s">
        <v>1605</v>
      </c>
      <c r="D10" s="747" t="s">
        <v>1606</v>
      </c>
      <c r="E10" s="747" t="s">
        <v>1607</v>
      </c>
      <c r="F10" s="747" t="s">
        <v>1608</v>
      </c>
      <c r="G10" s="5"/>
      <c r="H10" s="748"/>
      <c r="I10" s="748"/>
      <c r="J10" s="748"/>
      <c r="K10" s="749"/>
    </row>
    <row r="11" spans="1:33" s="754" customFormat="1" ht="13.5" customHeight="1">
      <c r="A11" s="751" t="s">
        <v>635</v>
      </c>
      <c r="B11" s="752" t="s">
        <v>1609</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1610</v>
      </c>
      <c r="C12" s="21">
        <f ca="1">ROUND(C11*F12,0)</f>
        <v>0</v>
      </c>
      <c r="D12" s="753"/>
      <c r="E12" s="137"/>
      <c r="F12" s="763">
        <f>'数据-取费表'!B33</f>
        <v>0.03</v>
      </c>
      <c r="G12" s="5" t="s">
        <v>1611</v>
      </c>
      <c r="H12" s="748"/>
      <c r="I12" s="748"/>
      <c r="J12" s="748"/>
      <c r="K12" s="749"/>
    </row>
    <row r="13" spans="1:33" s="754" customFormat="1" ht="13.5" customHeight="1">
      <c r="A13" s="751" t="s">
        <v>637</v>
      </c>
      <c r="B13" s="752" t="s">
        <v>1612</v>
      </c>
      <c r="C13" s="21">
        <f ca="1">ROUND(IF(C1="",SUMIF('数据-取费表'!C:C,"住宅",'数据-取费表'!P:P)*F13,IF(INDIRECT("'数据-取费表'!c"&amp;$K$1)="住宅",INDIRECT("'数据-取费表'!P"&amp;$K$1)*F13,0)),0)</f>
        <v>0</v>
      </c>
      <c r="D13" s="795"/>
      <c r="E13" s="137"/>
      <c r="F13" s="763">
        <f>'数据-取费表'!B34</f>
        <v>0</v>
      </c>
      <c r="G13" s="5" t="s">
        <v>1613</v>
      </c>
      <c r="H13" s="748"/>
      <c r="I13" s="748"/>
      <c r="J13" s="748"/>
      <c r="K13" s="749"/>
    </row>
    <row r="14" spans="1:33" s="756" customFormat="1" ht="13.5" customHeight="1">
      <c r="A14" s="751" t="s">
        <v>638</v>
      </c>
      <c r="B14" s="752" t="s">
        <v>1614</v>
      </c>
      <c r="C14" s="21">
        <f ca="1">ROUND(D14*E14*F11/10000,0)</f>
        <v>0</v>
      </c>
      <c r="D14" s="795">
        <f ca="1">IF(C1="",'数据-汇总表'!E3,INDIRECT("'数据-取费表'!K"&amp;$K$1)+INDIRECT("'数据-取费表'!S"&amp;$K$1))</f>
        <v>7170.4100000000008</v>
      </c>
      <c r="E14" s="21">
        <f>'数据-取费表'!B35</f>
        <v>200</v>
      </c>
      <c r="F14" s="755"/>
      <c r="G14" s="5" t="s">
        <v>1615</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1616</v>
      </c>
      <c r="C15" s="762">
        <f ca="1">ROUND(C11*F15,0)</f>
        <v>0</v>
      </c>
      <c r="D15" s="757"/>
      <c r="E15" s="762"/>
      <c r="F15" s="763">
        <f>'数据-取费表'!B36</f>
        <v>1.4999999999999999E-2</v>
      </c>
      <c r="G15" s="122" t="s">
        <v>1617</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1618</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1619</v>
      </c>
      <c r="C17" s="21">
        <f ca="1">ROUND(D17*E17/10000,0)</f>
        <v>0</v>
      </c>
      <c r="D17" s="795">
        <f ca="1">D14</f>
        <v>7170.4100000000008</v>
      </c>
      <c r="E17" s="21">
        <f>'数据-取费表'!B32</f>
        <v>0</v>
      </c>
      <c r="F17" s="757"/>
      <c r="G17" s="122" t="s">
        <v>1620</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1621</v>
      </c>
      <c r="C18" s="21">
        <f ca="1">C19+C20-IF(C1="",'数据-取费表'!B29,IF(G18="已全部缴纳",C19+C20,H18))</f>
        <v>0</v>
      </c>
      <c r="D18" s="795"/>
      <c r="E18" s="21"/>
      <c r="F18" s="755"/>
      <c r="G18" s="1719"/>
      <c r="H18" s="1105"/>
      <c r="I18" s="1720" t="s">
        <v>1622</v>
      </c>
      <c r="J18" s="758"/>
      <c r="K18" s="759"/>
    </row>
    <row r="19" spans="1:33" s="754" customFormat="1" ht="13.5" customHeight="1">
      <c r="A19" s="751" t="s">
        <v>360</v>
      </c>
      <c r="B19" s="752" t="s">
        <v>1623</v>
      </c>
      <c r="C19" s="21">
        <f ca="1">ROUND(D19*E19/10000,0)</f>
        <v>0</v>
      </c>
      <c r="D19" s="795">
        <f ca="1">IF(C1="",'数据-汇总表'!E5,IF(INDIRECT("'数据-取费表'!c"&amp;$K$1)="住宅",INDIRECT("'数据-取费表'!k"&amp;$K$1),0))</f>
        <v>0</v>
      </c>
      <c r="E19" s="21">
        <f>'数据-取费表'!B27</f>
        <v>100</v>
      </c>
      <c r="F19" s="755"/>
      <c r="G19" s="12"/>
      <c r="H19" s="1107"/>
      <c r="I19" s="760"/>
      <c r="J19" s="760"/>
      <c r="K19" s="761"/>
    </row>
    <row r="20" spans="1:33" s="754" customFormat="1" ht="13.5" customHeight="1">
      <c r="A20" s="751" t="s">
        <v>361</v>
      </c>
      <c r="B20" s="752" t="s">
        <v>1624</v>
      </c>
      <c r="C20" s="21">
        <f ca="1">ROUND(D20*E20/10000,0)</f>
        <v>108</v>
      </c>
      <c r="D20" s="795">
        <f ca="1">IF(C1="",'数据-汇总表'!E6,IF(INDIRECT("'数据-取费表'!c"&amp;$K$1)="住宅",INDIRECT("'数据-取费表'!s"&amp;$K$1),INDIRECT("'数据-取费表'!k"&amp;$K$1)+INDIRECT("'数据-取费表'!s"&amp;$K$1)))</f>
        <v>7170.4100000000008</v>
      </c>
      <c r="E20" s="21">
        <f>'数据-取费表'!B28</f>
        <v>150</v>
      </c>
      <c r="F20" s="755"/>
      <c r="G20" s="12"/>
      <c r="H20" s="760"/>
      <c r="I20" s="760"/>
      <c r="J20" s="760"/>
      <c r="K20" s="761"/>
    </row>
    <row r="21" spans="1:33" s="754" customFormat="1" ht="13.5" customHeight="1">
      <c r="A21" s="743" t="s">
        <v>357</v>
      </c>
      <c r="B21" s="764" t="s">
        <v>1625</v>
      </c>
      <c r="C21" s="765">
        <f ca="1">C16+C17+C18</f>
        <v>0</v>
      </c>
      <c r="D21" s="766"/>
      <c r="E21" s="272"/>
      <c r="F21" s="272"/>
      <c r="G21" s="122" t="s">
        <v>1626</v>
      </c>
      <c r="H21" s="758"/>
      <c r="I21" s="758"/>
      <c r="J21" s="758"/>
      <c r="K21" s="759"/>
    </row>
    <row r="22" spans="1:33" s="754" customFormat="1" ht="13.5" customHeight="1">
      <c r="A22" s="743" t="s">
        <v>1598</v>
      </c>
      <c r="B22" s="764" t="s">
        <v>1627</v>
      </c>
      <c r="C22" s="765">
        <f ca="1">ROUND(C21*F22,0)</f>
        <v>0</v>
      </c>
      <c r="D22" s="272"/>
      <c r="E22" s="272"/>
      <c r="F22" s="767">
        <f>'数据-取费表'!B37</f>
        <v>0.02</v>
      </c>
      <c r="G22" s="5" t="s">
        <v>1628</v>
      </c>
      <c r="H22" s="748"/>
      <c r="I22" s="748"/>
      <c r="J22" s="748"/>
      <c r="K22" s="749"/>
    </row>
    <row r="23" spans="1:33" s="754" customFormat="1" ht="13.5" customHeight="1">
      <c r="A23" s="743" t="s">
        <v>1600</v>
      </c>
      <c r="B23" s="764" t="s">
        <v>1629</v>
      </c>
      <c r="C23" s="765">
        <f ca="1">ROUND(C4*F23*F11,0)</f>
        <v>0</v>
      </c>
      <c r="D23" s="272"/>
      <c r="E23" s="272"/>
      <c r="F23" s="767">
        <f>'数据-取费表'!B38</f>
        <v>0.01</v>
      </c>
      <c r="G23" s="5" t="s">
        <v>1630</v>
      </c>
      <c r="H23" s="748"/>
      <c r="I23" s="748"/>
      <c r="J23" s="748"/>
      <c r="K23" s="749"/>
    </row>
    <row r="24" spans="1:33" s="754" customFormat="1" ht="13.5" customHeight="1">
      <c r="A24" s="743" t="s">
        <v>1631</v>
      </c>
      <c r="B24" s="764" t="s">
        <v>1632</v>
      </c>
      <c r="C24" s="271">
        <f>ROUND(F24/(1+'数据-取费表'!C42),4)</f>
        <v>2.9000000000000001E-2</v>
      </c>
      <c r="D24" s="272" t="s">
        <v>12</v>
      </c>
      <c r="E24" s="272"/>
      <c r="F24" s="767">
        <f>IF(项目基本情况!B8="出让",0,'数据-取费表'!B48+'数据-取费表'!B49)</f>
        <v>3.0499999999999999E-2</v>
      </c>
      <c r="G24" s="5" t="s">
        <v>1633</v>
      </c>
      <c r="H24" s="769"/>
      <c r="I24" s="769"/>
      <c r="J24" s="769"/>
      <c r="K24" s="55"/>
    </row>
    <row r="25" spans="1:33" s="754" customFormat="1" ht="13.5" customHeight="1">
      <c r="A25" s="743" t="s">
        <v>1634</v>
      </c>
      <c r="B25" s="766" t="s">
        <v>1635</v>
      </c>
      <c r="C25" s="1042">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1636</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1637</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1638</v>
      </c>
      <c r="B28" s="1722" t="s">
        <v>1639</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1640</v>
      </c>
      <c r="C29" s="275">
        <f ca="1">ROUND((1+C24)*F28*'数据-取费表'!B24/'数据-取费表'!B20,4)</f>
        <v>0</v>
      </c>
      <c r="D29" s="275"/>
      <c r="E29" s="276"/>
      <c r="F29" s="281"/>
      <c r="G29" s="122" t="s">
        <v>1641</v>
      </c>
      <c r="H29" s="758"/>
      <c r="I29" s="758"/>
      <c r="J29" s="758"/>
      <c r="K29" s="759"/>
    </row>
    <row r="30" spans="1:33" s="282" customFormat="1" ht="13.5" customHeight="1">
      <c r="A30" s="751" t="s">
        <v>359</v>
      </c>
      <c r="B30" s="772" t="s">
        <v>1642</v>
      </c>
      <c r="C30" s="283">
        <f ca="1">ROUND((C21+C22+C23)*F28,0)</f>
        <v>0</v>
      </c>
      <c r="D30" s="275"/>
      <c r="E30" s="276"/>
      <c r="F30" s="281"/>
      <c r="G30" s="122"/>
      <c r="H30" s="758"/>
      <c r="I30" s="758"/>
      <c r="J30" s="758"/>
      <c r="K30" s="759"/>
    </row>
    <row r="31" spans="1:33" s="754" customFormat="1" ht="13.5" customHeight="1" thickBot="1">
      <c r="A31" s="1723" t="s">
        <v>1643</v>
      </c>
      <c r="B31" s="782" t="s">
        <v>1644</v>
      </c>
      <c r="C31" s="783">
        <f>ROUND(C4*F31/(1+'数据-取费表'!C42),0)</f>
        <v>0</v>
      </c>
      <c r="D31" s="784"/>
      <c r="E31" s="785"/>
      <c r="F31" s="786">
        <f>'数据-取费表'!B41</f>
        <v>5.5000000000000007E-2</v>
      </c>
      <c r="G31" s="787" t="s">
        <v>1645</v>
      </c>
      <c r="H31" s="788"/>
      <c r="I31" s="788"/>
      <c r="J31" s="788"/>
      <c r="K31" s="789"/>
    </row>
    <row r="32" spans="1:33" s="750" customFormat="1" ht="13.5" customHeight="1" thickBot="1">
      <c r="A32" s="448" t="s">
        <v>1646</v>
      </c>
      <c r="B32" s="778"/>
      <c r="C32" s="779">
        <f ca="1">ROUND((C4-C21-C22-C23-C25-C28-C31)/(1+C24+D25+D28),0)</f>
        <v>0</v>
      </c>
      <c r="D32" s="778"/>
      <c r="E32" s="778"/>
      <c r="F32" s="778"/>
      <c r="G32" s="780" t="s">
        <v>1647</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Normal="100" workbookViewId="0">
      <selection activeCell="C34" sqref="C34"/>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2435</v>
      </c>
      <c r="B1" s="2580"/>
      <c r="C1" s="2592"/>
      <c r="D1" s="2592"/>
      <c r="E1" s="2581"/>
      <c r="F1" s="2582"/>
      <c r="G1" s="2583"/>
      <c r="J1" s="2586" t="s">
        <v>2315</v>
      </c>
      <c r="K1" s="2587"/>
      <c r="L1" s="2587"/>
      <c r="M1" s="2587"/>
      <c r="N1" s="2587"/>
      <c r="O1" s="2587"/>
      <c r="P1" s="2587"/>
      <c r="Q1" s="2587"/>
      <c r="R1" s="2588"/>
      <c r="S1" s="2589"/>
      <c r="T1" s="2589"/>
      <c r="U1" s="2589"/>
    </row>
    <row r="2" spans="1:22" s="2601" customFormat="1" ht="13.15" customHeight="1">
      <c r="A2" s="1292" t="s">
        <v>2316</v>
      </c>
      <c r="B2" s="2591" t="e">
        <f ca="1">IF(D2="——",C40,C40+E2)</f>
        <v>#VALUE!</v>
      </c>
      <c r="C2" s="2592" t="s">
        <v>2317</v>
      </c>
      <c r="D2" s="3135" t="s">
        <v>3357</v>
      </c>
      <c r="E2" s="3136" t="e">
        <f ca="1">'收益法-残值'!L46</f>
        <v>#N/A</v>
      </c>
      <c r="F2" s="2594"/>
      <c r="G2" s="2595"/>
      <c r="H2" s="2596"/>
      <c r="I2" s="2597"/>
      <c r="J2" s="3461" t="s">
        <v>2318</v>
      </c>
      <c r="K2" s="3462"/>
      <c r="L2" s="2598" t="s">
        <v>2319</v>
      </c>
      <c r="M2" s="2598" t="s">
        <v>2320</v>
      </c>
      <c r="N2" s="2598" t="s">
        <v>2321</v>
      </c>
      <c r="O2" s="2598" t="s">
        <v>2322</v>
      </c>
      <c r="P2" s="2598" t="s">
        <v>2323</v>
      </c>
      <c r="Q2" s="2599" t="s">
        <v>2324</v>
      </c>
      <c r="R2" s="2600" t="s">
        <v>2325</v>
      </c>
      <c r="S2" s="2589"/>
      <c r="T2" s="2589"/>
      <c r="U2" s="2589"/>
      <c r="V2" s="2597"/>
    </row>
    <row r="3" spans="1:22" s="2601" customFormat="1" ht="13.15" customHeight="1">
      <c r="A3" s="2602" t="s">
        <v>2326</v>
      </c>
      <c r="B3" s="2603" t="e">
        <f ca="1">ROUND(B2*10000/B4,0)</f>
        <v>#VALUE!</v>
      </c>
      <c r="C3" s="2592" t="s">
        <v>2327</v>
      </c>
      <c r="D3" s="2592"/>
      <c r="E3" s="2593"/>
      <c r="F3" s="2594"/>
      <c r="G3" s="2595"/>
      <c r="H3" s="2596"/>
      <c r="I3" s="2597"/>
      <c r="J3" s="3463" t="s">
        <v>2328</v>
      </c>
      <c r="K3" s="3464"/>
      <c r="L3" s="2604">
        <f>B4</f>
        <v>1591.64</v>
      </c>
      <c r="M3" s="2604"/>
      <c r="N3" s="2604"/>
      <c r="O3" s="2604"/>
      <c r="P3" s="2604"/>
      <c r="Q3" s="2605"/>
      <c r="R3" s="2606">
        <f>SUM(L3:Q3)</f>
        <v>1591.64</v>
      </c>
      <c r="S3" s="2589"/>
      <c r="T3" s="2589"/>
      <c r="U3" s="2589"/>
      <c r="V3" s="2597"/>
    </row>
    <row r="4" spans="1:22" s="2601" customFormat="1" ht="13.15" customHeight="1">
      <c r="A4" s="2607" t="s">
        <v>2329</v>
      </c>
      <c r="B4" s="2608">
        <f>'数据-汇总表'!F20</f>
        <v>1591.64</v>
      </c>
      <c r="C4" s="2592"/>
      <c r="D4" s="2592"/>
      <c r="E4" s="2593"/>
      <c r="F4" s="2594"/>
      <c r="G4" s="2595"/>
      <c r="H4" s="2596"/>
      <c r="I4" s="2597"/>
      <c r="J4" s="3463" t="s">
        <v>2330</v>
      </c>
      <c r="K4" s="3464"/>
      <c r="L4" s="2609"/>
      <c r="M4" s="2609"/>
      <c r="N4" s="2609"/>
      <c r="O4" s="2609"/>
      <c r="P4" s="2609"/>
      <c r="Q4" s="2610"/>
      <c r="R4" s="2611">
        <f>SUM(L4:Q4)</f>
        <v>0</v>
      </c>
      <c r="S4" s="2589"/>
      <c r="T4" s="2589"/>
      <c r="U4" s="2589"/>
      <c r="V4" s="2597"/>
    </row>
    <row r="5" spans="1:22" s="2601" customFormat="1" ht="13.15" customHeight="1" thickBot="1">
      <c r="A5" s="2612" t="s">
        <v>2331</v>
      </c>
      <c r="B5" s="2613"/>
      <c r="C5" s="2592"/>
      <c r="D5" s="2614"/>
      <c r="E5" s="2594"/>
      <c r="F5" s="2594"/>
      <c r="G5" s="2595"/>
      <c r="H5" s="2596"/>
      <c r="I5" s="2597"/>
      <c r="J5" s="2615" t="s">
        <v>2332</v>
      </c>
      <c r="K5" s="2616"/>
      <c r="L5" s="2616"/>
      <c r="M5" s="2617"/>
      <c r="N5" s="2617"/>
      <c r="O5" s="2617"/>
      <c r="P5" s="2617"/>
      <c r="Q5" s="2617"/>
      <c r="R5" s="2600">
        <f>SUM(R14,R19,R24,R25,R27,R28)</f>
        <v>58</v>
      </c>
      <c r="S5" s="2589"/>
      <c r="T5" s="2589" t="s">
        <v>2333</v>
      </c>
      <c r="U5" s="2589">
        <f>ROUND(R5*10000/365/R3,1)</f>
        <v>1</v>
      </c>
      <c r="V5" s="2597"/>
    </row>
    <row r="6" spans="1:22" s="2601" customFormat="1" ht="13.15" customHeight="1" thickBot="1">
      <c r="A6" s="3465" t="s">
        <v>2334</v>
      </c>
      <c r="B6" s="3466"/>
      <c r="C6" s="3467"/>
      <c r="D6" s="2618">
        <f>R5</f>
        <v>58</v>
      </c>
      <c r="E6" s="2619"/>
      <c r="F6" s="2620"/>
      <c r="G6" s="2621"/>
      <c r="H6" s="2596"/>
      <c r="I6" s="2597"/>
      <c r="J6" s="3468">
        <v>1</v>
      </c>
      <c r="K6" s="3469" t="s">
        <v>2335</v>
      </c>
      <c r="L6" s="2622" t="s">
        <v>2336</v>
      </c>
      <c r="M6" s="2623" t="s">
        <v>2337</v>
      </c>
      <c r="N6" s="2623" t="s">
        <v>2338</v>
      </c>
      <c r="O6" s="2623" t="s">
        <v>2339</v>
      </c>
      <c r="P6" s="2623" t="s">
        <v>2340</v>
      </c>
      <c r="Q6" s="2623" t="s">
        <v>2341</v>
      </c>
      <c r="R6" s="2606" t="s">
        <v>2342</v>
      </c>
      <c r="S6" s="2589"/>
      <c r="T6" s="2589" t="s">
        <v>2343</v>
      </c>
      <c r="U6" s="2589"/>
      <c r="V6" s="2597"/>
    </row>
    <row r="7" spans="1:22" s="2601" customFormat="1" ht="13.15" customHeight="1">
      <c r="A7" s="2624" t="s">
        <v>2344</v>
      </c>
      <c r="B7" s="2625"/>
      <c r="C7" s="2626"/>
      <c r="D7" s="2627">
        <f ca="1">SUM(D9,D10,D11,D17,0)</f>
        <v>49</v>
      </c>
      <c r="E7" s="2628">
        <f ca="1">E9+E10+E11+E17</f>
        <v>0.82931034482758614</v>
      </c>
      <c r="F7" s="2629"/>
      <c r="G7" s="2630"/>
      <c r="H7" s="2596"/>
      <c r="I7" s="2597"/>
      <c r="J7" s="3468"/>
      <c r="K7" s="3470"/>
      <c r="L7" s="2631" t="s">
        <v>2345</v>
      </c>
      <c r="M7" s="2632">
        <v>16</v>
      </c>
      <c r="N7" s="2608">
        <v>120</v>
      </c>
      <c r="O7" s="2633">
        <v>0.98</v>
      </c>
      <c r="P7" s="2633">
        <v>0.85</v>
      </c>
      <c r="Q7" s="2634">
        <v>365</v>
      </c>
      <c r="R7" s="2635">
        <f>ROUND(M7*N7*O7*P7*Q7/10000,0)</f>
        <v>58</v>
      </c>
      <c r="S7" s="2589"/>
      <c r="T7" s="2589" t="s">
        <v>2346</v>
      </c>
      <c r="U7" s="2589"/>
      <c r="V7" s="2597"/>
    </row>
    <row r="8" spans="1:22" s="2601" customFormat="1" ht="13.15" customHeight="1">
      <c r="A8" s="2636" t="s">
        <v>2347</v>
      </c>
      <c r="B8" s="3472" t="s">
        <v>2348</v>
      </c>
      <c r="C8" s="3473"/>
      <c r="D8" s="2637" t="s">
        <v>2349</v>
      </c>
      <c r="E8" s="2638" t="s">
        <v>2350</v>
      </c>
      <c r="F8" s="2639" t="s">
        <v>2351</v>
      </c>
      <c r="G8" s="2640"/>
      <c r="H8" s="2596"/>
      <c r="I8" s="2597"/>
      <c r="J8" s="3468"/>
      <c r="K8" s="3470"/>
      <c r="L8" s="2631" t="s">
        <v>2352</v>
      </c>
      <c r="M8" s="2632"/>
      <c r="N8" s="2608"/>
      <c r="O8" s="2633"/>
      <c r="P8" s="2633"/>
      <c r="Q8" s="2634">
        <v>365</v>
      </c>
      <c r="R8" s="2635">
        <f t="shared" ref="R8:R13" si="0">ROUND(M8*N8*O8*P8*Q8/10000,0)</f>
        <v>0</v>
      </c>
      <c r="S8" s="2589"/>
      <c r="T8" s="2589" t="s">
        <v>2353</v>
      </c>
      <c r="U8" s="2589">
        <v>2</v>
      </c>
      <c r="V8" s="2597"/>
    </row>
    <row r="9" spans="1:22" s="2601" customFormat="1" ht="13.15" customHeight="1">
      <c r="A9" s="2636">
        <v>1</v>
      </c>
      <c r="B9" s="3472" t="s">
        <v>2354</v>
      </c>
      <c r="C9" s="3473"/>
      <c r="D9" s="2637">
        <f>ROUND(D6*E9,0)</f>
        <v>12</v>
      </c>
      <c r="E9" s="2641">
        <v>0.2</v>
      </c>
      <c r="F9" s="2642" t="s">
        <v>2355</v>
      </c>
      <c r="G9" s="2621"/>
      <c r="H9" s="2596"/>
      <c r="I9" s="2597"/>
      <c r="J9" s="3468"/>
      <c r="K9" s="3470"/>
      <c r="L9" s="2631" t="s">
        <v>2356</v>
      </c>
      <c r="M9" s="2632"/>
      <c r="N9" s="2608"/>
      <c r="O9" s="2633"/>
      <c r="P9" s="2633"/>
      <c r="Q9" s="2634">
        <v>365</v>
      </c>
      <c r="R9" s="2635">
        <f t="shared" si="0"/>
        <v>0</v>
      </c>
      <c r="S9" s="2589"/>
      <c r="T9" s="2589"/>
      <c r="U9" s="2589"/>
      <c r="V9" s="2597"/>
    </row>
    <row r="10" spans="1:22" s="2601" customFormat="1" ht="13.15" customHeight="1">
      <c r="A10" s="2636">
        <v>2</v>
      </c>
      <c r="B10" s="3472" t="s">
        <v>2357</v>
      </c>
      <c r="C10" s="3473"/>
      <c r="D10" s="2637">
        <f>ROUND(D6*E10,0)</f>
        <v>9</v>
      </c>
      <c r="E10" s="2641">
        <v>0.15</v>
      </c>
      <c r="F10" s="2642" t="s">
        <v>2358</v>
      </c>
      <c r="G10" s="2621"/>
      <c r="H10" s="2596"/>
      <c r="I10" s="2597"/>
      <c r="J10" s="3468"/>
      <c r="K10" s="3470"/>
      <c r="L10" s="2631" t="s">
        <v>2359</v>
      </c>
      <c r="M10" s="2632"/>
      <c r="N10" s="2608"/>
      <c r="O10" s="2633"/>
      <c r="P10" s="2633"/>
      <c r="Q10" s="2634">
        <v>365</v>
      </c>
      <c r="R10" s="2635">
        <f t="shared" si="0"/>
        <v>0</v>
      </c>
      <c r="S10" s="2589"/>
      <c r="T10" s="2589"/>
      <c r="U10" s="2589"/>
      <c r="V10" s="2597"/>
    </row>
    <row r="11" spans="1:22" s="2601" customFormat="1" ht="13.15" customHeight="1">
      <c r="A11" s="2636">
        <v>3</v>
      </c>
      <c r="B11" s="3472" t="s">
        <v>2360</v>
      </c>
      <c r="C11" s="3473"/>
      <c r="D11" s="2637">
        <f ca="1">D12+D14+D15+D16</f>
        <v>22</v>
      </c>
      <c r="E11" s="2643">
        <f ca="1">D11/D6</f>
        <v>0.37931034482758619</v>
      </c>
      <c r="F11" s="2639"/>
      <c r="G11" s="2640"/>
      <c r="H11" s="2596"/>
      <c r="I11" s="2597"/>
      <c r="J11" s="3468"/>
      <c r="K11" s="3470"/>
      <c r="L11" s="2631" t="s">
        <v>2361</v>
      </c>
      <c r="M11" s="2632"/>
      <c r="N11" s="2608"/>
      <c r="O11" s="2633"/>
      <c r="P11" s="2633"/>
      <c r="Q11" s="2634">
        <v>365</v>
      </c>
      <c r="R11" s="2635">
        <f t="shared" si="0"/>
        <v>0</v>
      </c>
      <c r="S11" s="2589"/>
      <c r="T11" s="2589"/>
      <c r="U11" s="2589"/>
      <c r="V11" s="2597"/>
    </row>
    <row r="12" spans="1:22" s="2601" customFormat="1" ht="13.15" customHeight="1">
      <c r="A12" s="2644" t="s">
        <v>2362</v>
      </c>
      <c r="B12" s="3474" t="s">
        <v>2363</v>
      </c>
      <c r="C12" s="3475"/>
      <c r="D12" s="2645">
        <f ca="1">ROUND(D13*1.2%*(1-30%),0)</f>
        <v>19</v>
      </c>
      <c r="E12" s="2646">
        <v>1.2E-2</v>
      </c>
      <c r="F12" s="2639" t="s">
        <v>2364</v>
      </c>
      <c r="G12" s="2640"/>
      <c r="H12" s="2596"/>
      <c r="I12" s="2597"/>
      <c r="J12" s="3468"/>
      <c r="K12" s="3470"/>
      <c r="L12" s="2631" t="s">
        <v>2365</v>
      </c>
      <c r="M12" s="2632"/>
      <c r="N12" s="2608"/>
      <c r="O12" s="2633"/>
      <c r="P12" s="2633"/>
      <c r="Q12" s="2634">
        <v>365</v>
      </c>
      <c r="R12" s="2635">
        <f t="shared" si="0"/>
        <v>0</v>
      </c>
      <c r="S12" s="2589"/>
      <c r="T12" s="2589"/>
      <c r="U12" s="2589"/>
      <c r="V12" s="2597"/>
    </row>
    <row r="13" spans="1:22" s="2601" customFormat="1" ht="13.15" customHeight="1">
      <c r="A13" s="2644"/>
      <c r="B13" s="2647"/>
      <c r="C13" s="2648" t="s">
        <v>2366</v>
      </c>
      <c r="D13" s="2649">
        <f ca="1">成本法!C49</f>
        <v>2294</v>
      </c>
      <c r="E13" s="2650"/>
      <c r="F13" s="2639"/>
      <c r="G13" s="2640"/>
      <c r="H13" s="2596"/>
      <c r="I13" s="2597"/>
      <c r="J13" s="3468"/>
      <c r="K13" s="3470"/>
      <c r="L13" s="2631" t="s">
        <v>2367</v>
      </c>
      <c r="M13" s="2632"/>
      <c r="N13" s="2608"/>
      <c r="O13" s="2633"/>
      <c r="P13" s="2633"/>
      <c r="Q13" s="2634">
        <v>365</v>
      </c>
      <c r="R13" s="2635">
        <f t="shared" si="0"/>
        <v>0</v>
      </c>
      <c r="S13" s="2589"/>
      <c r="T13" s="2589"/>
      <c r="U13" s="2589"/>
      <c r="V13" s="2597"/>
    </row>
    <row r="14" spans="1:22" s="2601" customFormat="1" ht="13.15" customHeight="1">
      <c r="A14" s="2644" t="s">
        <v>2368</v>
      </c>
      <c r="B14" s="3474" t="s">
        <v>2369</v>
      </c>
      <c r="C14" s="3475"/>
      <c r="D14" s="2645">
        <f>ROUND(E14*B5/10000,0)</f>
        <v>0</v>
      </c>
      <c r="E14" s="2634">
        <f>'数据-取费表'!B59</f>
        <v>1.5</v>
      </c>
      <c r="F14" s="2639" t="s">
        <v>2370</v>
      </c>
      <c r="G14" s="2640"/>
      <c r="H14" s="2596"/>
      <c r="I14" s="2597"/>
      <c r="J14" s="3468"/>
      <c r="K14" s="3471"/>
      <c r="L14" s="2651" t="s">
        <v>2371</v>
      </c>
      <c r="M14" s="2652">
        <f>SUM(M7:M13)</f>
        <v>16</v>
      </c>
      <c r="N14" s="2652">
        <f>ROUND((N7*M7+N8*M8+N9*M9+N10*M10+N11*M11+N12*M12+N13*M13)/M14,0)</f>
        <v>120</v>
      </c>
      <c r="O14" s="2653"/>
      <c r="P14" s="2653"/>
      <c r="Q14" s="2654"/>
      <c r="R14" s="2600">
        <f>SUM(R7:R13)</f>
        <v>58</v>
      </c>
      <c r="S14" s="2589"/>
      <c r="T14" s="2589"/>
      <c r="U14" s="2589"/>
      <c r="V14" s="2597"/>
    </row>
    <row r="15" spans="1:22" s="2601" customFormat="1" ht="13.15" customHeight="1">
      <c r="A15" s="2644" t="s">
        <v>2372</v>
      </c>
      <c r="B15" s="3474" t="s">
        <v>2373</v>
      </c>
      <c r="C15" s="3475"/>
      <c r="D15" s="2645">
        <f>ROUND(D6*E15,0)</f>
        <v>3</v>
      </c>
      <c r="E15" s="2646">
        <v>5.5E-2</v>
      </c>
      <c r="F15" s="2639" t="s">
        <v>2374</v>
      </c>
      <c r="G15" s="2621"/>
      <c r="H15" s="2596"/>
      <c r="I15" s="2597"/>
      <c r="J15" s="3468">
        <v>2</v>
      </c>
      <c r="K15" s="3469" t="s">
        <v>2375</v>
      </c>
      <c r="L15" s="2631" t="s">
        <v>2376</v>
      </c>
      <c r="M15" s="2632" t="s">
        <v>2377</v>
      </c>
      <c r="N15" s="2632" t="s">
        <v>2378</v>
      </c>
      <c r="O15" s="2633" t="s">
        <v>2379</v>
      </c>
      <c r="P15" s="2633" t="s">
        <v>2341</v>
      </c>
      <c r="Q15" s="2608" t="s">
        <v>2380</v>
      </c>
      <c r="R15" s="2655" t="s">
        <v>2342</v>
      </c>
      <c r="S15" s="2589"/>
      <c r="T15" s="2589"/>
      <c r="U15" s="2589"/>
      <c r="V15" s="2597"/>
    </row>
    <row r="16" spans="1:22" s="2601" customFormat="1" ht="13.15" customHeight="1">
      <c r="A16" s="2644" t="s">
        <v>2381</v>
      </c>
      <c r="B16" s="3474" t="s">
        <v>2382</v>
      </c>
      <c r="C16" s="3475"/>
      <c r="D16" s="2656">
        <f>D6*E16</f>
        <v>0</v>
      </c>
      <c r="E16" s="2657">
        <v>0</v>
      </c>
      <c r="F16" s="2642" t="s">
        <v>2383</v>
      </c>
      <c r="G16" s="2621"/>
      <c r="H16" s="2596"/>
      <c r="I16" s="2597"/>
      <c r="J16" s="3468"/>
      <c r="K16" s="3470"/>
      <c r="L16" s="2631" t="s">
        <v>2384</v>
      </c>
      <c r="M16" s="2632"/>
      <c r="N16" s="2632"/>
      <c r="O16" s="2633"/>
      <c r="P16" s="2634">
        <v>365</v>
      </c>
      <c r="Q16" s="2608"/>
      <c r="R16" s="2655">
        <f>ROUND(M16*N16*O16*P16/10000,0)</f>
        <v>0</v>
      </c>
      <c r="S16" s="2589"/>
      <c r="T16" s="2589"/>
      <c r="U16" s="2589"/>
      <c r="V16" s="2597"/>
    </row>
    <row r="17" spans="1:22" s="2601" customFormat="1" ht="13.15" customHeight="1" thickBot="1">
      <c r="A17" s="2658">
        <v>4</v>
      </c>
      <c r="B17" s="3476" t="s">
        <v>2385</v>
      </c>
      <c r="C17" s="3477"/>
      <c r="D17" s="2659">
        <f>ROUND(D6*E17,0)</f>
        <v>6</v>
      </c>
      <c r="E17" s="2660">
        <v>0.1</v>
      </c>
      <c r="F17" s="2661" t="s">
        <v>2386</v>
      </c>
      <c r="G17" s="2621"/>
      <c r="H17" s="2596"/>
      <c r="I17" s="2597"/>
      <c r="J17" s="3468"/>
      <c r="K17" s="3470"/>
      <c r="L17" s="2631" t="s">
        <v>2387</v>
      </c>
      <c r="M17" s="2632"/>
      <c r="N17" s="2632"/>
      <c r="O17" s="2633"/>
      <c r="P17" s="2634">
        <v>365</v>
      </c>
      <c r="Q17" s="2608"/>
      <c r="R17" s="2655">
        <f>ROUND(M17*N17*O17*P17/10000,0)</f>
        <v>0</v>
      </c>
      <c r="S17" s="2589"/>
      <c r="T17" s="2589"/>
      <c r="U17" s="2589"/>
      <c r="V17" s="2597"/>
    </row>
    <row r="18" spans="1:22" s="2601" customFormat="1" ht="13.15" customHeight="1" thickBot="1">
      <c r="A18" s="2624" t="s">
        <v>2388</v>
      </c>
      <c r="B18" s="2625"/>
      <c r="C18" s="2625"/>
      <c r="D18" s="2662">
        <f>ROUND(D6*E18,0)</f>
        <v>3</v>
      </c>
      <c r="E18" s="2663">
        <v>0.05</v>
      </c>
      <c r="F18" s="2664" t="s">
        <v>2389</v>
      </c>
      <c r="G18" s="2621"/>
      <c r="H18" s="2596"/>
      <c r="I18" s="2597"/>
      <c r="J18" s="3468"/>
      <c r="K18" s="3470"/>
      <c r="L18" s="2631" t="s">
        <v>2390</v>
      </c>
      <c r="M18" s="2632"/>
      <c r="N18" s="2632"/>
      <c r="O18" s="2633"/>
      <c r="P18" s="2634">
        <v>365</v>
      </c>
      <c r="Q18" s="2608"/>
      <c r="R18" s="2655">
        <f>ROUND(M18*N18*O18*P18/10000,0)</f>
        <v>0</v>
      </c>
      <c r="S18" s="2589"/>
      <c r="T18" s="2589"/>
      <c r="U18" s="2589"/>
      <c r="V18" s="2597"/>
    </row>
    <row r="19" spans="1:22" s="2601" customFormat="1" ht="13.15" customHeight="1" thickBot="1">
      <c r="A19" s="2665" t="s">
        <v>2391</v>
      </c>
      <c r="B19" s="2619"/>
      <c r="C19" s="2619"/>
      <c r="D19" s="2619"/>
      <c r="E19" s="2619"/>
      <c r="F19" s="2620"/>
      <c r="G19" s="2640"/>
      <c r="H19" s="2596"/>
      <c r="I19" s="2597"/>
      <c r="J19" s="3468"/>
      <c r="K19" s="3471"/>
      <c r="L19" s="2651" t="s">
        <v>2371</v>
      </c>
      <c r="M19" s="2652"/>
      <c r="N19" s="2652">
        <f>SUM(N16:N18)</f>
        <v>0</v>
      </c>
      <c r="O19" s="2653"/>
      <c r="P19" s="2666" t="s">
        <v>3403</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68">
        <v>3</v>
      </c>
      <c r="K20" s="3469" t="s">
        <v>2392</v>
      </c>
      <c r="L20" s="2631" t="s">
        <v>2393</v>
      </c>
      <c r="M20" s="2632" t="s">
        <v>2394</v>
      </c>
      <c r="N20" s="2669" t="s">
        <v>2395</v>
      </c>
      <c r="O20" s="2633" t="s">
        <v>2396</v>
      </c>
      <c r="P20" s="2634" t="s">
        <v>2397</v>
      </c>
      <c r="Q20" s="2608" t="s">
        <v>2398</v>
      </c>
      <c r="R20" s="2655" t="s">
        <v>2399</v>
      </c>
      <c r="S20" s="2589"/>
      <c r="T20" s="2589"/>
      <c r="U20" s="2589"/>
      <c r="V20" s="2597"/>
    </row>
    <row r="21" spans="1:22" s="2601" customFormat="1" ht="13.15" customHeight="1">
      <c r="A21" s="2624"/>
      <c r="B21" s="2625"/>
      <c r="C21" s="2670" t="s">
        <v>2400</v>
      </c>
      <c r="D21" s="2671" t="s">
        <v>2401</v>
      </c>
      <c r="E21" s="2672" t="s">
        <v>2402</v>
      </c>
      <c r="F21" s="2668"/>
      <c r="G21" s="2640"/>
      <c r="H21" s="2596"/>
      <c r="I21" s="2597"/>
      <c r="J21" s="3468"/>
      <c r="K21" s="3470"/>
      <c r="L21" s="2631" t="s">
        <v>2403</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2404</v>
      </c>
      <c r="D22" s="2675" t="s">
        <v>2405</v>
      </c>
      <c r="E22" s="2676" t="s">
        <v>2406</v>
      </c>
      <c r="F22" s="2668"/>
      <c r="G22" s="2589"/>
      <c r="H22" s="2596"/>
      <c r="I22" s="2597"/>
      <c r="J22" s="3468"/>
      <c r="K22" s="3470"/>
      <c r="L22" s="2631" t="s">
        <v>2407</v>
      </c>
      <c r="M22" s="2632"/>
      <c r="N22" s="2632"/>
      <c r="O22" s="2633"/>
      <c r="P22" s="2634">
        <v>365</v>
      </c>
      <c r="Q22" s="2608"/>
      <c r="R22" s="2673">
        <f>ROUND(M22*N22*O22*P22/10000,0)</f>
        <v>0</v>
      </c>
      <c r="S22" s="2589"/>
      <c r="T22" s="2589"/>
      <c r="U22" s="2589"/>
      <c r="V22" s="2597"/>
    </row>
    <row r="23" spans="1:22" s="2601" customFormat="1" ht="13.15" customHeight="1">
      <c r="A23" s="2677">
        <v>1</v>
      </c>
      <c r="B23" s="2678" t="s">
        <v>2408</v>
      </c>
      <c r="C23" s="2679">
        <f>D6</f>
        <v>58</v>
      </c>
      <c r="D23" s="2680">
        <f>C23*(1+D24)</f>
        <v>58</v>
      </c>
      <c r="E23" s="2681">
        <f>D23*(1+E24)</f>
        <v>58</v>
      </c>
      <c r="F23" s="2682"/>
      <c r="G23" s="2683"/>
      <c r="H23" s="2596"/>
      <c r="I23" s="2597"/>
      <c r="J23" s="3468"/>
      <c r="K23" s="3470"/>
      <c r="L23" s="2631" t="s">
        <v>2409</v>
      </c>
      <c r="M23" s="2632"/>
      <c r="N23" s="2632"/>
      <c r="O23" s="2633"/>
      <c r="P23" s="2634">
        <v>365</v>
      </c>
      <c r="Q23" s="2608"/>
      <c r="R23" s="2673">
        <f>ROUND(M23*N23*O23*P23/10000,0)</f>
        <v>0</v>
      </c>
      <c r="S23" s="2589"/>
      <c r="T23" s="2589"/>
      <c r="U23" s="2589"/>
      <c r="V23" s="2597"/>
    </row>
    <row r="24" spans="1:22" s="2601" customFormat="1" ht="13.15" customHeight="1">
      <c r="A24" s="2684"/>
      <c r="B24" s="2685" t="s">
        <v>2410</v>
      </c>
      <c r="C24" s="2686"/>
      <c r="D24" s="2687"/>
      <c r="E24" s="2688"/>
      <c r="F24" s="2689"/>
      <c r="G24" s="2683"/>
      <c r="H24" s="2596"/>
      <c r="I24" s="2597"/>
      <c r="J24" s="3468"/>
      <c r="K24" s="3471"/>
      <c r="L24" s="2651" t="s">
        <v>2371</v>
      </c>
      <c r="M24" s="2652">
        <f>SUM(M21:M23)</f>
        <v>0</v>
      </c>
      <c r="N24" s="2652"/>
      <c r="O24" s="2653"/>
      <c r="P24" s="2666" t="s">
        <v>3403</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2411</v>
      </c>
      <c r="L25" s="2692"/>
      <c r="M25" s="2692"/>
      <c r="N25" s="2692"/>
      <c r="O25" s="2692"/>
      <c r="P25" s="2693"/>
      <c r="Q25" s="2694">
        <v>0</v>
      </c>
      <c r="R25" s="2667">
        <f>ROUND(R14*Q25,0)</f>
        <v>0</v>
      </c>
      <c r="S25" s="2589"/>
      <c r="T25" s="2589"/>
      <c r="U25" s="2589"/>
      <c r="V25" s="2695"/>
    </row>
    <row r="26" spans="1:22" s="2696" customFormat="1" ht="13.15" customHeight="1">
      <c r="A26" s="2677">
        <v>2</v>
      </c>
      <c r="B26" s="2678" t="s">
        <v>2412</v>
      </c>
      <c r="C26" s="2679">
        <f ca="1">D7</f>
        <v>49</v>
      </c>
      <c r="D26" s="2680">
        <f ca="1">D23*D27</f>
        <v>48.099999999999994</v>
      </c>
      <c r="E26" s="2681">
        <f>E23*E27</f>
        <v>0</v>
      </c>
      <c r="F26" s="2682"/>
      <c r="G26" s="2683"/>
      <c r="H26" s="2596"/>
      <c r="I26" s="2597"/>
      <c r="J26" s="3478">
        <v>5</v>
      </c>
      <c r="K26" s="2697" t="s">
        <v>2413</v>
      </c>
      <c r="L26" s="2698"/>
      <c r="M26" s="2699"/>
      <c r="N26" s="2700" t="s">
        <v>2414</v>
      </c>
      <c r="O26" s="2700" t="s">
        <v>2415</v>
      </c>
      <c r="P26" s="2701" t="s">
        <v>2416</v>
      </c>
      <c r="Q26" s="2701" t="s">
        <v>2417</v>
      </c>
      <c r="R26" s="2606" t="s">
        <v>2342</v>
      </c>
      <c r="S26" s="2640"/>
      <c r="T26" s="2640"/>
      <c r="U26" s="2640"/>
      <c r="V26" s="2695"/>
    </row>
    <row r="27" spans="1:22" s="2601" customFormat="1" ht="13.15" customHeight="1">
      <c r="A27" s="2684"/>
      <c r="B27" s="2685" t="s">
        <v>2418</v>
      </c>
      <c r="C27" s="2702">
        <f ca="1">E7</f>
        <v>0.82931034482758614</v>
      </c>
      <c r="D27" s="2687">
        <f ca="1">E9+E10+E11+E17</f>
        <v>0.82931034482758614</v>
      </c>
      <c r="E27" s="2688"/>
      <c r="F27" s="2689"/>
      <c r="G27" s="2683"/>
      <c r="H27" s="2703"/>
      <c r="I27" s="2695"/>
      <c r="J27" s="3479"/>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2419</v>
      </c>
      <c r="F28" s="2689"/>
      <c r="G28" s="2589"/>
      <c r="H28" s="2703"/>
      <c r="I28" s="2695"/>
      <c r="J28" s="2709">
        <v>6</v>
      </c>
      <c r="K28" s="2710" t="s">
        <v>2420</v>
      </c>
      <c r="L28" s="2711" t="s">
        <v>2421</v>
      </c>
      <c r="M28" s="2712"/>
      <c r="N28" s="2711" t="s">
        <v>2422</v>
      </c>
      <c r="O28" s="2713"/>
      <c r="P28" s="2711" t="s">
        <v>2423</v>
      </c>
      <c r="Q28" s="2714">
        <v>1.4999999999999999E-2</v>
      </c>
      <c r="R28" s="2715"/>
      <c r="S28" s="2589"/>
      <c r="T28" s="2589"/>
      <c r="U28" s="2589"/>
      <c r="V28" s="2695"/>
    </row>
    <row r="29" spans="1:22" s="2696" customFormat="1" ht="13.15" customHeight="1">
      <c r="A29" s="2677">
        <v>3</v>
      </c>
      <c r="B29" s="2678" t="s">
        <v>2424</v>
      </c>
      <c r="C29" s="2679">
        <f>C23*C30</f>
        <v>2.9000000000000004</v>
      </c>
      <c r="D29" s="2680">
        <f>D23*C30</f>
        <v>2.9000000000000004</v>
      </c>
      <c r="E29" s="2681">
        <f>E23*C30</f>
        <v>2.9000000000000004</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2418</v>
      </c>
      <c r="C30" s="2702">
        <f>E18</f>
        <v>0.05</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2425</v>
      </c>
      <c r="K31" s="2587"/>
      <c r="L31" s="2587"/>
      <c r="M31" s="2587"/>
      <c r="N31" s="2587"/>
      <c r="O31" s="2587"/>
      <c r="P31" s="2587"/>
      <c r="Q31" s="2587"/>
      <c r="R31" s="2588"/>
      <c r="S31" s="2589"/>
      <c r="T31" s="2589"/>
      <c r="U31" s="2589"/>
      <c r="V31" s="2695"/>
    </row>
    <row r="32" spans="1:22" s="2696" customFormat="1" ht="13.15" customHeight="1">
      <c r="A32" s="2677">
        <v>4</v>
      </c>
      <c r="B32" s="2678" t="s">
        <v>2426</v>
      </c>
      <c r="C32" s="2679">
        <f ca="1">C23-C26-C29</f>
        <v>6.1</v>
      </c>
      <c r="D32" s="2680">
        <f ca="1">D23-D26-D29</f>
        <v>7.0000000000000053</v>
      </c>
      <c r="E32" s="2681">
        <f>E23-E26-E29</f>
        <v>55.1</v>
      </c>
      <c r="F32" s="2682"/>
      <c r="G32" s="2589"/>
      <c r="H32" s="2596"/>
      <c r="I32" s="2597"/>
      <c r="J32" s="3461" t="s">
        <v>2318</v>
      </c>
      <c r="K32" s="3462"/>
      <c r="L32" s="2598" t="s">
        <v>2319</v>
      </c>
      <c r="M32" s="2598" t="s">
        <v>2320</v>
      </c>
      <c r="N32" s="2598" t="s">
        <v>2321</v>
      </c>
      <c r="O32" s="2598" t="s">
        <v>2322</v>
      </c>
      <c r="P32" s="2598" t="s">
        <v>2323</v>
      </c>
      <c r="Q32" s="2599" t="s">
        <v>2324</v>
      </c>
      <c r="R32" s="2718" t="s">
        <v>2325</v>
      </c>
      <c r="S32" s="2589"/>
      <c r="T32" s="2589"/>
      <c r="U32" s="2589"/>
      <c r="V32" s="2695"/>
    </row>
    <row r="33" spans="1:23" s="2601" customFormat="1" ht="13.15" customHeight="1">
      <c r="A33" s="2677"/>
      <c r="B33" s="2678"/>
      <c r="C33" s="2679"/>
      <c r="D33" s="2719"/>
      <c r="E33" s="2720"/>
      <c r="F33" s="2682"/>
      <c r="G33" s="2589"/>
      <c r="H33" s="2703"/>
      <c r="I33" s="2695"/>
      <c r="J33" s="3463" t="s">
        <v>2328</v>
      </c>
      <c r="K33" s="3464"/>
      <c r="L33" s="2604"/>
      <c r="M33" s="2604"/>
      <c r="N33" s="2604"/>
      <c r="O33" s="2604"/>
      <c r="P33" s="2604"/>
      <c r="Q33" s="2605"/>
      <c r="R33" s="2721">
        <f>SUM(L33:Q33)</f>
        <v>0</v>
      </c>
      <c r="S33" s="2589"/>
      <c r="T33" s="2589"/>
      <c r="U33" s="2589"/>
      <c r="V33" s="2597"/>
    </row>
    <row r="34" spans="1:23" s="2601" customFormat="1" ht="13.15" customHeight="1">
      <c r="A34" s="2677">
        <v>5</v>
      </c>
      <c r="B34" s="2678" t="s">
        <v>2427</v>
      </c>
      <c r="C34" s="2722">
        <f>'数据-取费表'!I6</f>
        <v>0.05</v>
      </c>
      <c r="D34" s="2723">
        <v>0.01</v>
      </c>
      <c r="E34" s="2724">
        <v>0.01</v>
      </c>
      <c r="F34" s="2682"/>
      <c r="G34" s="2589"/>
      <c r="H34" s="2703"/>
      <c r="I34" s="2695"/>
      <c r="J34" s="3463" t="s">
        <v>2330</v>
      </c>
      <c r="K34" s="3464"/>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2428</v>
      </c>
      <c r="C35" s="2726">
        <v>0</v>
      </c>
      <c r="D35" s="2727"/>
      <c r="E35" s="2728"/>
      <c r="F35" s="2682"/>
      <c r="G35" s="2729"/>
      <c r="H35" s="2596"/>
      <c r="I35" s="2695"/>
      <c r="J35" s="2615" t="s">
        <v>2332</v>
      </c>
      <c r="K35" s="2616"/>
      <c r="L35" s="2616"/>
      <c r="M35" s="2617"/>
      <c r="N35" s="2617"/>
      <c r="O35" s="2617"/>
      <c r="P35" s="2617"/>
      <c r="Q35" s="2617"/>
      <c r="R35" s="2730">
        <f>R40+R41+R43</f>
        <v>0</v>
      </c>
      <c r="S35" s="2589"/>
      <c r="T35" s="2589" t="s">
        <v>2333</v>
      </c>
      <c r="U35" s="2589"/>
      <c r="V35" s="2597"/>
    </row>
    <row r="36" spans="1:23" s="2601" customFormat="1" ht="13.15" customHeight="1" thickBot="1">
      <c r="A36" s="2677">
        <v>7</v>
      </c>
      <c r="B36" s="2731" t="s">
        <v>2429</v>
      </c>
      <c r="C36" s="2732" t="str">
        <f>项目基本情况!D15</f>
        <v/>
      </c>
      <c r="D36" s="2733"/>
      <c r="E36" s="2734"/>
      <c r="F36" s="2735" t="e">
        <f>C36+D36+E36</f>
        <v>#VALUE!</v>
      </c>
      <c r="G36" s="2589"/>
      <c r="H36" s="2596"/>
      <c r="I36" s="2597"/>
      <c r="J36" s="3468">
        <v>1</v>
      </c>
      <c r="K36" s="3469" t="s">
        <v>2430</v>
      </c>
      <c r="L36" s="2622"/>
      <c r="M36" s="2623"/>
      <c r="N36" s="2623"/>
      <c r="O36" s="2623"/>
      <c r="P36" s="2623"/>
      <c r="Q36" s="2623"/>
      <c r="R36" s="2606" t="s">
        <v>2342</v>
      </c>
      <c r="S36" s="2589"/>
      <c r="T36" s="2589" t="s">
        <v>2343</v>
      </c>
      <c r="U36" s="2589"/>
      <c r="V36" s="2597"/>
    </row>
    <row r="37" spans="1:23" s="2601" customFormat="1" ht="13.15" customHeight="1">
      <c r="A37" s="2677"/>
      <c r="B37" s="2678"/>
      <c r="C37" s="2678"/>
      <c r="D37" s="2678"/>
      <c r="E37" s="2678"/>
      <c r="F37" s="2682"/>
      <c r="G37" s="2589"/>
      <c r="H37" s="2596"/>
      <c r="I37" s="2597"/>
      <c r="J37" s="3468"/>
      <c r="K37" s="3470"/>
      <c r="L37" s="2631"/>
      <c r="M37" s="2632"/>
      <c r="N37" s="2608"/>
      <c r="O37" s="2633"/>
      <c r="P37" s="2633"/>
      <c r="Q37" s="2634"/>
      <c r="R37" s="2635"/>
      <c r="S37" s="2589"/>
      <c r="T37" s="2589" t="s">
        <v>2346</v>
      </c>
      <c r="U37" s="2589"/>
      <c r="V37" s="2597"/>
    </row>
    <row r="38" spans="1:23" s="2601" customFormat="1" ht="13.15" customHeight="1">
      <c r="A38" s="2677">
        <v>8</v>
      </c>
      <c r="B38" s="2678"/>
      <c r="C38" s="2637" t="e">
        <f ca="1">ROUND(C32*(1-((1+C35)/(1+C34))^C36)/(C34-C35),0)</f>
        <v>#VALUE!</v>
      </c>
      <c r="D38" s="2637">
        <f ca="1">IF(D23=0,0,ROUND(D32*(1-((1+D35)/(1+D34))^D36)/(D34-D35),0))</f>
        <v>0</v>
      </c>
      <c r="E38" s="2637">
        <f>IF(E23=0,0,ROUND(E32*(1-((1+E35)/(1+E34))^E36)/(E34-E35),0))</f>
        <v>0</v>
      </c>
      <c r="F38" s="2682"/>
      <c r="G38" s="2589"/>
      <c r="H38" s="2596"/>
      <c r="I38" s="2597"/>
      <c r="J38" s="3468"/>
      <c r="K38" s="3470"/>
      <c r="L38" s="2631"/>
      <c r="M38" s="2632"/>
      <c r="N38" s="2608"/>
      <c r="O38" s="2633"/>
      <c r="P38" s="2633"/>
      <c r="Q38" s="2634"/>
      <c r="R38" s="2635"/>
      <c r="S38" s="2589"/>
      <c r="T38" s="2589" t="s">
        <v>2353</v>
      </c>
      <c r="U38" s="2589"/>
      <c r="V38" s="2597"/>
    </row>
    <row r="39" spans="1:23" s="2601" customFormat="1" ht="13.15" customHeight="1">
      <c r="A39" s="2677">
        <v>9</v>
      </c>
      <c r="B39" s="2678" t="s">
        <v>2431</v>
      </c>
      <c r="C39" s="2645" t="e">
        <f ca="1">C38</f>
        <v>#VALUE!</v>
      </c>
      <c r="D39" s="2678" t="e">
        <f ca="1">D38/(1+D34)^C36</f>
        <v>#VALUE!</v>
      </c>
      <c r="E39" s="2678" t="e">
        <f>E38/(1+E34)^(C36+D36)</f>
        <v>#VALUE!</v>
      </c>
      <c r="F39" s="2682"/>
      <c r="G39" s="2597"/>
      <c r="H39" s="2596"/>
      <c r="I39" s="2597"/>
      <c r="J39" s="3468"/>
      <c r="K39" s="3470"/>
      <c r="L39" s="2631"/>
      <c r="M39" s="2632"/>
      <c r="N39" s="2608"/>
      <c r="O39" s="2633"/>
      <c r="P39" s="2633"/>
      <c r="Q39" s="2634"/>
      <c r="R39" s="2635"/>
      <c r="S39" s="2589"/>
      <c r="T39" s="2589"/>
      <c r="U39" s="2589"/>
      <c r="V39" s="2597"/>
    </row>
    <row r="40" spans="1:23" s="2601" customFormat="1" ht="13.15" customHeight="1">
      <c r="A40" s="2736">
        <v>10</v>
      </c>
      <c r="B40" s="2678" t="s">
        <v>2432</v>
      </c>
      <c r="C40" s="2737" t="e">
        <f ca="1">C39+D39+E39</f>
        <v>#VALUE!</v>
      </c>
      <c r="D40" s="2738"/>
      <c r="E40" s="2738"/>
      <c r="F40" s="2739"/>
      <c r="G40" s="2589"/>
      <c r="H40" s="2596"/>
      <c r="I40" s="2597"/>
      <c r="J40" s="3468"/>
      <c r="K40" s="3471"/>
      <c r="L40" s="2651" t="s">
        <v>2371</v>
      </c>
      <c r="M40" s="2652"/>
      <c r="N40" s="2652"/>
      <c r="O40" s="2653"/>
      <c r="P40" s="2653"/>
      <c r="Q40" s="2654"/>
      <c r="R40" s="2600">
        <f>SUM(R37:R39)</f>
        <v>0</v>
      </c>
      <c r="S40" s="2589"/>
      <c r="T40" s="2589"/>
      <c r="U40" s="2589"/>
      <c r="V40" s="2597"/>
    </row>
    <row r="41" spans="1:23" s="2601" customFormat="1" ht="13.15" customHeight="1" thickBot="1">
      <c r="A41" s="2740">
        <v>11</v>
      </c>
      <c r="B41" s="2741" t="s">
        <v>2433</v>
      </c>
      <c r="C41" s="2741" t="e">
        <f ca="1">ROUND(C40*10000/B4,0)</f>
        <v>#VALUE!</v>
      </c>
      <c r="D41" s="2742"/>
      <c r="E41" s="2742"/>
      <c r="F41" s="2743"/>
      <c r="G41" s="2596"/>
      <c r="H41" s="2596"/>
      <c r="I41" s="2597"/>
      <c r="J41" s="2690">
        <v>2</v>
      </c>
      <c r="K41" s="2691" t="s">
        <v>2411</v>
      </c>
      <c r="L41" s="2692"/>
      <c r="M41" s="2692"/>
      <c r="N41" s="2692"/>
      <c r="O41" s="2692"/>
      <c r="P41" s="2693"/>
      <c r="Q41" s="2694"/>
      <c r="R41" s="2667">
        <f>ROUND(R40*Q41,0)</f>
        <v>0</v>
      </c>
      <c r="S41" s="2589"/>
      <c r="T41" s="2589"/>
      <c r="U41" s="2640"/>
      <c r="V41" s="2597"/>
    </row>
    <row r="42" spans="1:23" s="2601" customFormat="1" ht="13.15" customHeight="1">
      <c r="G42" s="2596"/>
      <c r="H42" s="2596"/>
      <c r="I42" s="2597"/>
      <c r="J42" s="3478">
        <v>3</v>
      </c>
      <c r="K42" s="2697" t="s">
        <v>2413</v>
      </c>
      <c r="L42" s="2698"/>
      <c r="M42" s="2699"/>
      <c r="N42" s="2700" t="s">
        <v>2414</v>
      </c>
      <c r="O42" s="2700" t="s">
        <v>2415</v>
      </c>
      <c r="P42" s="2701" t="s">
        <v>2416</v>
      </c>
      <c r="Q42" s="2701" t="s">
        <v>2417</v>
      </c>
      <c r="R42" s="2606" t="s">
        <v>2342</v>
      </c>
      <c r="S42" s="2640"/>
      <c r="T42" s="2640"/>
      <c r="U42" s="2589"/>
      <c r="V42" s="2597"/>
    </row>
    <row r="43" spans="1:23" ht="13.15" customHeight="1">
      <c r="A43" s="2601"/>
      <c r="B43" s="2601"/>
      <c r="C43" s="2601"/>
      <c r="D43" s="2601"/>
      <c r="E43" s="2601"/>
      <c r="F43" s="2601"/>
      <c r="I43" s="2584"/>
      <c r="J43" s="3479"/>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2420</v>
      </c>
      <c r="L44" s="2746" t="s">
        <v>2421</v>
      </c>
      <c r="M44" s="2712"/>
      <c r="N44" s="2746" t="s">
        <v>2422</v>
      </c>
      <c r="O44" s="2712"/>
      <c r="P44" s="2746" t="s">
        <v>2423</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733" t="s">
        <v>1658</v>
      </c>
      <c r="C1" s="1154" t="s">
        <v>1659</v>
      </c>
      <c r="D1" s="1141"/>
      <c r="E1" s="3121"/>
      <c r="F1" s="1734"/>
      <c r="G1" s="1151" t="s">
        <v>1660</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1661</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1662</v>
      </c>
      <c r="D3" s="342">
        <f>IF(D1="",'数据-汇总表'!E3,SUMIF('数据-汇总表'!$C19:$C33,D1,'数据-汇总表'!$E19:$E33))</f>
        <v>7170.4100000000008</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1663</v>
      </c>
      <c r="B4" s="345"/>
      <c r="C4" s="3393" t="s">
        <v>1664</v>
      </c>
      <c r="D4" s="3394"/>
      <c r="E4" s="3395" t="s">
        <v>1665</v>
      </c>
      <c r="F4" s="3396"/>
      <c r="G4" s="3393" t="s">
        <v>1666</v>
      </c>
      <c r="H4" s="3394"/>
      <c r="I4" s="3393" t="s">
        <v>1667</v>
      </c>
      <c r="J4" s="3394"/>
      <c r="K4" s="1743" t="s">
        <v>1668</v>
      </c>
      <c r="L4" s="2483"/>
      <c r="M4" s="2484"/>
      <c r="N4" s="2484"/>
      <c r="O4" s="2484"/>
      <c r="P4" s="3397" t="s">
        <v>1669</v>
      </c>
      <c r="Q4" s="3398"/>
      <c r="R4" s="3380" t="s">
        <v>1665</v>
      </c>
      <c r="S4" s="3381"/>
      <c r="T4" s="3380" t="s">
        <v>1666</v>
      </c>
      <c r="U4" s="3381"/>
      <c r="V4" s="3377" t="s">
        <v>1667</v>
      </c>
      <c r="W4" s="3377"/>
      <c r="X4" s="1264"/>
      <c r="Y4" s="3380" t="s">
        <v>1669</v>
      </c>
      <c r="Z4" s="3381"/>
      <c r="AA4" s="3374" t="s">
        <v>1665</v>
      </c>
      <c r="AB4" s="3374" t="s">
        <v>1666</v>
      </c>
      <c r="AC4" s="3374" t="s">
        <v>1667</v>
      </c>
    </row>
    <row r="5" spans="1:29" ht="15">
      <c r="A5" s="347"/>
      <c r="B5" s="348"/>
      <c r="C5" s="3386" t="s">
        <v>1670</v>
      </c>
      <c r="D5" s="3387"/>
      <c r="E5" s="3480" t="s">
        <v>1671</v>
      </c>
      <c r="F5" s="3385"/>
      <c r="G5" s="3386" t="s">
        <v>1672</v>
      </c>
      <c r="H5" s="3387"/>
      <c r="I5" s="3386" t="s">
        <v>1673</v>
      </c>
      <c r="J5" s="3387"/>
      <c r="K5" s="1744"/>
      <c r="L5" s="2483"/>
      <c r="M5" s="2484"/>
      <c r="N5" s="2484"/>
      <c r="O5" s="2484"/>
      <c r="P5" s="3399"/>
      <c r="Q5" s="3400"/>
      <c r="R5" s="3382"/>
      <c r="S5" s="3383"/>
      <c r="T5" s="3382"/>
      <c r="U5" s="3383"/>
      <c r="V5" s="3377"/>
      <c r="W5" s="3377"/>
      <c r="X5" s="1264"/>
      <c r="Y5" s="3382"/>
      <c r="Z5" s="3383"/>
      <c r="AA5" s="3375"/>
      <c r="AB5" s="3375"/>
      <c r="AC5" s="3375"/>
    </row>
    <row r="6" spans="1:29" ht="15.75" thickBot="1">
      <c r="A6" s="349"/>
      <c r="B6" s="350"/>
      <c r="C6" s="3388" t="s">
        <v>1674</v>
      </c>
      <c r="D6" s="3389"/>
      <c r="E6" s="3390" t="s">
        <v>1674</v>
      </c>
      <c r="F6" s="3391"/>
      <c r="G6" s="3388" t="s">
        <v>1674</v>
      </c>
      <c r="H6" s="3389"/>
      <c r="I6" s="3388" t="s">
        <v>1674</v>
      </c>
      <c r="J6" s="3389"/>
      <c r="K6" s="1744" t="s">
        <v>1675</v>
      </c>
      <c r="L6" s="2483"/>
      <c r="M6" s="2484"/>
      <c r="N6" s="2484"/>
      <c r="O6" s="2484"/>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78" t="s">
        <v>1677</v>
      </c>
      <c r="Q7" s="3405"/>
      <c r="R7" s="663" t="s">
        <v>20</v>
      </c>
      <c r="S7" s="664">
        <f t="shared" ref="S7:S15" si="0">F7</f>
        <v>0</v>
      </c>
      <c r="T7" s="663" t="s">
        <v>20</v>
      </c>
      <c r="U7" s="664">
        <f t="shared" ref="U7:U15" si="1">H7</f>
        <v>0</v>
      </c>
      <c r="V7" s="663" t="s">
        <v>20</v>
      </c>
      <c r="W7" s="664">
        <f t="shared" ref="W7:W15" si="2">J7</f>
        <v>0</v>
      </c>
      <c r="X7" s="665"/>
      <c r="Y7" s="3378" t="s">
        <v>1677</v>
      </c>
      <c r="Z7" s="3379"/>
      <c r="AA7" s="50" t="e">
        <f>D7/F7</f>
        <v>#DIV/0!</v>
      </c>
      <c r="AB7" s="50" t="e">
        <f>D7/H7</f>
        <v>#DIV/0!</v>
      </c>
      <c r="AC7" s="50" t="e">
        <f>D7/J7</f>
        <v>#DIV/0!</v>
      </c>
    </row>
    <row r="8" spans="1:29" s="101" customFormat="1" ht="15.75" thickBot="1">
      <c r="A8" s="351" t="s">
        <v>1678</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78" t="s">
        <v>1680</v>
      </c>
      <c r="Q8" s="3379"/>
      <c r="R8" s="663" t="s">
        <v>20</v>
      </c>
      <c r="S8" s="664">
        <f t="shared" si="0"/>
        <v>100</v>
      </c>
      <c r="T8" s="663" t="s">
        <v>20</v>
      </c>
      <c r="U8" s="664">
        <f t="shared" si="1"/>
        <v>100</v>
      </c>
      <c r="V8" s="663" t="s">
        <v>20</v>
      </c>
      <c r="W8" s="664">
        <f t="shared" si="2"/>
        <v>100</v>
      </c>
      <c r="X8" s="665"/>
      <c r="Y8" s="3378" t="s">
        <v>1680</v>
      </c>
      <c r="Z8" s="3379"/>
      <c r="AA8" s="50">
        <f t="shared" ref="AA8:AA19" si="3">D8/F8</f>
        <v>1</v>
      </c>
      <c r="AB8" s="50">
        <f t="shared" ref="AB8:AB19" si="4">D8/H8</f>
        <v>1</v>
      </c>
      <c r="AC8" s="50">
        <f t="shared" ref="AC8:AC19" si="5">D8/J8</f>
        <v>1</v>
      </c>
    </row>
    <row r="9" spans="1:29" s="101" customFormat="1">
      <c r="A9" s="358" t="s">
        <v>1681</v>
      </c>
      <c r="B9" s="60" t="s">
        <v>1682</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92"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50">
        <f t="shared" si="5"/>
        <v>1</v>
      </c>
    </row>
    <row r="10" spans="1:29" s="365" customFormat="1" ht="27">
      <c r="A10" s="362"/>
      <c r="B10" s="363" t="s">
        <v>1685</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92"/>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50">
        <f t="shared" si="5"/>
        <v>1</v>
      </c>
    </row>
    <row r="11" spans="1:29" ht="15">
      <c r="A11" s="366"/>
      <c r="B11" s="363" t="s">
        <v>1686</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92"/>
      <c r="Q11" s="529" t="str">
        <f t="shared" si="6"/>
        <v>容积率</v>
      </c>
      <c r="R11" s="663" t="s">
        <v>18</v>
      </c>
      <c r="S11" s="664" t="e">
        <f t="shared" si="0"/>
        <v>#N/A</v>
      </c>
      <c r="T11" s="663" t="s">
        <v>18</v>
      </c>
      <c r="U11" s="664" t="e">
        <f t="shared" si="1"/>
        <v>#N/A</v>
      </c>
      <c r="V11" s="663" t="s">
        <v>18</v>
      </c>
      <c r="W11" s="664" t="e">
        <f t="shared" si="2"/>
        <v>#N/A</v>
      </c>
      <c r="X11" s="665"/>
      <c r="Y11" s="3343"/>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92"/>
      <c r="Q12" s="529">
        <f t="shared" si="6"/>
        <v>111</v>
      </c>
      <c r="R12" s="663" t="s">
        <v>18</v>
      </c>
      <c r="S12" s="664">
        <f t="shared" si="0"/>
        <v>100</v>
      </c>
      <c r="T12" s="663" t="s">
        <v>18</v>
      </c>
      <c r="U12" s="664">
        <f t="shared" si="1"/>
        <v>100</v>
      </c>
      <c r="V12" s="663" t="s">
        <v>18</v>
      </c>
      <c r="W12" s="664">
        <f t="shared" si="2"/>
        <v>100</v>
      </c>
      <c r="X12" s="665"/>
      <c r="Y12" s="334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92"/>
      <c r="Q13" s="529">
        <f t="shared" si="6"/>
        <v>111</v>
      </c>
      <c r="R13" s="663" t="s">
        <v>18</v>
      </c>
      <c r="S13" s="664">
        <f t="shared" si="0"/>
        <v>100</v>
      </c>
      <c r="T13" s="663" t="s">
        <v>18</v>
      </c>
      <c r="U13" s="664">
        <f t="shared" si="1"/>
        <v>100</v>
      </c>
      <c r="V13" s="663" t="s">
        <v>18</v>
      </c>
      <c r="W13" s="664">
        <f t="shared" si="2"/>
        <v>100</v>
      </c>
      <c r="X13" s="665"/>
      <c r="Y13" s="3343"/>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92"/>
      <c r="Q14" s="529">
        <f t="shared" si="6"/>
        <v>111</v>
      </c>
      <c r="R14" s="663" t="s">
        <v>18</v>
      </c>
      <c r="S14" s="664">
        <f t="shared" si="0"/>
        <v>100</v>
      </c>
      <c r="T14" s="663" t="s">
        <v>18</v>
      </c>
      <c r="U14" s="664">
        <f t="shared" si="1"/>
        <v>100</v>
      </c>
      <c r="V14" s="663" t="s">
        <v>18</v>
      </c>
      <c r="W14" s="664">
        <f t="shared" si="2"/>
        <v>100</v>
      </c>
      <c r="X14" s="665"/>
      <c r="Y14" s="3343"/>
      <c r="Z14" s="50">
        <f t="shared" si="7"/>
        <v>111</v>
      </c>
      <c r="AA14" s="50">
        <f t="shared" si="3"/>
        <v>1</v>
      </c>
      <c r="AB14" s="50">
        <f t="shared" si="4"/>
        <v>1</v>
      </c>
      <c r="AC14" s="50">
        <f t="shared" si="5"/>
        <v>1</v>
      </c>
    </row>
    <row r="15" spans="1:29" ht="85.5">
      <c r="A15" s="378" t="s">
        <v>1687</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06" t="s">
        <v>1688</v>
      </c>
      <c r="Q15" s="1262" t="str">
        <f t="shared" si="6"/>
        <v>居住社区成熟度</v>
      </c>
      <c r="R15" s="666" t="s">
        <v>18</v>
      </c>
      <c r="S15" s="667">
        <f t="shared" si="0"/>
        <v>100</v>
      </c>
      <c r="T15" s="666" t="s">
        <v>18</v>
      </c>
      <c r="U15" s="667">
        <f t="shared" si="1"/>
        <v>100</v>
      </c>
      <c r="V15" s="666" t="s">
        <v>18</v>
      </c>
      <c r="W15" s="667">
        <f t="shared" si="2"/>
        <v>100</v>
      </c>
      <c r="X15" s="1264"/>
      <c r="Y15" s="3408" t="s">
        <v>1688</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07"/>
      <c r="Q16" s="1262"/>
      <c r="R16" s="666"/>
      <c r="S16" s="667"/>
      <c r="T16" s="666"/>
      <c r="U16" s="667"/>
      <c r="V16" s="666"/>
      <c r="W16" s="667"/>
      <c r="X16" s="1264"/>
      <c r="Y16" s="3409"/>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07"/>
      <c r="Q17" s="1262" t="str">
        <f>B17</f>
        <v>交通便捷度</v>
      </c>
      <c r="R17" s="666" t="s">
        <v>18</v>
      </c>
      <c r="S17" s="667">
        <f>F17</f>
        <v>100</v>
      </c>
      <c r="T17" s="666" t="s">
        <v>18</v>
      </c>
      <c r="U17" s="667">
        <f>H17</f>
        <v>100</v>
      </c>
      <c r="V17" s="666" t="s">
        <v>18</v>
      </c>
      <c r="W17" s="667">
        <f>J17</f>
        <v>100</v>
      </c>
      <c r="X17" s="1264"/>
      <c r="Y17" s="3409"/>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07"/>
      <c r="Q18" s="1262"/>
      <c r="R18" s="666"/>
      <c r="S18" s="667"/>
      <c r="T18" s="666"/>
      <c r="U18" s="667"/>
      <c r="V18" s="666"/>
      <c r="W18" s="667"/>
      <c r="X18" s="1264"/>
      <c r="Y18" s="3409"/>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07"/>
      <c r="Q19" s="1262" t="str">
        <f>B19</f>
        <v>公共配套设施</v>
      </c>
      <c r="R19" s="666" t="s">
        <v>18</v>
      </c>
      <c r="S19" s="667">
        <f>F19</f>
        <v>100</v>
      </c>
      <c r="T19" s="666" t="s">
        <v>18</v>
      </c>
      <c r="U19" s="667">
        <f>H19</f>
        <v>100</v>
      </c>
      <c r="V19" s="666" t="s">
        <v>18</v>
      </c>
      <c r="W19" s="667">
        <f>J19</f>
        <v>100</v>
      </c>
      <c r="X19" s="1264"/>
      <c r="Y19" s="3409"/>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07"/>
      <c r="Q20" s="1262"/>
      <c r="R20" s="666"/>
      <c r="S20" s="667"/>
      <c r="T20" s="666"/>
      <c r="U20" s="667"/>
      <c r="V20" s="666"/>
      <c r="W20" s="667"/>
      <c r="X20" s="1264"/>
      <c r="Y20" s="3409"/>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07"/>
      <c r="Q21" s="1262" t="str">
        <f>B21</f>
        <v>基础设施水平</v>
      </c>
      <c r="R21" s="666" t="s">
        <v>14</v>
      </c>
      <c r="S21" s="667">
        <f>F21</f>
        <v>100</v>
      </c>
      <c r="T21" s="666" t="s">
        <v>14</v>
      </c>
      <c r="U21" s="667">
        <f>H21</f>
        <v>100</v>
      </c>
      <c r="V21" s="666" t="s">
        <v>14</v>
      </c>
      <c r="W21" s="667">
        <f>J21</f>
        <v>100</v>
      </c>
      <c r="X21" s="1264"/>
      <c r="Y21" s="340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07"/>
      <c r="Q22" s="1262"/>
      <c r="R22" s="666"/>
      <c r="S22" s="667"/>
      <c r="T22" s="666"/>
      <c r="U22" s="667"/>
      <c r="V22" s="666"/>
      <c r="W22" s="667"/>
      <c r="X22" s="1264"/>
      <c r="Y22" s="3409"/>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07"/>
      <c r="Q23" s="1262" t="str">
        <f>B23</f>
        <v>自然及人文环境</v>
      </c>
      <c r="R23" s="666" t="s">
        <v>18</v>
      </c>
      <c r="S23" s="667">
        <f>F23</f>
        <v>100</v>
      </c>
      <c r="T23" s="666" t="s">
        <v>18</v>
      </c>
      <c r="U23" s="667">
        <f>H23</f>
        <v>100</v>
      </c>
      <c r="V23" s="666" t="s">
        <v>18</v>
      </c>
      <c r="W23" s="667">
        <f>J23</f>
        <v>100</v>
      </c>
      <c r="X23" s="1264"/>
      <c r="Y23" s="3409"/>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07"/>
      <c r="Q24" s="1262"/>
      <c r="R24" s="666"/>
      <c r="S24" s="667"/>
      <c r="T24" s="666"/>
      <c r="U24" s="667"/>
      <c r="V24" s="666"/>
      <c r="W24" s="667"/>
      <c r="X24" s="1264"/>
      <c r="Y24" s="3409"/>
      <c r="Z24" s="1263"/>
      <c r="AA24" s="1263">
        <v>1</v>
      </c>
      <c r="AB24" s="1263">
        <v>1</v>
      </c>
      <c r="AC24" s="1263">
        <v>1</v>
      </c>
    </row>
    <row r="25" spans="1:29" ht="15">
      <c r="A25" s="366"/>
      <c r="B25" s="363" t="s">
        <v>1689</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0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9"/>
      <c r="Z25" s="1263" t="str">
        <f>Q25</f>
        <v>楼层-1</v>
      </c>
      <c r="AA25" s="1263">
        <f t="shared" ref="AA25:AA46" si="15">D25/F25</f>
        <v>1</v>
      </c>
      <c r="AB25" s="1263">
        <f t="shared" ref="AB25:AB46" si="16">D25/H25</f>
        <v>1</v>
      </c>
      <c r="AC25" s="1263">
        <f t="shared" ref="AC25:AC46" si="17">D25/J25</f>
        <v>1</v>
      </c>
    </row>
    <row r="26" spans="1:29" ht="15">
      <c r="A26" s="366"/>
      <c r="B26" s="363" t="s">
        <v>1690</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07"/>
      <c r="Q26" s="1262" t="str">
        <f t="shared" si="11"/>
        <v>朝向</v>
      </c>
      <c r="R26" s="666" t="s">
        <v>18</v>
      </c>
      <c r="S26" s="667">
        <f t="shared" si="12"/>
        <v>100</v>
      </c>
      <c r="T26" s="666" t="s">
        <v>18</v>
      </c>
      <c r="U26" s="667">
        <f t="shared" si="13"/>
        <v>100</v>
      </c>
      <c r="V26" s="666" t="s">
        <v>18</v>
      </c>
      <c r="W26" s="667">
        <f t="shared" si="14"/>
        <v>100</v>
      </c>
      <c r="X26" s="1264"/>
      <c r="Y26" s="3409"/>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07"/>
      <c r="Q27" s="529">
        <f t="shared" si="11"/>
        <v>111</v>
      </c>
      <c r="R27" s="663" t="s">
        <v>18</v>
      </c>
      <c r="S27" s="664">
        <f t="shared" si="12"/>
        <v>100</v>
      </c>
      <c r="T27" s="663" t="s">
        <v>18</v>
      </c>
      <c r="U27" s="664">
        <f t="shared" si="13"/>
        <v>100</v>
      </c>
      <c r="V27" s="663" t="s">
        <v>18</v>
      </c>
      <c r="W27" s="664">
        <f t="shared" si="14"/>
        <v>100</v>
      </c>
      <c r="X27" s="665"/>
      <c r="Y27" s="3409"/>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07"/>
      <c r="Q28" s="1262">
        <f t="shared" si="11"/>
        <v>111</v>
      </c>
      <c r="R28" s="666" t="s">
        <v>18</v>
      </c>
      <c r="S28" s="667">
        <f t="shared" si="12"/>
        <v>100</v>
      </c>
      <c r="T28" s="666" t="s">
        <v>18</v>
      </c>
      <c r="U28" s="667">
        <f t="shared" si="13"/>
        <v>100</v>
      </c>
      <c r="V28" s="666" t="s">
        <v>18</v>
      </c>
      <c r="W28" s="667">
        <f t="shared" si="14"/>
        <v>100</v>
      </c>
      <c r="X28" s="1264"/>
      <c r="Y28" s="3409"/>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07"/>
      <c r="Q29" s="1262">
        <f t="shared" si="11"/>
        <v>111</v>
      </c>
      <c r="R29" s="666" t="s">
        <v>18</v>
      </c>
      <c r="S29" s="667">
        <f t="shared" si="12"/>
        <v>100</v>
      </c>
      <c r="T29" s="666" t="s">
        <v>18</v>
      </c>
      <c r="U29" s="667">
        <f t="shared" si="13"/>
        <v>100</v>
      </c>
      <c r="V29" s="666" t="s">
        <v>18</v>
      </c>
      <c r="W29" s="667">
        <f t="shared" si="14"/>
        <v>100</v>
      </c>
      <c r="X29" s="1264"/>
      <c r="Y29" s="3409"/>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07"/>
      <c r="Q30" s="1262">
        <f t="shared" si="11"/>
        <v>111</v>
      </c>
      <c r="R30" s="666" t="s">
        <v>18</v>
      </c>
      <c r="S30" s="667">
        <f t="shared" si="12"/>
        <v>100</v>
      </c>
      <c r="T30" s="666" t="s">
        <v>18</v>
      </c>
      <c r="U30" s="667">
        <f t="shared" si="13"/>
        <v>100</v>
      </c>
      <c r="V30" s="666" t="s">
        <v>18</v>
      </c>
      <c r="W30" s="667">
        <f t="shared" si="14"/>
        <v>100</v>
      </c>
      <c r="X30" s="1264"/>
      <c r="Y30" s="3409"/>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07"/>
      <c r="Q31" s="1262">
        <f t="shared" si="11"/>
        <v>111</v>
      </c>
      <c r="R31" s="666" t="s">
        <v>18</v>
      </c>
      <c r="S31" s="667">
        <f t="shared" si="12"/>
        <v>100</v>
      </c>
      <c r="T31" s="666" t="s">
        <v>18</v>
      </c>
      <c r="U31" s="667">
        <f t="shared" si="13"/>
        <v>100</v>
      </c>
      <c r="V31" s="666" t="s">
        <v>18</v>
      </c>
      <c r="W31" s="667">
        <f t="shared" si="14"/>
        <v>100</v>
      </c>
      <c r="X31" s="1264"/>
      <c r="Y31" s="3409"/>
      <c r="Z31" s="1263">
        <f t="shared" si="18"/>
        <v>111</v>
      </c>
      <c r="AA31" s="1263">
        <f t="shared" si="15"/>
        <v>1</v>
      </c>
      <c r="AB31" s="1263">
        <f t="shared" si="16"/>
        <v>1</v>
      </c>
      <c r="AC31" s="1263">
        <f t="shared" si="17"/>
        <v>1</v>
      </c>
    </row>
    <row r="32" spans="1:29" ht="15">
      <c r="A32" s="378" t="s">
        <v>1691</v>
      </c>
      <c r="B32" s="60" t="s">
        <v>1692</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10" t="s">
        <v>1693</v>
      </c>
      <c r="Q32" s="1262" t="str">
        <f t="shared" si="11"/>
        <v>建筑类型</v>
      </c>
      <c r="R32" s="666" t="s">
        <v>18</v>
      </c>
      <c r="S32" s="667">
        <f t="shared" si="12"/>
        <v>100</v>
      </c>
      <c r="T32" s="666" t="s">
        <v>18</v>
      </c>
      <c r="U32" s="667">
        <f t="shared" si="13"/>
        <v>100</v>
      </c>
      <c r="V32" s="666" t="s">
        <v>18</v>
      </c>
      <c r="W32" s="667">
        <f t="shared" si="14"/>
        <v>100</v>
      </c>
      <c r="X32" s="1264"/>
      <c r="Y32" s="3413" t="s">
        <v>1693</v>
      </c>
      <c r="Z32" s="1263" t="str">
        <f t="shared" si="18"/>
        <v>建筑类型</v>
      </c>
      <c r="AA32" s="1263">
        <f t="shared" si="15"/>
        <v>1</v>
      </c>
      <c r="AB32" s="1263">
        <f t="shared" si="16"/>
        <v>1</v>
      </c>
      <c r="AC32" s="1263">
        <f t="shared" si="17"/>
        <v>1</v>
      </c>
    </row>
    <row r="33" spans="1:29" s="407" customFormat="1" ht="15">
      <c r="A33" s="405"/>
      <c r="B33" s="363" t="s">
        <v>1694</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11"/>
      <c r="Q33" s="530" t="str">
        <f t="shared" si="11"/>
        <v>项目建筑规模</v>
      </c>
      <c r="R33" s="668" t="s">
        <v>18</v>
      </c>
      <c r="S33" s="669" t="e">
        <f t="shared" si="12"/>
        <v>#N/A</v>
      </c>
      <c r="T33" s="668" t="s">
        <v>18</v>
      </c>
      <c r="U33" s="669" t="e">
        <f t="shared" si="13"/>
        <v>#N/A</v>
      </c>
      <c r="V33" s="668" t="s">
        <v>18</v>
      </c>
      <c r="W33" s="669" t="e">
        <f t="shared" si="14"/>
        <v>#N/A</v>
      </c>
      <c r="X33" s="670"/>
      <c r="Y33" s="3413"/>
      <c r="Z33" s="671" t="str">
        <f t="shared" si="18"/>
        <v>项目建筑规模</v>
      </c>
      <c r="AA33" s="1263" t="e">
        <f t="shared" si="15"/>
        <v>#N/A</v>
      </c>
      <c r="AB33" s="1263" t="e">
        <f t="shared" si="16"/>
        <v>#N/A</v>
      </c>
      <c r="AC33" s="1263" t="e">
        <f t="shared" si="17"/>
        <v>#N/A</v>
      </c>
    </row>
    <row r="34" spans="1:29" ht="15">
      <c r="A34" s="408"/>
      <c r="B34" s="363" t="s">
        <v>1695</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11"/>
      <c r="Q34" s="1262" t="str">
        <f t="shared" si="11"/>
        <v>建筑结构</v>
      </c>
      <c r="R34" s="666" t="s">
        <v>18</v>
      </c>
      <c r="S34" s="667">
        <f t="shared" si="12"/>
        <v>100</v>
      </c>
      <c r="T34" s="666" t="s">
        <v>18</v>
      </c>
      <c r="U34" s="667">
        <f t="shared" si="13"/>
        <v>100</v>
      </c>
      <c r="V34" s="666" t="s">
        <v>18</v>
      </c>
      <c r="W34" s="667">
        <f t="shared" si="14"/>
        <v>100</v>
      </c>
      <c r="X34" s="1264"/>
      <c r="Y34" s="3413"/>
      <c r="Z34" s="1263" t="str">
        <f t="shared" si="18"/>
        <v>建筑结构</v>
      </c>
      <c r="AA34" s="1263">
        <f t="shared" si="15"/>
        <v>1</v>
      </c>
      <c r="AB34" s="1263">
        <f t="shared" si="16"/>
        <v>1</v>
      </c>
      <c r="AC34" s="1263">
        <f t="shared" si="17"/>
        <v>1</v>
      </c>
    </row>
    <row r="35" spans="1:29" ht="15">
      <c r="A35" s="408"/>
      <c r="B35" s="363" t="s">
        <v>1696</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11"/>
      <c r="Q35" s="1262" t="str">
        <f t="shared" si="11"/>
        <v>建筑品质</v>
      </c>
      <c r="R35" s="666" t="s">
        <v>18</v>
      </c>
      <c r="S35" s="667">
        <f t="shared" si="12"/>
        <v>100</v>
      </c>
      <c r="T35" s="666" t="s">
        <v>18</v>
      </c>
      <c r="U35" s="667">
        <f t="shared" si="13"/>
        <v>100</v>
      </c>
      <c r="V35" s="666" t="s">
        <v>18</v>
      </c>
      <c r="W35" s="667">
        <f t="shared" si="14"/>
        <v>100</v>
      </c>
      <c r="X35" s="1264"/>
      <c r="Y35" s="3413"/>
      <c r="Z35" s="1263" t="str">
        <f t="shared" si="18"/>
        <v>建筑品质</v>
      </c>
      <c r="AA35" s="1263">
        <f t="shared" si="15"/>
        <v>1</v>
      </c>
      <c r="AB35" s="1263">
        <f t="shared" si="16"/>
        <v>1</v>
      </c>
      <c r="AC35" s="1263">
        <f t="shared" si="17"/>
        <v>1</v>
      </c>
    </row>
    <row r="36" spans="1:29" ht="15">
      <c r="A36" s="408"/>
      <c r="B36" s="363" t="s">
        <v>1697</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11"/>
      <c r="Q36" s="1262" t="str">
        <f t="shared" si="11"/>
        <v>公共部分装修</v>
      </c>
      <c r="R36" s="666" t="s">
        <v>18</v>
      </c>
      <c r="S36" s="667">
        <f t="shared" si="12"/>
        <v>100</v>
      </c>
      <c r="T36" s="666" t="s">
        <v>18</v>
      </c>
      <c r="U36" s="667">
        <f t="shared" si="13"/>
        <v>100</v>
      </c>
      <c r="V36" s="666" t="s">
        <v>18</v>
      </c>
      <c r="W36" s="667">
        <f t="shared" si="14"/>
        <v>100</v>
      </c>
      <c r="X36" s="1264"/>
      <c r="Y36" s="3413"/>
      <c r="Z36" s="1263" t="str">
        <f t="shared" si="18"/>
        <v>公共部分装修</v>
      </c>
      <c r="AA36" s="1263">
        <f t="shared" si="15"/>
        <v>1</v>
      </c>
      <c r="AB36" s="1263">
        <f t="shared" si="16"/>
        <v>1</v>
      </c>
      <c r="AC36" s="1263">
        <f t="shared" si="17"/>
        <v>1</v>
      </c>
    </row>
    <row r="37" spans="1:29" s="101" customFormat="1" ht="15">
      <c r="A37" s="409"/>
      <c r="B37" s="363" t="s">
        <v>1698</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11"/>
      <c r="Q37" s="529" t="str">
        <f t="shared" si="11"/>
        <v>成新度</v>
      </c>
      <c r="R37" s="663" t="s">
        <v>18</v>
      </c>
      <c r="S37" s="664" t="e">
        <f t="shared" si="12"/>
        <v>#N/A</v>
      </c>
      <c r="T37" s="663" t="s">
        <v>18</v>
      </c>
      <c r="U37" s="664" t="e">
        <f t="shared" si="13"/>
        <v>#N/A</v>
      </c>
      <c r="V37" s="663" t="s">
        <v>18</v>
      </c>
      <c r="W37" s="664" t="e">
        <f t="shared" si="14"/>
        <v>#N/A</v>
      </c>
      <c r="X37" s="665"/>
      <c r="Y37" s="3413"/>
      <c r="Z37" s="50" t="str">
        <f t="shared" si="18"/>
        <v>成新度</v>
      </c>
      <c r="AA37" s="50" t="e">
        <f t="shared" si="15"/>
        <v>#N/A</v>
      </c>
      <c r="AB37" s="50" t="e">
        <f t="shared" si="16"/>
        <v>#N/A</v>
      </c>
      <c r="AC37" s="50" t="e">
        <f t="shared" si="17"/>
        <v>#N/A</v>
      </c>
    </row>
    <row r="38" spans="1:29" ht="15">
      <c r="A38" s="408"/>
      <c r="B38" s="363" t="s">
        <v>1699</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11" t="s">
        <v>1693</v>
      </c>
      <c r="Q38" s="1262" t="str">
        <f t="shared" si="11"/>
        <v>物业管理</v>
      </c>
      <c r="R38" s="666" t="s">
        <v>18</v>
      </c>
      <c r="S38" s="667">
        <f t="shared" si="12"/>
        <v>100</v>
      </c>
      <c r="T38" s="666" t="s">
        <v>18</v>
      </c>
      <c r="U38" s="667">
        <f t="shared" si="13"/>
        <v>100</v>
      </c>
      <c r="V38" s="666" t="s">
        <v>18</v>
      </c>
      <c r="W38" s="667">
        <f t="shared" si="14"/>
        <v>100</v>
      </c>
      <c r="X38" s="1264"/>
      <c r="Y38" s="3413" t="s">
        <v>1693</v>
      </c>
      <c r="Z38" s="1263" t="str">
        <f t="shared" si="18"/>
        <v>物业管理</v>
      </c>
      <c r="AA38" s="1263">
        <f t="shared" si="15"/>
        <v>1</v>
      </c>
      <c r="AB38" s="1263">
        <f t="shared" si="16"/>
        <v>1</v>
      </c>
      <c r="AC38" s="1263">
        <f t="shared" si="17"/>
        <v>1</v>
      </c>
    </row>
    <row r="39" spans="1:29" ht="15">
      <c r="A39" s="408"/>
      <c r="B39" s="363" t="s">
        <v>1700</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11"/>
      <c r="Q39" s="1262" t="str">
        <f t="shared" si="11"/>
        <v>市政基础设施</v>
      </c>
      <c r="R39" s="666" t="s">
        <v>18</v>
      </c>
      <c r="S39" s="667">
        <f t="shared" si="12"/>
        <v>100</v>
      </c>
      <c r="T39" s="666" t="s">
        <v>18</v>
      </c>
      <c r="U39" s="667">
        <f t="shared" si="13"/>
        <v>100</v>
      </c>
      <c r="V39" s="666" t="s">
        <v>18</v>
      </c>
      <c r="W39" s="667">
        <f t="shared" si="14"/>
        <v>100</v>
      </c>
      <c r="X39" s="1264"/>
      <c r="Y39" s="3413"/>
      <c r="Z39" s="1263" t="str">
        <f t="shared" si="18"/>
        <v>市政基础设施</v>
      </c>
      <c r="AA39" s="1263">
        <f t="shared" si="15"/>
        <v>1</v>
      </c>
      <c r="AB39" s="1263">
        <f t="shared" si="16"/>
        <v>1</v>
      </c>
      <c r="AC39" s="1263">
        <f t="shared" si="17"/>
        <v>1</v>
      </c>
    </row>
    <row r="40" spans="1:29" ht="15">
      <c r="A40" s="408"/>
      <c r="B40" s="363" t="s">
        <v>1701</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11"/>
      <c r="Q40" s="1262" t="str">
        <f t="shared" si="11"/>
        <v>房型</v>
      </c>
      <c r="R40" s="666" t="s">
        <v>18</v>
      </c>
      <c r="S40" s="667">
        <f t="shared" si="12"/>
        <v>100</v>
      </c>
      <c r="T40" s="666" t="s">
        <v>18</v>
      </c>
      <c r="U40" s="667">
        <f t="shared" si="13"/>
        <v>100</v>
      </c>
      <c r="V40" s="666" t="s">
        <v>18</v>
      </c>
      <c r="W40" s="667">
        <f t="shared" si="14"/>
        <v>100</v>
      </c>
      <c r="X40" s="1264"/>
      <c r="Y40" s="3413"/>
      <c r="Z40" s="1263" t="str">
        <f t="shared" si="18"/>
        <v>房型</v>
      </c>
      <c r="AA40" s="1263">
        <f t="shared" si="15"/>
        <v>1</v>
      </c>
      <c r="AB40" s="1263">
        <f t="shared" si="16"/>
        <v>1</v>
      </c>
      <c r="AC40" s="1263">
        <f t="shared" si="17"/>
        <v>1</v>
      </c>
    </row>
    <row r="41" spans="1:29" s="407" customFormat="1" ht="28.5">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11"/>
      <c r="Q41" s="530" t="str">
        <f t="shared" si="11"/>
        <v>单套/主力户型建筑面积</v>
      </c>
      <c r="R41" s="668" t="s">
        <v>18</v>
      </c>
      <c r="S41" s="669">
        <f t="shared" si="12"/>
        <v>100</v>
      </c>
      <c r="T41" s="668" t="s">
        <v>18</v>
      </c>
      <c r="U41" s="669">
        <f t="shared" si="13"/>
        <v>100</v>
      </c>
      <c r="V41" s="668" t="s">
        <v>18</v>
      </c>
      <c r="W41" s="669">
        <f t="shared" si="14"/>
        <v>100</v>
      </c>
      <c r="X41" s="670"/>
      <c r="Y41" s="3413"/>
      <c r="Z41" s="671" t="str">
        <f t="shared" si="18"/>
        <v>单套/主力户型建筑面积</v>
      </c>
      <c r="AA41" s="1263">
        <f t="shared" si="15"/>
        <v>1</v>
      </c>
      <c r="AB41" s="1263">
        <f t="shared" si="16"/>
        <v>1</v>
      </c>
      <c r="AC41" s="1263">
        <f t="shared" si="17"/>
        <v>1</v>
      </c>
    </row>
    <row r="42" spans="1:29" ht="15">
      <c r="A42" s="408"/>
      <c r="B42" s="363" t="s">
        <v>1703</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11"/>
      <c r="Q42" s="1262" t="str">
        <f t="shared" si="11"/>
        <v>内部装修</v>
      </c>
      <c r="R42" s="666" t="s">
        <v>18</v>
      </c>
      <c r="S42" s="667">
        <f t="shared" si="12"/>
        <v>100</v>
      </c>
      <c r="T42" s="666" t="s">
        <v>18</v>
      </c>
      <c r="U42" s="667">
        <f t="shared" si="13"/>
        <v>100</v>
      </c>
      <c r="V42" s="666" t="s">
        <v>18</v>
      </c>
      <c r="W42" s="667">
        <f t="shared" si="14"/>
        <v>100</v>
      </c>
      <c r="X42" s="1264"/>
      <c r="Y42" s="3413"/>
      <c r="Z42" s="1263" t="str">
        <f t="shared" si="18"/>
        <v>内部装修</v>
      </c>
      <c r="AA42" s="1263">
        <f t="shared" si="15"/>
        <v>1</v>
      </c>
      <c r="AB42" s="1263">
        <f t="shared" si="16"/>
        <v>1</v>
      </c>
      <c r="AC42" s="1263">
        <f t="shared" si="17"/>
        <v>1</v>
      </c>
    </row>
    <row r="43" spans="1:29" ht="15">
      <c r="A43" s="408"/>
      <c r="B43" s="363" t="s">
        <v>1704</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11"/>
      <c r="Q43" s="1262" t="str">
        <f t="shared" si="11"/>
        <v>内部装修维护情况</v>
      </c>
      <c r="R43" s="666" t="s">
        <v>18</v>
      </c>
      <c r="S43" s="667">
        <f t="shared" si="12"/>
        <v>100</v>
      </c>
      <c r="T43" s="666" t="s">
        <v>18</v>
      </c>
      <c r="U43" s="667">
        <f t="shared" si="13"/>
        <v>100</v>
      </c>
      <c r="V43" s="666" t="s">
        <v>18</v>
      </c>
      <c r="W43" s="667">
        <f t="shared" si="14"/>
        <v>100</v>
      </c>
      <c r="X43" s="1264"/>
      <c r="Y43" s="3413"/>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11"/>
      <c r="Q44" s="529">
        <f t="shared" si="11"/>
        <v>111</v>
      </c>
      <c r="R44" s="663" t="s">
        <v>18</v>
      </c>
      <c r="S44" s="664">
        <f t="shared" si="12"/>
        <v>100</v>
      </c>
      <c r="T44" s="663" t="s">
        <v>18</v>
      </c>
      <c r="U44" s="664">
        <f t="shared" si="13"/>
        <v>100</v>
      </c>
      <c r="V44" s="663" t="s">
        <v>18</v>
      </c>
      <c r="W44" s="664">
        <f t="shared" si="14"/>
        <v>100</v>
      </c>
      <c r="X44" s="665"/>
      <c r="Y44" s="3413"/>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11"/>
      <c r="Q45" s="1262">
        <f t="shared" si="11"/>
        <v>111</v>
      </c>
      <c r="R45" s="666" t="s">
        <v>18</v>
      </c>
      <c r="S45" s="667">
        <f t="shared" si="12"/>
        <v>100</v>
      </c>
      <c r="T45" s="666" t="s">
        <v>18</v>
      </c>
      <c r="U45" s="667">
        <f t="shared" si="13"/>
        <v>100</v>
      </c>
      <c r="V45" s="666" t="s">
        <v>18</v>
      </c>
      <c r="W45" s="667">
        <f t="shared" si="14"/>
        <v>100</v>
      </c>
      <c r="X45" s="1264"/>
      <c r="Y45" s="3413"/>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12"/>
      <c r="Q46" s="1262">
        <f t="shared" si="11"/>
        <v>111</v>
      </c>
      <c r="R46" s="666" t="s">
        <v>17</v>
      </c>
      <c r="S46" s="667">
        <f t="shared" si="12"/>
        <v>100</v>
      </c>
      <c r="T46" s="666" t="s">
        <v>17</v>
      </c>
      <c r="U46" s="667">
        <f t="shared" si="13"/>
        <v>100</v>
      </c>
      <c r="V46" s="666" t="s">
        <v>17</v>
      </c>
      <c r="W46" s="667">
        <f t="shared" si="14"/>
        <v>100</v>
      </c>
      <c r="X46" s="1264"/>
      <c r="Y46" s="3414"/>
      <c r="Z46" s="1263">
        <f t="shared" si="18"/>
        <v>111</v>
      </c>
      <c r="AA46" s="1263">
        <f t="shared" si="15"/>
        <v>1</v>
      </c>
      <c r="AB46" s="1263">
        <f t="shared" si="16"/>
        <v>1</v>
      </c>
      <c r="AC46" s="1263">
        <f t="shared" si="17"/>
        <v>1</v>
      </c>
    </row>
    <row r="47" spans="1:29" ht="15">
      <c r="A47" s="415" t="s">
        <v>1705</v>
      </c>
      <c r="B47" s="416"/>
      <c r="C47" s="1080" t="s">
        <v>16</v>
      </c>
      <c r="D47" s="417"/>
      <c r="E47" s="418"/>
      <c r="F47" s="419"/>
      <c r="G47" s="420"/>
      <c r="H47" s="421"/>
      <c r="I47" s="418"/>
      <c r="J47" s="421"/>
      <c r="K47" s="1766"/>
      <c r="L47" s="2491"/>
      <c r="M47" s="2484"/>
      <c r="N47" s="2484"/>
      <c r="O47" s="2484"/>
      <c r="P47" s="3415" t="str">
        <f>A47</f>
        <v>成交单价（元/平方米）</v>
      </c>
      <c r="Q47" s="3415"/>
      <c r="R47" s="3377">
        <f>E47</f>
        <v>0</v>
      </c>
      <c r="S47" s="3377"/>
      <c r="T47" s="3377">
        <f>G47</f>
        <v>0</v>
      </c>
      <c r="U47" s="3377"/>
      <c r="V47" s="3377">
        <f>I47</f>
        <v>0</v>
      </c>
      <c r="W47" s="3377"/>
      <c r="X47" s="384"/>
      <c r="Y47" s="672"/>
      <c r="Z47" s="384"/>
      <c r="AA47" s="384"/>
      <c r="AB47" s="384"/>
      <c r="AC47" s="384"/>
    </row>
    <row r="48" spans="1:29" ht="15.75" thickBot="1">
      <c r="A48" s="422" t="s">
        <v>1706</v>
      </c>
      <c r="B48" s="423"/>
      <c r="C48" s="1081" t="e">
        <f>R49</f>
        <v>#DIV/0!</v>
      </c>
      <c r="D48" s="2140" t="s">
        <v>2135</v>
      </c>
      <c r="E48" s="1082" t="e">
        <f>R48</f>
        <v>#DIV/0!</v>
      </c>
      <c r="F48" s="2141"/>
      <c r="G48" s="1081" t="e">
        <f>T48</f>
        <v>#DIV/0!</v>
      </c>
      <c r="H48" s="2141"/>
      <c r="I48" s="1082" t="e">
        <f>V48</f>
        <v>#DIV/0!</v>
      </c>
      <c r="J48" s="2141"/>
      <c r="K48" s="2142">
        <f>F48+H48+J48</f>
        <v>0</v>
      </c>
      <c r="L48" s="2491"/>
      <c r="M48" s="2484"/>
      <c r="N48" s="2484"/>
      <c r="O48" s="2484"/>
      <c r="P48" s="3415" t="str">
        <f>A48</f>
        <v>比较价值（元/平方米）</v>
      </c>
      <c r="Q48" s="3415"/>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4"/>
      <c r="Y48" s="384"/>
      <c r="Z48" s="384"/>
      <c r="AA48" s="384"/>
      <c r="AB48" s="384"/>
      <c r="AC48" s="384"/>
    </row>
    <row r="49" spans="1:29" ht="15.75" thickBot="1">
      <c r="A49" s="426" t="s">
        <v>1707</v>
      </c>
      <c r="B49" s="427"/>
      <c r="C49" s="1083" t="e">
        <f>R49</f>
        <v>#DIV/0!</v>
      </c>
      <c r="D49" s="350"/>
      <c r="E49" s="350"/>
      <c r="F49" s="350"/>
      <c r="G49" s="350"/>
      <c r="H49" s="350"/>
      <c r="I49" s="350"/>
      <c r="J49" s="350"/>
      <c r="K49" s="1767"/>
      <c r="L49" s="2491"/>
      <c r="M49" s="2484"/>
      <c r="N49" s="2484"/>
      <c r="O49" s="2484"/>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1708</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1709</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1710</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1711</v>
      </c>
      <c r="B57" s="384"/>
      <c r="C57" s="658"/>
      <c r="D57" s="658"/>
      <c r="E57" s="658"/>
      <c r="F57" s="659"/>
      <c r="G57" s="659"/>
      <c r="H57" s="658"/>
      <c r="I57" s="658"/>
      <c r="J57" s="658"/>
      <c r="K57" s="886"/>
      <c r="L57" s="887"/>
      <c r="M57" s="885"/>
      <c r="N57" s="885"/>
      <c r="O57" s="885"/>
      <c r="P57" s="1770"/>
      <c r="Q57" s="438"/>
    </row>
    <row r="58" spans="1:29" s="441" customFormat="1" ht="15">
      <c r="A58" s="439" t="s">
        <v>1712</v>
      </c>
      <c r="B58" s="440"/>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1713</v>
      </c>
      <c r="B60" s="449"/>
      <c r="C60" s="450"/>
      <c r="D60" s="451"/>
      <c r="E60" s="451"/>
      <c r="F60" s="451"/>
      <c r="G60" s="451"/>
      <c r="H60" s="451"/>
      <c r="I60" s="451"/>
      <c r="J60" s="451"/>
      <c r="K60" s="451"/>
      <c r="L60" s="451"/>
      <c r="M60" s="452"/>
      <c r="N60" s="451"/>
      <c r="O60" s="452"/>
      <c r="P60" s="1772"/>
      <c r="Q60" s="438"/>
    </row>
    <row r="61" spans="1:29" s="101" customFormat="1" ht="15">
      <c r="A61" s="454" t="s">
        <v>1714</v>
      </c>
      <c r="B61" s="443"/>
      <c r="C61" s="455" t="s">
        <v>1715</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1716</v>
      </c>
      <c r="B63" s="459" t="s">
        <v>1682</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1685</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1686</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1687</v>
      </c>
      <c r="B76" s="459" t="s">
        <v>1717</v>
      </c>
      <c r="C76" s="503" t="s">
        <v>1718</v>
      </c>
      <c r="D76" s="503" t="s">
        <v>1719</v>
      </c>
      <c r="E76" s="503" t="s">
        <v>1720</v>
      </c>
      <c r="F76" s="503" t="s">
        <v>1721</v>
      </c>
      <c r="G76" s="503" t="s">
        <v>1722</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1725</v>
      </c>
      <c r="D82" s="469" t="s">
        <v>1726</v>
      </c>
      <c r="E82" s="469" t="s">
        <v>1727</v>
      </c>
      <c r="F82" s="469" t="s">
        <v>1728</v>
      </c>
      <c r="G82" s="469" t="s">
        <v>1729</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1731</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1732</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1691</v>
      </c>
      <c r="B100" s="459" t="s">
        <v>1733</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1734</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1735</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1736</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1737</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1738</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1739</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1740</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1702</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1741</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1742</v>
      </c>
      <c r="C124" s="508" t="s">
        <v>1718</v>
      </c>
      <c r="D124" s="508" t="s">
        <v>1719</v>
      </c>
      <c r="E124" s="508" t="s">
        <v>1720</v>
      </c>
      <c r="F124" s="508" t="s">
        <v>1721</v>
      </c>
      <c r="G124" s="508" t="s">
        <v>1722</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1743</v>
      </c>
    </row>
    <row r="137" spans="1:17" ht="15">
      <c r="B137" s="1781" t="s">
        <v>1744</v>
      </c>
      <c r="C137" s="1782"/>
      <c r="D137" s="1782"/>
      <c r="E137" s="1782"/>
      <c r="F137" s="1782"/>
      <c r="G137" s="1783"/>
      <c r="H137" s="1784"/>
      <c r="I137" s="1785" t="s">
        <v>1745</v>
      </c>
      <c r="J137" s="1782"/>
      <c r="K137" s="1786"/>
    </row>
    <row r="138" spans="1:17" ht="15">
      <c r="B138" s="1787"/>
      <c r="C138" s="128" t="s">
        <v>1746</v>
      </c>
      <c r="D138" s="128" t="s">
        <v>1747</v>
      </c>
      <c r="E138" s="1788" t="s">
        <v>1748</v>
      </c>
      <c r="F138" s="1789" t="s">
        <v>1749</v>
      </c>
      <c r="G138" s="128" t="s">
        <v>1747</v>
      </c>
      <c r="H138" s="129" t="s">
        <v>1748</v>
      </c>
      <c r="I138" s="1790"/>
      <c r="J138" s="128" t="s">
        <v>1750</v>
      </c>
      <c r="K138" s="129" t="s">
        <v>1751</v>
      </c>
    </row>
    <row r="139" spans="1:17" ht="15">
      <c r="B139" s="813">
        <v>6</v>
      </c>
      <c r="C139" s="814">
        <v>96</v>
      </c>
      <c r="D139" s="1791" t="s">
        <v>1752</v>
      </c>
      <c r="E139" s="815">
        <v>100</v>
      </c>
      <c r="F139" s="816">
        <v>102.5</v>
      </c>
      <c r="G139" s="1791" t="s">
        <v>1752</v>
      </c>
      <c r="H139" s="817">
        <v>105</v>
      </c>
      <c r="I139" s="1792" t="s">
        <v>1753</v>
      </c>
      <c r="J139" s="814">
        <v>20</v>
      </c>
      <c r="K139" s="818">
        <f>C145/(J139-2)</f>
        <v>4.0555555555555553E-3</v>
      </c>
    </row>
    <row r="140" spans="1:17" ht="15">
      <c r="B140" s="819">
        <v>5</v>
      </c>
      <c r="C140" s="820">
        <v>100</v>
      </c>
      <c r="D140" s="820"/>
      <c r="E140" s="821"/>
      <c r="F140" s="822">
        <v>102</v>
      </c>
      <c r="G140" s="820"/>
      <c r="H140" s="823"/>
      <c r="I140" s="1793" t="s">
        <v>1754</v>
      </c>
      <c r="J140" s="262">
        <f>ROUNDUP((J139-1)/2,0)</f>
        <v>10</v>
      </c>
      <c r="K140" s="824">
        <v>100</v>
      </c>
    </row>
    <row r="141" spans="1:17" ht="15">
      <c r="B141" s="819">
        <v>4</v>
      </c>
      <c r="C141" s="820">
        <v>102</v>
      </c>
      <c r="D141" s="820"/>
      <c r="E141" s="821"/>
      <c r="F141" s="822">
        <v>101.5</v>
      </c>
      <c r="G141" s="820"/>
      <c r="H141" s="823"/>
      <c r="I141" s="1793" t="s">
        <v>1755</v>
      </c>
      <c r="J141" s="262">
        <v>1</v>
      </c>
      <c r="K141" s="825">
        <f>ROUND(100+(J141-J140)*K139*100,1)</f>
        <v>96.4</v>
      </c>
    </row>
    <row r="142" spans="1:17" ht="15">
      <c r="B142" s="819">
        <v>3</v>
      </c>
      <c r="C142" s="820">
        <v>103</v>
      </c>
      <c r="D142" s="820"/>
      <c r="E142" s="821"/>
      <c r="F142" s="822">
        <v>101</v>
      </c>
      <c r="G142" s="820"/>
      <c r="H142" s="823"/>
      <c r="I142" s="1793" t="s">
        <v>1756</v>
      </c>
      <c r="J142" s="262">
        <f>J139</f>
        <v>20</v>
      </c>
      <c r="K142" s="826">
        <v>95</v>
      </c>
    </row>
    <row r="143" spans="1:17" ht="15">
      <c r="B143" s="819">
        <v>2</v>
      </c>
      <c r="C143" s="820">
        <v>100</v>
      </c>
      <c r="D143" s="820"/>
      <c r="E143" s="821"/>
      <c r="F143" s="822">
        <v>100.5</v>
      </c>
      <c r="G143" s="820"/>
      <c r="H143" s="823"/>
      <c r="I143" s="1793" t="s">
        <v>1757</v>
      </c>
      <c r="J143" s="820">
        <v>15</v>
      </c>
      <c r="K143" s="825">
        <f>ROUND(100+(J143-J140)*K139*100,1)</f>
        <v>102</v>
      </c>
    </row>
    <row r="144" spans="1:17" ht="15">
      <c r="B144" s="819">
        <v>1</v>
      </c>
      <c r="C144" s="820">
        <v>98</v>
      </c>
      <c r="D144" s="1794" t="s">
        <v>1758</v>
      </c>
      <c r="E144" s="821">
        <v>102</v>
      </c>
      <c r="F144" s="827">
        <v>100</v>
      </c>
      <c r="G144" s="1794" t="s">
        <v>1758</v>
      </c>
      <c r="H144" s="823">
        <v>105</v>
      </c>
      <c r="I144" s="1793" t="s">
        <v>1757</v>
      </c>
      <c r="J144" s="820">
        <v>18</v>
      </c>
      <c r="K144" s="825">
        <f>ROUND(100+(J144-J140)*K139*100,1)</f>
        <v>103.2</v>
      </c>
    </row>
    <row r="145" spans="2:11" ht="15.75" thickBot="1">
      <c r="B145" s="1795" t="s">
        <v>1759</v>
      </c>
      <c r="C145" s="828">
        <f>ROUND(MAX(C139:C144)/MIN(C139:C144)-1,3)</f>
        <v>7.2999999999999995E-2</v>
      </c>
      <c r="D145" s="829"/>
      <c r="E145" s="829"/>
      <c r="F145" s="1796" t="s">
        <v>1760</v>
      </c>
      <c r="G145" s="1797"/>
      <c r="H145" s="1798"/>
      <c r="I145" s="1799" t="s">
        <v>1757</v>
      </c>
      <c r="J145" s="830">
        <v>8</v>
      </c>
      <c r="K145" s="831">
        <f>ROUND(100+(J145-J140)*K139*100,1)</f>
        <v>99.2</v>
      </c>
    </row>
    <row r="147" spans="2:11">
      <c r="B147" s="1780" t="s">
        <v>1761</v>
      </c>
    </row>
    <row r="148" spans="2:11">
      <c r="B148" s="1780"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0" priority="14"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F7:F46 H7:H46 J7:J46">
    <cfRule type="cellIs" dxfId="87" priority="1" operator="notEqual">
      <formula>100</formula>
    </cfRule>
  </conditionalFormatting>
  <conditionalFormatting sqref="F48">
    <cfRule type="expression" dxfId="86" priority="4">
      <formula>$D$48="简单平均"</formula>
    </cfRule>
  </conditionalFormatting>
  <conditionalFormatting sqref="F52:F54 H52:H54 J52:J54">
    <cfRule type="containsText" dxfId="85" priority="15" stopIfTrue="1" operator="containsText" text="超过">
      <formula>NOT(ISERROR(SEARCH("超过",F52)))</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G54">
    <cfRule type="expression" dxfId="82" priority="12" stopIfTrue="1">
      <formula>$H$54="超过30%"</formula>
    </cfRule>
  </conditionalFormatting>
  <conditionalFormatting sqref="H48">
    <cfRule type="expression" dxfId="81" priority="3">
      <formula>$D$48="简单平均"</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J48">
    <cfRule type="expression" dxfId="7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807" t="s">
        <v>1823</v>
      </c>
      <c r="C1" s="1140" t="s">
        <v>1659</v>
      </c>
      <c r="D1" s="1141"/>
      <c r="E1" s="3128"/>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1460</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1461</v>
      </c>
      <c r="B3" s="535">
        <f>IF(C2="——",C43,ROUND(B2*10000/D3,0))</f>
        <v>0</v>
      </c>
      <c r="C3" s="343" t="s">
        <v>1765</v>
      </c>
      <c r="D3" s="342">
        <f>IF(D1="",'数据-汇总表'!E3,SUMIF('数据-汇总表'!$C19:$C33,D1,'数据-汇总表'!$E19:$E33))</f>
        <v>7170.4100000000008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393" t="s">
        <v>1767</v>
      </c>
      <c r="D4" s="3394"/>
      <c r="E4" s="3395" t="s">
        <v>1768</v>
      </c>
      <c r="F4" s="3396"/>
      <c r="G4" s="3393" t="s">
        <v>1769</v>
      </c>
      <c r="H4" s="3394"/>
      <c r="I4" s="3393" t="s">
        <v>1770</v>
      </c>
      <c r="J4" s="3394"/>
      <c r="K4" s="536" t="s">
        <v>1771</v>
      </c>
      <c r="L4" s="859"/>
      <c r="M4" s="860"/>
      <c r="N4" s="860"/>
      <c r="O4" s="860"/>
      <c r="P4" s="3397" t="s">
        <v>1772</v>
      </c>
      <c r="Q4" s="3398"/>
      <c r="R4" s="3380" t="s">
        <v>1768</v>
      </c>
      <c r="S4" s="3381"/>
      <c r="T4" s="3380" t="s">
        <v>1769</v>
      </c>
      <c r="U4" s="3381"/>
      <c r="V4" s="3377" t="s">
        <v>1770</v>
      </c>
      <c r="W4" s="3377"/>
      <c r="X4" s="1264"/>
      <c r="Y4" s="3380" t="s">
        <v>1772</v>
      </c>
      <c r="Z4" s="3381"/>
      <c r="AA4" s="3374" t="s">
        <v>1768</v>
      </c>
      <c r="AB4" s="3375" t="s">
        <v>1769</v>
      </c>
      <c r="AC4" s="3374" t="s">
        <v>1770</v>
      </c>
    </row>
    <row r="5" spans="1:29" ht="15">
      <c r="A5" s="347"/>
      <c r="B5" s="348"/>
      <c r="C5" s="3386" t="s">
        <v>1670</v>
      </c>
      <c r="D5" s="3387"/>
      <c r="E5" s="3480" t="s">
        <v>1671</v>
      </c>
      <c r="F5" s="3385"/>
      <c r="G5" s="3386" t="s">
        <v>1672</v>
      </c>
      <c r="H5" s="3387"/>
      <c r="I5" s="3386" t="s">
        <v>1673</v>
      </c>
      <c r="J5" s="3387"/>
      <c r="K5" s="536"/>
      <c r="L5" s="859"/>
      <c r="M5" s="860"/>
      <c r="N5" s="860"/>
      <c r="O5" s="860"/>
      <c r="P5" s="3399"/>
      <c r="Q5" s="3400"/>
      <c r="R5" s="3382"/>
      <c r="S5" s="3383"/>
      <c r="T5" s="3382"/>
      <c r="U5" s="3383"/>
      <c r="V5" s="3377"/>
      <c r="W5" s="3377"/>
      <c r="X5" s="1264"/>
      <c r="Y5" s="3382"/>
      <c r="Z5" s="3383"/>
      <c r="AA5" s="3375"/>
      <c r="AB5" s="3375"/>
      <c r="AC5" s="3375"/>
    </row>
    <row r="6" spans="1:29" ht="15.75" thickBot="1">
      <c r="A6" s="349"/>
      <c r="B6" s="350"/>
      <c r="C6" s="3388" t="s">
        <v>1674</v>
      </c>
      <c r="D6" s="3389"/>
      <c r="E6" s="3390" t="s">
        <v>1674</v>
      </c>
      <c r="F6" s="3391"/>
      <c r="G6" s="3388" t="s">
        <v>1674</v>
      </c>
      <c r="H6" s="3389"/>
      <c r="I6" s="3388" t="s">
        <v>1674</v>
      </c>
      <c r="J6" s="3389"/>
      <c r="K6" s="536" t="s">
        <v>1675</v>
      </c>
      <c r="L6" s="859"/>
      <c r="M6" s="860"/>
      <c r="N6" s="860"/>
      <c r="O6" s="860"/>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SUMIF(52:52,YEAR(E7)&amp;"-"&amp;MONTH(E7),53:53)</f>
        <v>0</v>
      </c>
      <c r="G7" s="355"/>
      <c r="H7" s="354">
        <f>SUMIF(52:52,YEAR(G7)&amp;"-"&amp;MONTH(G7),53:53)</f>
        <v>0</v>
      </c>
      <c r="I7" s="355"/>
      <c r="J7" s="354">
        <f>SUMIF(52:52,YEAR(I7)&amp;"-"&amp;MONTH(I7),53:53)</f>
        <v>0</v>
      </c>
      <c r="K7" s="38"/>
      <c r="L7" s="861"/>
      <c r="M7" s="862"/>
      <c r="N7" s="862"/>
      <c r="O7" s="862"/>
      <c r="P7" s="3378" t="s">
        <v>1677</v>
      </c>
      <c r="Q7" s="3405"/>
      <c r="R7" s="663" t="s">
        <v>14</v>
      </c>
      <c r="S7" s="664">
        <f t="shared" ref="S7:S15" si="0">F7</f>
        <v>0</v>
      </c>
      <c r="T7" s="663" t="s">
        <v>14</v>
      </c>
      <c r="U7" s="664">
        <f t="shared" ref="U7:U15" si="1">H7</f>
        <v>0</v>
      </c>
      <c r="V7" s="663" t="s">
        <v>14</v>
      </c>
      <c r="W7" s="664">
        <f t="shared" ref="W7:W15" si="2">J7</f>
        <v>0</v>
      </c>
      <c r="X7" s="665"/>
      <c r="Y7" s="3378" t="s">
        <v>1677</v>
      </c>
      <c r="Z7" s="3379"/>
      <c r="AA7" s="50" t="e">
        <f>D7/F7</f>
        <v>#DIV/0!</v>
      </c>
      <c r="AB7" s="50" t="e">
        <f>D7/H7</f>
        <v>#DIV/0!</v>
      </c>
      <c r="AC7" s="50" t="e">
        <f>D7/J7</f>
        <v>#DIV/0!</v>
      </c>
    </row>
    <row r="8" spans="1:29" s="101" customFormat="1" ht="15.75" thickBot="1">
      <c r="A8" s="351" t="s">
        <v>1678</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78" t="s">
        <v>1680</v>
      </c>
      <c r="Q8" s="3379"/>
      <c r="R8" s="663" t="s">
        <v>14</v>
      </c>
      <c r="S8" s="664">
        <f t="shared" si="0"/>
        <v>100</v>
      </c>
      <c r="T8" s="663" t="s">
        <v>14</v>
      </c>
      <c r="U8" s="664">
        <f t="shared" si="1"/>
        <v>100</v>
      </c>
      <c r="V8" s="663" t="s">
        <v>14</v>
      </c>
      <c r="W8" s="664">
        <f t="shared" si="2"/>
        <v>100</v>
      </c>
      <c r="X8" s="665"/>
      <c r="Y8" s="3378" t="s">
        <v>1680</v>
      </c>
      <c r="Z8" s="3379"/>
      <c r="AA8" s="50">
        <f t="shared" ref="AA8:AA40" si="3">D8/F8</f>
        <v>1</v>
      </c>
      <c r="AB8" s="50">
        <f t="shared" ref="AB8:AB40" si="4">D8/H8</f>
        <v>1</v>
      </c>
      <c r="AC8" s="50">
        <f t="shared" ref="AC8:AC40" si="5">D8/J8</f>
        <v>1</v>
      </c>
    </row>
    <row r="9" spans="1:29" s="101" customFormat="1">
      <c r="A9" s="358" t="s">
        <v>1681</v>
      </c>
      <c r="B9" s="60" t="s">
        <v>1682</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5"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50">
        <f t="shared" si="5"/>
        <v>1</v>
      </c>
    </row>
    <row r="10" spans="1:29" s="365" customFormat="1" ht="27">
      <c r="A10" s="362"/>
      <c r="B10" s="363" t="s">
        <v>1685</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415"/>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50">
        <f t="shared" si="5"/>
        <v>1</v>
      </c>
    </row>
    <row r="11" spans="1:29" ht="15">
      <c r="A11" s="366"/>
      <c r="B11" s="363" t="s">
        <v>1686</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5"/>
      <c r="Q11" s="529" t="str">
        <f t="shared" si="6"/>
        <v>容积率</v>
      </c>
      <c r="R11" s="663" t="s">
        <v>14</v>
      </c>
      <c r="S11" s="664">
        <f t="shared" si="0"/>
        <v>100</v>
      </c>
      <c r="T11" s="663" t="s">
        <v>14</v>
      </c>
      <c r="U11" s="664">
        <f t="shared" si="1"/>
        <v>100</v>
      </c>
      <c r="V11" s="663" t="s">
        <v>14</v>
      </c>
      <c r="W11" s="664">
        <f t="shared" si="2"/>
        <v>100</v>
      </c>
      <c r="X11" s="665"/>
      <c r="Y11" s="334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15"/>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15"/>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5"/>
      <c r="Q14" s="529">
        <f t="shared" si="6"/>
        <v>111</v>
      </c>
      <c r="R14" s="663" t="s">
        <v>14</v>
      </c>
      <c r="S14" s="664">
        <f t="shared" si="0"/>
        <v>100</v>
      </c>
      <c r="T14" s="663" t="s">
        <v>14</v>
      </c>
      <c r="U14" s="664">
        <f t="shared" si="1"/>
        <v>100</v>
      </c>
      <c r="V14" s="663" t="s">
        <v>14</v>
      </c>
      <c r="W14" s="664">
        <f t="shared" si="2"/>
        <v>100</v>
      </c>
      <c r="X14" s="665"/>
      <c r="Y14" s="3343"/>
      <c r="Z14" s="50">
        <f t="shared" si="7"/>
        <v>111</v>
      </c>
      <c r="AA14" s="50">
        <f t="shared" si="3"/>
        <v>1</v>
      </c>
      <c r="AB14" s="50">
        <f t="shared" si="4"/>
        <v>1</v>
      </c>
      <c r="AC14" s="50">
        <f t="shared" si="5"/>
        <v>1</v>
      </c>
    </row>
    <row r="15" spans="1:29" ht="57">
      <c r="A15" s="378" t="s">
        <v>1687</v>
      </c>
      <c r="B15" s="58" t="s">
        <v>1824</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8" t="s">
        <v>1688</v>
      </c>
      <c r="Q15" s="1262" t="str">
        <f t="shared" si="6"/>
        <v>产业集聚程度</v>
      </c>
      <c r="R15" s="666" t="s">
        <v>14</v>
      </c>
      <c r="S15" s="667">
        <f t="shared" si="0"/>
        <v>100</v>
      </c>
      <c r="T15" s="666" t="s">
        <v>14</v>
      </c>
      <c r="U15" s="667">
        <f t="shared" si="1"/>
        <v>100</v>
      </c>
      <c r="V15" s="666" t="s">
        <v>14</v>
      </c>
      <c r="W15" s="667">
        <f t="shared" si="2"/>
        <v>100</v>
      </c>
      <c r="X15" s="1264"/>
      <c r="Y15" s="3408" t="s">
        <v>1688</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09"/>
      <c r="Q16" s="1262"/>
      <c r="R16" s="666"/>
      <c r="S16" s="667"/>
      <c r="T16" s="666"/>
      <c r="U16" s="667"/>
      <c r="V16" s="666"/>
      <c r="W16" s="667"/>
      <c r="X16" s="1264"/>
      <c r="Y16" s="3409"/>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9"/>
      <c r="Q17" s="1262" t="str">
        <f>B17</f>
        <v>交通便捷度</v>
      </c>
      <c r="R17" s="666" t="s">
        <v>14</v>
      </c>
      <c r="S17" s="667">
        <f>F17</f>
        <v>100</v>
      </c>
      <c r="T17" s="666" t="s">
        <v>14</v>
      </c>
      <c r="U17" s="667">
        <f>H17</f>
        <v>100</v>
      </c>
      <c r="V17" s="666" t="s">
        <v>14</v>
      </c>
      <c r="W17" s="667">
        <f>J17</f>
        <v>100</v>
      </c>
      <c r="X17" s="1264"/>
      <c r="Y17" s="340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09"/>
      <c r="Q18" s="1262"/>
      <c r="R18" s="666"/>
      <c r="S18" s="667"/>
      <c r="T18" s="666"/>
      <c r="U18" s="667"/>
      <c r="V18" s="666"/>
      <c r="W18" s="667"/>
      <c r="X18" s="1264"/>
      <c r="Y18" s="3409"/>
      <c r="Z18" s="1263"/>
      <c r="AA18" s="1263">
        <v>1</v>
      </c>
      <c r="AB18" s="1263">
        <v>1</v>
      </c>
      <c r="AC18" s="1263">
        <v>1</v>
      </c>
    </row>
    <row r="19" spans="1:29" ht="42.75">
      <c r="A19" s="366"/>
      <c r="B19" s="389" t="s">
        <v>1809</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9"/>
      <c r="Q19" s="1262" t="str">
        <f>B19</f>
        <v>公共配套设施</v>
      </c>
      <c r="R19" s="666" t="s">
        <v>14</v>
      </c>
      <c r="S19" s="667">
        <f>F19</f>
        <v>100</v>
      </c>
      <c r="T19" s="666" t="s">
        <v>14</v>
      </c>
      <c r="U19" s="667">
        <f>H19</f>
        <v>100</v>
      </c>
      <c r="V19" s="666" t="s">
        <v>14</v>
      </c>
      <c r="W19" s="667">
        <f>J19</f>
        <v>100</v>
      </c>
      <c r="X19" s="1264"/>
      <c r="Y19" s="340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09"/>
      <c r="Q20" s="1262"/>
      <c r="R20" s="666"/>
      <c r="S20" s="667"/>
      <c r="T20" s="666"/>
      <c r="U20" s="667"/>
      <c r="V20" s="666"/>
      <c r="W20" s="667"/>
      <c r="X20" s="1264"/>
      <c r="Y20" s="3409"/>
      <c r="Z20" s="1263"/>
      <c r="AA20" s="1263">
        <v>1</v>
      </c>
      <c r="AB20" s="1263">
        <v>1</v>
      </c>
      <c r="AC20" s="1263">
        <v>1</v>
      </c>
    </row>
    <row r="21" spans="1:29" ht="28.5">
      <c r="A21" s="366"/>
      <c r="B21" s="585" t="s">
        <v>1810</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9"/>
      <c r="Q21" s="1262" t="str">
        <f>B21</f>
        <v>基础设施水平</v>
      </c>
      <c r="R21" s="666" t="s">
        <v>14</v>
      </c>
      <c r="S21" s="667">
        <f>F21</f>
        <v>100</v>
      </c>
      <c r="T21" s="666" t="s">
        <v>14</v>
      </c>
      <c r="U21" s="667">
        <f>H21</f>
        <v>100</v>
      </c>
      <c r="V21" s="666" t="s">
        <v>14</v>
      </c>
      <c r="W21" s="667">
        <f>J21</f>
        <v>100</v>
      </c>
      <c r="X21" s="1264"/>
      <c r="Y21" s="340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09"/>
      <c r="Q22" s="1262"/>
      <c r="R22" s="666"/>
      <c r="S22" s="667"/>
      <c r="T22" s="666"/>
      <c r="U22" s="667"/>
      <c r="V22" s="666"/>
      <c r="W22" s="667"/>
      <c r="X22" s="1264"/>
      <c r="Y22" s="3409"/>
      <c r="Z22" s="1263"/>
      <c r="AA22" s="1263">
        <v>1</v>
      </c>
      <c r="AB22" s="1263">
        <v>1</v>
      </c>
      <c r="AC22" s="1263">
        <v>1</v>
      </c>
    </row>
    <row r="23" spans="1:29" ht="71.25">
      <c r="A23" s="366"/>
      <c r="B23" s="389" t="s">
        <v>1811</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9"/>
      <c r="Q23" s="1262" t="str">
        <f>B23</f>
        <v>环境质量</v>
      </c>
      <c r="R23" s="666" t="s">
        <v>14</v>
      </c>
      <c r="S23" s="667">
        <f>F23</f>
        <v>100</v>
      </c>
      <c r="T23" s="666" t="s">
        <v>14</v>
      </c>
      <c r="U23" s="667">
        <f>H23</f>
        <v>100</v>
      </c>
      <c r="V23" s="666" t="s">
        <v>14</v>
      </c>
      <c r="W23" s="667">
        <f>J23</f>
        <v>100</v>
      </c>
      <c r="X23" s="1264"/>
      <c r="Y23" s="3409"/>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09"/>
      <c r="Q24" s="1262"/>
      <c r="R24" s="666"/>
      <c r="S24" s="667"/>
      <c r="T24" s="666"/>
      <c r="U24" s="667"/>
      <c r="V24" s="666"/>
      <c r="W24" s="667"/>
      <c r="X24" s="1264"/>
      <c r="Y24" s="340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9"/>
      <c r="Q25" s="1262">
        <f>B25</f>
        <v>111</v>
      </c>
      <c r="R25" s="666" t="s">
        <v>14</v>
      </c>
      <c r="S25" s="667">
        <f>F25</f>
        <v>100</v>
      </c>
      <c r="T25" s="666" t="s">
        <v>14</v>
      </c>
      <c r="U25" s="667">
        <f>H25</f>
        <v>100</v>
      </c>
      <c r="V25" s="666" t="s">
        <v>14</v>
      </c>
      <c r="W25" s="667">
        <f>J25</f>
        <v>100</v>
      </c>
      <c r="X25" s="1264"/>
      <c r="Y25" s="340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9"/>
      <c r="Q26" s="1262">
        <f t="shared" ref="Q26:Q40" si="11">B26</f>
        <v>111</v>
      </c>
      <c r="R26" s="666" t="s">
        <v>14</v>
      </c>
      <c r="S26" s="667">
        <f>F26</f>
        <v>100</v>
      </c>
      <c r="T26" s="666" t="s">
        <v>14</v>
      </c>
      <c r="U26" s="667">
        <f>H26</f>
        <v>100</v>
      </c>
      <c r="V26" s="666" t="s">
        <v>14</v>
      </c>
      <c r="W26" s="667">
        <f>J26</f>
        <v>100</v>
      </c>
      <c r="X26" s="1264"/>
      <c r="Y26" s="3409"/>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9"/>
      <c r="Q27" s="529">
        <f t="shared" si="11"/>
        <v>111</v>
      </c>
      <c r="R27" s="663" t="s">
        <v>14</v>
      </c>
      <c r="S27" s="664">
        <f>F27</f>
        <v>100</v>
      </c>
      <c r="T27" s="663" t="s">
        <v>14</v>
      </c>
      <c r="U27" s="664">
        <f>H27</f>
        <v>100</v>
      </c>
      <c r="V27" s="663" t="s">
        <v>14</v>
      </c>
      <c r="W27" s="664">
        <f>J27</f>
        <v>100</v>
      </c>
      <c r="X27" s="665"/>
      <c r="Y27" s="3409"/>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9"/>
      <c r="Q28" s="1262">
        <f t="shared" si="11"/>
        <v>111</v>
      </c>
      <c r="R28" s="666" t="s">
        <v>14</v>
      </c>
      <c r="S28" s="667">
        <f t="shared" ref="S28:S40" si="12">F28</f>
        <v>100</v>
      </c>
      <c r="T28" s="666" t="s">
        <v>14</v>
      </c>
      <c r="U28" s="667">
        <f t="shared" ref="U28:U40" si="13">H28</f>
        <v>100</v>
      </c>
      <c r="V28" s="666" t="s">
        <v>14</v>
      </c>
      <c r="W28" s="667">
        <f t="shared" ref="W28:W40" si="14">J28</f>
        <v>100</v>
      </c>
      <c r="X28" s="1264"/>
      <c r="Y28" s="3409"/>
      <c r="Z28" s="1263">
        <f t="shared" ref="Z28:Z40" si="15">Q28</f>
        <v>111</v>
      </c>
      <c r="AA28" s="1263">
        <f t="shared" si="3"/>
        <v>1</v>
      </c>
      <c r="AB28" s="1263">
        <f t="shared" si="4"/>
        <v>1</v>
      </c>
      <c r="AC28" s="1263">
        <f t="shared" si="5"/>
        <v>1</v>
      </c>
    </row>
    <row r="29" spans="1:29" ht="28.5">
      <c r="A29" s="403" t="s">
        <v>1691</v>
      </c>
      <c r="B29" s="60" t="s">
        <v>1814</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81" t="s">
        <v>1693</v>
      </c>
      <c r="Q29" s="1262" t="str">
        <f t="shared" si="11"/>
        <v>建筑类型</v>
      </c>
      <c r="R29" s="666" t="s">
        <v>14</v>
      </c>
      <c r="S29" s="667">
        <f t="shared" si="12"/>
        <v>100</v>
      </c>
      <c r="T29" s="666" t="s">
        <v>14</v>
      </c>
      <c r="U29" s="667">
        <f t="shared" si="13"/>
        <v>100</v>
      </c>
      <c r="V29" s="666" t="s">
        <v>14</v>
      </c>
      <c r="W29" s="667">
        <f t="shared" si="14"/>
        <v>100</v>
      </c>
      <c r="X29" s="1264"/>
      <c r="Y29" s="3413" t="s">
        <v>1693</v>
      </c>
      <c r="Z29" s="1263" t="str">
        <f t="shared" si="15"/>
        <v>建筑类型</v>
      </c>
      <c r="AA29" s="1263">
        <f t="shared" si="3"/>
        <v>1</v>
      </c>
      <c r="AB29" s="1263">
        <f t="shared" si="4"/>
        <v>1</v>
      </c>
      <c r="AC29" s="1263">
        <f t="shared" si="5"/>
        <v>1</v>
      </c>
    </row>
    <row r="30" spans="1:29" s="407" customFormat="1" ht="15">
      <c r="A30" s="405"/>
      <c r="B30" s="363" t="s">
        <v>1694</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3"/>
      <c r="Q30" s="530" t="str">
        <f t="shared" si="11"/>
        <v>项目建筑规模</v>
      </c>
      <c r="R30" s="668" t="s">
        <v>14</v>
      </c>
      <c r="S30" s="669" t="e">
        <f t="shared" si="12"/>
        <v>#N/A</v>
      </c>
      <c r="T30" s="668" t="s">
        <v>14</v>
      </c>
      <c r="U30" s="669" t="e">
        <f t="shared" si="13"/>
        <v>#N/A</v>
      </c>
      <c r="V30" s="668" t="s">
        <v>14</v>
      </c>
      <c r="W30" s="669" t="e">
        <f t="shared" si="14"/>
        <v>#N/A</v>
      </c>
      <c r="X30" s="670"/>
      <c r="Y30" s="3413"/>
      <c r="Z30" s="671" t="str">
        <f t="shared" si="15"/>
        <v>项目建筑规模</v>
      </c>
      <c r="AA30" s="1263" t="e">
        <f t="shared" si="3"/>
        <v>#N/A</v>
      </c>
      <c r="AB30" s="1263" t="e">
        <f t="shared" si="4"/>
        <v>#N/A</v>
      </c>
      <c r="AC30" s="1263" t="e">
        <f t="shared" si="5"/>
        <v>#N/A</v>
      </c>
    </row>
    <row r="31" spans="1:29" ht="15">
      <c r="A31" s="408"/>
      <c r="B31" s="363" t="s">
        <v>1695</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3"/>
      <c r="Q31" s="1262" t="str">
        <f t="shared" si="11"/>
        <v>建筑结构</v>
      </c>
      <c r="R31" s="666" t="s">
        <v>14</v>
      </c>
      <c r="S31" s="667">
        <f t="shared" si="12"/>
        <v>100</v>
      </c>
      <c r="T31" s="666" t="s">
        <v>14</v>
      </c>
      <c r="U31" s="667">
        <f t="shared" si="13"/>
        <v>100</v>
      </c>
      <c r="V31" s="666" t="s">
        <v>14</v>
      </c>
      <c r="W31" s="667">
        <f t="shared" si="14"/>
        <v>100</v>
      </c>
      <c r="X31" s="1264"/>
      <c r="Y31" s="3413"/>
      <c r="Z31" s="1263" t="str">
        <f t="shared" si="15"/>
        <v>建筑结构</v>
      </c>
      <c r="AA31" s="1263">
        <f t="shared" si="3"/>
        <v>1</v>
      </c>
      <c r="AB31" s="1263">
        <f t="shared" si="4"/>
        <v>1</v>
      </c>
      <c r="AC31" s="1263">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3"/>
      <c r="Q32" s="1262" t="str">
        <f t="shared" si="11"/>
        <v>公共部分装修</v>
      </c>
      <c r="R32" s="666" t="s">
        <v>14</v>
      </c>
      <c r="S32" s="667">
        <f t="shared" si="12"/>
        <v>100</v>
      </c>
      <c r="T32" s="666" t="s">
        <v>14</v>
      </c>
      <c r="U32" s="667">
        <f t="shared" si="13"/>
        <v>100</v>
      </c>
      <c r="V32" s="666" t="s">
        <v>14</v>
      </c>
      <c r="W32" s="667">
        <f t="shared" si="14"/>
        <v>100</v>
      </c>
      <c r="X32" s="1264"/>
      <c r="Y32" s="3413"/>
      <c r="Z32" s="1263" t="str">
        <f t="shared" si="15"/>
        <v>公共部分装修</v>
      </c>
      <c r="AA32" s="1263">
        <f t="shared" si="3"/>
        <v>1</v>
      </c>
      <c r="AB32" s="1263">
        <f t="shared" si="4"/>
        <v>1</v>
      </c>
      <c r="AC32" s="1263">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3"/>
      <c r="Q33" s="1262" t="str">
        <f t="shared" si="11"/>
        <v>成新度</v>
      </c>
      <c r="R33" s="666" t="s">
        <v>14</v>
      </c>
      <c r="S33" s="667" t="e">
        <f t="shared" si="12"/>
        <v>#N/A</v>
      </c>
      <c r="T33" s="666" t="s">
        <v>14</v>
      </c>
      <c r="U33" s="667" t="e">
        <f t="shared" si="13"/>
        <v>#N/A</v>
      </c>
      <c r="V33" s="666" t="s">
        <v>14</v>
      </c>
      <c r="W33" s="667" t="e">
        <f t="shared" si="14"/>
        <v>#N/A</v>
      </c>
      <c r="X33" s="1264"/>
      <c r="Y33" s="3413"/>
      <c r="Z33" s="1263" t="str">
        <f t="shared" si="15"/>
        <v>成新度</v>
      </c>
      <c r="AA33" s="1263" t="e">
        <f t="shared" si="3"/>
        <v>#N/A</v>
      </c>
      <c r="AB33" s="1263" t="e">
        <f t="shared" si="4"/>
        <v>#N/A</v>
      </c>
      <c r="AC33" s="1263"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3"/>
      <c r="Q34" s="529" t="str">
        <f t="shared" si="11"/>
        <v>物业管理</v>
      </c>
      <c r="R34" s="663" t="s">
        <v>14</v>
      </c>
      <c r="S34" s="664">
        <f t="shared" si="12"/>
        <v>100</v>
      </c>
      <c r="T34" s="663" t="s">
        <v>14</v>
      </c>
      <c r="U34" s="664">
        <f t="shared" si="13"/>
        <v>100</v>
      </c>
      <c r="V34" s="663" t="s">
        <v>14</v>
      </c>
      <c r="W34" s="664">
        <f t="shared" si="14"/>
        <v>100</v>
      </c>
      <c r="X34" s="665"/>
      <c r="Y34" s="3413"/>
      <c r="Z34" s="50" t="str">
        <f t="shared" si="15"/>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3" t="s">
        <v>1693</v>
      </c>
      <c r="Q35" s="1262" t="str">
        <f t="shared" si="11"/>
        <v>市政基础设施</v>
      </c>
      <c r="R35" s="666" t="s">
        <v>14</v>
      </c>
      <c r="S35" s="667">
        <f t="shared" si="12"/>
        <v>100</v>
      </c>
      <c r="T35" s="666" t="s">
        <v>14</v>
      </c>
      <c r="U35" s="667">
        <f t="shared" si="13"/>
        <v>100</v>
      </c>
      <c r="V35" s="666" t="s">
        <v>14</v>
      </c>
      <c r="W35" s="667">
        <f t="shared" si="14"/>
        <v>100</v>
      </c>
      <c r="X35" s="1264"/>
      <c r="Y35" s="3413" t="s">
        <v>1693</v>
      </c>
      <c r="Z35" s="1263" t="str">
        <f t="shared" si="15"/>
        <v>市政基础设施</v>
      </c>
      <c r="AA35" s="1263">
        <f t="shared" si="3"/>
        <v>1</v>
      </c>
      <c r="AB35" s="1263">
        <f t="shared" si="4"/>
        <v>1</v>
      </c>
      <c r="AC35" s="1263">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3"/>
      <c r="Q36" s="1262" t="str">
        <f t="shared" si="11"/>
        <v>内部装修</v>
      </c>
      <c r="R36" s="666" t="s">
        <v>14</v>
      </c>
      <c r="S36" s="667">
        <f t="shared" si="12"/>
        <v>100</v>
      </c>
      <c r="T36" s="666" t="s">
        <v>14</v>
      </c>
      <c r="U36" s="667">
        <f t="shared" si="13"/>
        <v>100</v>
      </c>
      <c r="V36" s="666" t="s">
        <v>14</v>
      </c>
      <c r="W36" s="667">
        <f t="shared" si="14"/>
        <v>100</v>
      </c>
      <c r="X36" s="1264"/>
      <c r="Y36" s="3413"/>
      <c r="Z36" s="1263" t="str">
        <f t="shared" si="15"/>
        <v>内部装修</v>
      </c>
      <c r="AA36" s="1263">
        <f t="shared" si="3"/>
        <v>1</v>
      </c>
      <c r="AB36" s="1263">
        <f t="shared" si="4"/>
        <v>1</v>
      </c>
      <c r="AC36" s="1263">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3"/>
      <c r="Q37" s="1262" t="str">
        <f t="shared" si="11"/>
        <v>内部装修状况</v>
      </c>
      <c r="R37" s="666" t="s">
        <v>14</v>
      </c>
      <c r="S37" s="667">
        <f t="shared" si="12"/>
        <v>100</v>
      </c>
      <c r="T37" s="666" t="s">
        <v>14</v>
      </c>
      <c r="U37" s="667">
        <f t="shared" si="13"/>
        <v>100</v>
      </c>
      <c r="V37" s="666" t="s">
        <v>14</v>
      </c>
      <c r="W37" s="667">
        <f t="shared" si="14"/>
        <v>100</v>
      </c>
      <c r="X37" s="1264"/>
      <c r="Y37" s="3413"/>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3"/>
      <c r="Q38" s="530">
        <f t="shared" si="11"/>
        <v>111</v>
      </c>
      <c r="R38" s="668" t="s">
        <v>14</v>
      </c>
      <c r="S38" s="669">
        <f t="shared" si="12"/>
        <v>100</v>
      </c>
      <c r="T38" s="668" t="s">
        <v>14</v>
      </c>
      <c r="U38" s="669">
        <f t="shared" si="13"/>
        <v>100</v>
      </c>
      <c r="V38" s="668" t="s">
        <v>14</v>
      </c>
      <c r="W38" s="669">
        <f t="shared" si="14"/>
        <v>100</v>
      </c>
      <c r="X38" s="670"/>
      <c r="Y38" s="3413"/>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3"/>
      <c r="Q39" s="1262">
        <f t="shared" si="11"/>
        <v>111</v>
      </c>
      <c r="R39" s="666" t="s">
        <v>14</v>
      </c>
      <c r="S39" s="667">
        <f t="shared" si="12"/>
        <v>100</v>
      </c>
      <c r="T39" s="666" t="s">
        <v>14</v>
      </c>
      <c r="U39" s="667">
        <f t="shared" si="13"/>
        <v>100</v>
      </c>
      <c r="V39" s="666" t="s">
        <v>14</v>
      </c>
      <c r="W39" s="667">
        <f t="shared" si="14"/>
        <v>100</v>
      </c>
      <c r="X39" s="1264"/>
      <c r="Y39" s="3413"/>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4"/>
      <c r="Q40" s="1262">
        <f t="shared" si="11"/>
        <v>111</v>
      </c>
      <c r="R40" s="666" t="s">
        <v>14</v>
      </c>
      <c r="S40" s="667">
        <f t="shared" si="12"/>
        <v>100</v>
      </c>
      <c r="T40" s="666" t="s">
        <v>14</v>
      </c>
      <c r="U40" s="667">
        <f t="shared" si="13"/>
        <v>100</v>
      </c>
      <c r="V40" s="666" t="s">
        <v>14</v>
      </c>
      <c r="W40" s="667">
        <f t="shared" si="14"/>
        <v>100</v>
      </c>
      <c r="X40" s="1264"/>
      <c r="Y40" s="3414"/>
      <c r="Z40" s="1263">
        <f t="shared" si="15"/>
        <v>111</v>
      </c>
      <c r="AA40" s="1263">
        <f t="shared" si="3"/>
        <v>1</v>
      </c>
      <c r="AB40" s="1263">
        <f t="shared" si="4"/>
        <v>1</v>
      </c>
      <c r="AC40" s="1263">
        <f t="shared" si="5"/>
        <v>1</v>
      </c>
    </row>
    <row r="41" spans="1:29" ht="15">
      <c r="A41" s="415" t="s">
        <v>1705</v>
      </c>
      <c r="B41" s="416"/>
      <c r="C41" s="1080" t="s">
        <v>0</v>
      </c>
      <c r="D41" s="417"/>
      <c r="E41" s="418"/>
      <c r="F41" s="419"/>
      <c r="G41" s="420"/>
      <c r="H41" s="421"/>
      <c r="I41" s="418"/>
      <c r="J41" s="421"/>
      <c r="K41" s="673"/>
      <c r="L41" s="872"/>
      <c r="M41" s="860"/>
      <c r="N41" s="860"/>
      <c r="O41" s="860"/>
      <c r="P41" s="3415" t="str">
        <f>A41</f>
        <v>成交单价（元/平方米）</v>
      </c>
      <c r="Q41" s="3415"/>
      <c r="R41" s="3377">
        <f>E41</f>
        <v>0</v>
      </c>
      <c r="S41" s="3377"/>
      <c r="T41" s="3377">
        <f>G41</f>
        <v>0</v>
      </c>
      <c r="U41" s="3377"/>
      <c r="V41" s="3377">
        <f>I41</f>
        <v>0</v>
      </c>
      <c r="W41" s="3377"/>
      <c r="X41" s="384"/>
      <c r="Y41" s="672"/>
      <c r="Z41" s="384"/>
      <c r="AA41" s="384"/>
      <c r="AB41" s="384"/>
      <c r="AC41" s="384"/>
    </row>
    <row r="42" spans="1:29" ht="15.75" thickBot="1">
      <c r="A42" s="422" t="s">
        <v>1790</v>
      </c>
      <c r="B42" s="423"/>
      <c r="C42" s="1081" t="e">
        <f>R43</f>
        <v>#DIV/0!</v>
      </c>
      <c r="D42" s="2140" t="s">
        <v>2135</v>
      </c>
      <c r="E42" s="1082" t="e">
        <f>R42</f>
        <v>#DIV/0!</v>
      </c>
      <c r="F42" s="2141"/>
      <c r="G42" s="1081" t="e">
        <f>T42</f>
        <v>#DIV/0!</v>
      </c>
      <c r="H42" s="2141"/>
      <c r="I42" s="1082" t="e">
        <f>V42</f>
        <v>#DIV/0!</v>
      </c>
      <c r="J42" s="2141"/>
      <c r="K42" s="2143">
        <f>F42+H42+J42</f>
        <v>0</v>
      </c>
      <c r="L42" s="872"/>
      <c r="M42" s="860"/>
      <c r="N42" s="860"/>
      <c r="O42" s="860"/>
      <c r="P42" s="3415" t="str">
        <f>A42</f>
        <v>比较价值（元/平方米）</v>
      </c>
      <c r="Q42" s="3415"/>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1676</v>
      </c>
      <c r="B52" s="440"/>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1713</v>
      </c>
      <c r="B54" s="449"/>
      <c r="C54" s="450"/>
      <c r="D54" s="451"/>
      <c r="E54" s="451"/>
      <c r="F54" s="451"/>
      <c r="G54" s="451"/>
      <c r="H54" s="451"/>
      <c r="I54" s="451"/>
      <c r="J54" s="451"/>
      <c r="K54" s="451"/>
      <c r="L54" s="451"/>
      <c r="M54" s="452"/>
      <c r="N54" s="2535"/>
      <c r="O54" s="2536"/>
      <c r="P54" s="438"/>
      <c r="Q54" s="438"/>
    </row>
    <row r="55" spans="1:17" s="101" customFormat="1" ht="15">
      <c r="A55" s="454" t="s">
        <v>1678</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1716</v>
      </c>
      <c r="B57" s="459" t="s">
        <v>1682</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1685</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1686</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1687</v>
      </c>
      <c r="B70" s="459" t="s">
        <v>1826</v>
      </c>
      <c r="C70" s="503" t="s">
        <v>1718</v>
      </c>
      <c r="D70" s="503" t="s">
        <v>1719</v>
      </c>
      <c r="E70" s="503" t="s">
        <v>1720</v>
      </c>
      <c r="F70" s="503" t="s">
        <v>1721</v>
      </c>
      <c r="G70" s="503" t="s">
        <v>1722</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1718</v>
      </c>
      <c r="D78" s="508" t="s">
        <v>1719</v>
      </c>
      <c r="E78" s="508" t="s">
        <v>1720</v>
      </c>
      <c r="F78" s="508" t="s">
        <v>1721</v>
      </c>
      <c r="G78" s="508" t="s">
        <v>1722</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1691</v>
      </c>
      <c r="B88" s="459" t="s">
        <v>1733</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1734</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1735</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1718</v>
      </c>
      <c r="D106" s="508" t="s">
        <v>1719</v>
      </c>
      <c r="E106" s="508" t="s">
        <v>1720</v>
      </c>
      <c r="F106" s="508" t="s">
        <v>1721</v>
      </c>
      <c r="G106" s="508" t="s">
        <v>1722</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1828</v>
      </c>
      <c r="B1" s="1139" t="s">
        <v>3332</v>
      </c>
      <c r="C1" s="1140" t="s">
        <v>1659</v>
      </c>
      <c r="D1" s="1141"/>
      <c r="E1" s="3128"/>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1459</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1460</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1461</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397" t="s">
        <v>1772</v>
      </c>
      <c r="Q4" s="3398"/>
      <c r="R4" s="3380" t="s">
        <v>1768</v>
      </c>
      <c r="S4" s="3381"/>
      <c r="T4" s="3380" t="s">
        <v>1769</v>
      </c>
      <c r="U4" s="3381"/>
      <c r="V4" s="3377" t="s">
        <v>1770</v>
      </c>
      <c r="W4" s="3377"/>
      <c r="X4" s="1264"/>
      <c r="Y4" s="3380" t="s">
        <v>1772</v>
      </c>
      <c r="Z4" s="3381"/>
      <c r="AA4" s="3374" t="s">
        <v>1768</v>
      </c>
      <c r="AB4" s="3375" t="s">
        <v>1769</v>
      </c>
      <c r="AC4" s="3374" t="s">
        <v>1770</v>
      </c>
    </row>
    <row r="5" spans="1:29" ht="15">
      <c r="A5" s="347"/>
      <c r="B5" s="348"/>
      <c r="C5" s="3386" t="s">
        <v>1670</v>
      </c>
      <c r="D5" s="3387"/>
      <c r="E5" s="3480" t="s">
        <v>1671</v>
      </c>
      <c r="F5" s="3385"/>
      <c r="G5" s="3386" t="s">
        <v>1672</v>
      </c>
      <c r="H5" s="3387"/>
      <c r="I5" s="3386" t="s">
        <v>1673</v>
      </c>
      <c r="J5" s="3387"/>
      <c r="K5" s="536"/>
      <c r="L5" s="2483"/>
      <c r="M5" s="2484"/>
      <c r="N5" s="2484"/>
      <c r="O5" s="2484"/>
      <c r="P5" s="3399"/>
      <c r="Q5" s="3400"/>
      <c r="R5" s="3382"/>
      <c r="S5" s="3383"/>
      <c r="T5" s="3382"/>
      <c r="U5" s="3383"/>
      <c r="V5" s="3377"/>
      <c r="W5" s="3377"/>
      <c r="X5" s="1264"/>
      <c r="Y5" s="3382"/>
      <c r="Z5" s="3383"/>
      <c r="AA5" s="3375"/>
      <c r="AB5" s="3375"/>
      <c r="AC5" s="3375"/>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SUMIF(48:48,YEAR(E7)&amp;"-"&amp;MONTH(E7),49:49)</f>
        <v>0</v>
      </c>
      <c r="G7" s="355"/>
      <c r="H7" s="354">
        <f>SUMIF(48:48,YEAR(G7)&amp;"-"&amp;MONTH(G7),49:49)</f>
        <v>0</v>
      </c>
      <c r="I7" s="355"/>
      <c r="J7" s="354">
        <f>SUMIF(48:48,YEAR(I7)&amp;"-"&amp;MONTH(I7),49:49)</f>
        <v>0</v>
      </c>
      <c r="K7" s="38"/>
      <c r="L7" s="2485"/>
      <c r="M7" s="2437"/>
      <c r="N7" s="2437"/>
      <c r="O7" s="2437"/>
      <c r="P7" s="3378" t="s">
        <v>1677</v>
      </c>
      <c r="Q7" s="3405"/>
      <c r="R7" s="663" t="s">
        <v>14</v>
      </c>
      <c r="S7" s="664">
        <f t="shared" ref="S7:S14" si="0">F7</f>
        <v>0</v>
      </c>
      <c r="T7" s="663" t="s">
        <v>14</v>
      </c>
      <c r="U7" s="664">
        <f t="shared" ref="U7:U14" si="1">H7</f>
        <v>0</v>
      </c>
      <c r="V7" s="663" t="s">
        <v>14</v>
      </c>
      <c r="W7" s="664">
        <f t="shared" ref="W7:W14" si="2">J7</f>
        <v>0</v>
      </c>
      <c r="X7" s="665"/>
      <c r="Y7" s="3378" t="s">
        <v>1677</v>
      </c>
      <c r="Z7" s="3379"/>
      <c r="AA7" s="50" t="e">
        <f>D7/F7</f>
        <v>#DIV/0!</v>
      </c>
      <c r="AB7" s="50" t="e">
        <f>D7/H7</f>
        <v>#DIV/0!</v>
      </c>
      <c r="AC7" s="50" t="e">
        <f>D7/J7</f>
        <v>#DIV/0!</v>
      </c>
    </row>
    <row r="8" spans="1:29" s="101" customFormat="1" ht="15.75" thickBot="1">
      <c r="A8" s="351" t="s">
        <v>1678</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78" t="s">
        <v>1680</v>
      </c>
      <c r="Q8" s="3379"/>
      <c r="R8" s="663" t="s">
        <v>14</v>
      </c>
      <c r="S8" s="664">
        <f t="shared" si="0"/>
        <v>100</v>
      </c>
      <c r="T8" s="663" t="s">
        <v>14</v>
      </c>
      <c r="U8" s="664">
        <f t="shared" si="1"/>
        <v>100</v>
      </c>
      <c r="V8" s="663" t="s">
        <v>14</v>
      </c>
      <c r="W8" s="664">
        <f t="shared" si="2"/>
        <v>100</v>
      </c>
      <c r="X8" s="665"/>
      <c r="Y8" s="3378" t="s">
        <v>1680</v>
      </c>
      <c r="Z8" s="3379"/>
      <c r="AA8" s="50">
        <f t="shared" ref="AA8:AA36" si="3">D8/F8</f>
        <v>1</v>
      </c>
      <c r="AB8" s="50">
        <f t="shared" ref="AB8:AB36" si="4">D8/H8</f>
        <v>1</v>
      </c>
      <c r="AC8" s="50">
        <f t="shared" ref="AC8:AC36" si="5">D8/J8</f>
        <v>1</v>
      </c>
    </row>
    <row r="9" spans="1:29" s="101" customFormat="1">
      <c r="A9" s="57" t="s">
        <v>1681</v>
      </c>
      <c r="B9" s="563" t="s">
        <v>1682</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415" t="s">
        <v>1683</v>
      </c>
      <c r="Q9" s="529" t="str">
        <f t="shared" ref="Q9:Q14" si="6">B9</f>
        <v>用途</v>
      </c>
      <c r="R9" s="663" t="s">
        <v>14</v>
      </c>
      <c r="S9" s="664">
        <f t="shared" si="0"/>
        <v>100</v>
      </c>
      <c r="T9" s="663" t="s">
        <v>14</v>
      </c>
      <c r="U9" s="664">
        <f t="shared" si="1"/>
        <v>100</v>
      </c>
      <c r="V9" s="663" t="s">
        <v>14</v>
      </c>
      <c r="W9" s="664">
        <f t="shared" si="2"/>
        <v>100</v>
      </c>
      <c r="X9" s="665"/>
      <c r="Y9" s="3343" t="s">
        <v>1684</v>
      </c>
      <c r="Z9" s="50" t="str">
        <f t="shared" ref="Z9:Z14" si="7">Q9</f>
        <v>用途</v>
      </c>
      <c r="AA9" s="50">
        <f t="shared" si="3"/>
        <v>1</v>
      </c>
      <c r="AB9" s="50">
        <f t="shared" si="4"/>
        <v>1</v>
      </c>
      <c r="AC9" s="50">
        <f t="shared" si="5"/>
        <v>1</v>
      </c>
    </row>
    <row r="10" spans="1:29" s="365" customFormat="1" ht="27">
      <c r="A10" s="564"/>
      <c r="B10" s="565" t="s">
        <v>1685</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415"/>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415"/>
      <c r="Q11" s="529">
        <f t="shared" si="6"/>
        <v>111</v>
      </c>
      <c r="R11" s="663" t="s">
        <v>14</v>
      </c>
      <c r="S11" s="664">
        <f t="shared" si="0"/>
        <v>100</v>
      </c>
      <c r="T11" s="663" t="s">
        <v>14</v>
      </c>
      <c r="U11" s="664">
        <f t="shared" si="1"/>
        <v>100</v>
      </c>
      <c r="V11" s="663" t="s">
        <v>14</v>
      </c>
      <c r="W11" s="664">
        <f t="shared" si="2"/>
        <v>100</v>
      </c>
      <c r="X11" s="665"/>
      <c r="Y11" s="3343"/>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415"/>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415"/>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50">
        <f t="shared" si="5"/>
        <v>1</v>
      </c>
    </row>
    <row r="14" spans="1:29" ht="85.5">
      <c r="A14" s="344" t="s">
        <v>1687</v>
      </c>
      <c r="B14" s="553" t="s">
        <v>1830</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408" t="s">
        <v>1688</v>
      </c>
      <c r="Q14" s="1262" t="str">
        <f t="shared" si="6"/>
        <v>交通便捷度</v>
      </c>
      <c r="R14" s="666" t="s">
        <v>14</v>
      </c>
      <c r="S14" s="667">
        <f t="shared" si="0"/>
        <v>100</v>
      </c>
      <c r="T14" s="666" t="s">
        <v>14</v>
      </c>
      <c r="U14" s="667">
        <f t="shared" si="1"/>
        <v>100</v>
      </c>
      <c r="V14" s="666" t="s">
        <v>14</v>
      </c>
      <c r="W14" s="667">
        <f t="shared" si="2"/>
        <v>100</v>
      </c>
      <c r="X14" s="1264"/>
      <c r="Y14" s="3408" t="s">
        <v>1688</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409"/>
      <c r="Q15" s="1262"/>
      <c r="R15" s="666"/>
      <c r="S15" s="667"/>
      <c r="T15" s="666"/>
      <c r="U15" s="667"/>
      <c r="V15" s="666"/>
      <c r="W15" s="667"/>
      <c r="X15" s="1264"/>
      <c r="Y15" s="3409"/>
      <c r="Z15" s="1263"/>
      <c r="AA15" s="1263">
        <v>1</v>
      </c>
      <c r="AB15" s="1263">
        <v>1</v>
      </c>
      <c r="AC15" s="1263">
        <v>1</v>
      </c>
    </row>
    <row r="16" spans="1:29" ht="42.75">
      <c r="A16" s="347"/>
      <c r="B16" s="555" t="s">
        <v>1809</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409"/>
      <c r="Q16" s="1262" t="str">
        <f>B16</f>
        <v>公共配套设施</v>
      </c>
      <c r="R16" s="666" t="s">
        <v>14</v>
      </c>
      <c r="S16" s="667">
        <f>F16</f>
        <v>100</v>
      </c>
      <c r="T16" s="666" t="s">
        <v>14</v>
      </c>
      <c r="U16" s="667">
        <f>H16</f>
        <v>100</v>
      </c>
      <c r="V16" s="666" t="s">
        <v>14</v>
      </c>
      <c r="W16" s="667">
        <f>J16</f>
        <v>100</v>
      </c>
      <c r="X16" s="1264"/>
      <c r="Y16" s="3409"/>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409"/>
      <c r="Q17" s="1262"/>
      <c r="R17" s="666"/>
      <c r="S17" s="667"/>
      <c r="T17" s="666"/>
      <c r="U17" s="667"/>
      <c r="V17" s="666"/>
      <c r="W17" s="667"/>
      <c r="X17" s="1264"/>
      <c r="Y17" s="3409"/>
      <c r="Z17" s="1263"/>
      <c r="AA17" s="1263">
        <v>1</v>
      </c>
      <c r="AB17" s="1263">
        <v>1</v>
      </c>
      <c r="AC17" s="1263">
        <v>1</v>
      </c>
    </row>
    <row r="18" spans="1:29" ht="28.5">
      <c r="A18" s="347"/>
      <c r="B18" s="556" t="s">
        <v>1810</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409"/>
      <c r="Q18" s="1262" t="str">
        <f>B18</f>
        <v>基础设施水平</v>
      </c>
      <c r="R18" s="666" t="s">
        <v>14</v>
      </c>
      <c r="S18" s="667">
        <f>F18</f>
        <v>100</v>
      </c>
      <c r="T18" s="666" t="s">
        <v>14</v>
      </c>
      <c r="U18" s="667">
        <f>H18</f>
        <v>100</v>
      </c>
      <c r="V18" s="666" t="s">
        <v>14</v>
      </c>
      <c r="W18" s="667">
        <f>J18</f>
        <v>100</v>
      </c>
      <c r="X18" s="1264"/>
      <c r="Y18" s="3409"/>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409"/>
      <c r="Q19" s="1262"/>
      <c r="R19" s="666"/>
      <c r="S19" s="667"/>
      <c r="T19" s="666"/>
      <c r="U19" s="667"/>
      <c r="V19" s="666"/>
      <c r="W19" s="667"/>
      <c r="X19" s="1264"/>
      <c r="Y19" s="3409"/>
      <c r="Z19" s="1263"/>
      <c r="AA19" s="1263">
        <v>1</v>
      </c>
      <c r="AB19" s="1263">
        <v>1</v>
      </c>
      <c r="AC19" s="1263">
        <v>1</v>
      </c>
    </row>
    <row r="20" spans="1:29" ht="57">
      <c r="A20" s="347"/>
      <c r="B20" s="555" t="s">
        <v>1831</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409"/>
      <c r="Q20" s="1262" t="str">
        <f>B20</f>
        <v>自然及人文环境</v>
      </c>
      <c r="R20" s="666" t="s">
        <v>14</v>
      </c>
      <c r="S20" s="667">
        <f>F20</f>
        <v>100</v>
      </c>
      <c r="T20" s="666" t="s">
        <v>14</v>
      </c>
      <c r="U20" s="667">
        <f>H20</f>
        <v>100</v>
      </c>
      <c r="V20" s="666" t="s">
        <v>14</v>
      </c>
      <c r="W20" s="667">
        <f>J20</f>
        <v>100</v>
      </c>
      <c r="X20" s="1264"/>
      <c r="Y20" s="340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409"/>
      <c r="Q21" s="1262"/>
      <c r="R21" s="666"/>
      <c r="S21" s="667"/>
      <c r="T21" s="666"/>
      <c r="U21" s="667"/>
      <c r="V21" s="666"/>
      <c r="W21" s="667"/>
      <c r="X21" s="1264"/>
      <c r="Y21" s="3409"/>
      <c r="Z21" s="1263"/>
      <c r="AA21" s="1263">
        <v>1</v>
      </c>
      <c r="AB21" s="1263">
        <v>1</v>
      </c>
      <c r="AC21" s="1263">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409"/>
      <c r="Q22" s="1262" t="str">
        <f>B22</f>
        <v>楼层</v>
      </c>
      <c r="R22" s="666" t="s">
        <v>14</v>
      </c>
      <c r="S22" s="667">
        <f>F22</f>
        <v>100</v>
      </c>
      <c r="T22" s="666" t="s">
        <v>14</v>
      </c>
      <c r="U22" s="667">
        <f>H22</f>
        <v>100</v>
      </c>
      <c r="V22" s="666" t="s">
        <v>14</v>
      </c>
      <c r="W22" s="667">
        <f>J22</f>
        <v>100</v>
      </c>
      <c r="X22" s="1264"/>
      <c r="Y22" s="340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409"/>
      <c r="Q23" s="1262">
        <f>B23</f>
        <v>111</v>
      </c>
      <c r="R23" s="666" t="s">
        <v>14</v>
      </c>
      <c r="S23" s="667">
        <f>F23</f>
        <v>100</v>
      </c>
      <c r="T23" s="666" t="s">
        <v>14</v>
      </c>
      <c r="U23" s="667">
        <f>H23</f>
        <v>100</v>
      </c>
      <c r="V23" s="666" t="s">
        <v>14</v>
      </c>
      <c r="W23" s="667">
        <f>J23</f>
        <v>100</v>
      </c>
      <c r="X23" s="1264"/>
      <c r="Y23" s="340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409"/>
      <c r="Q24" s="1262">
        <f t="shared" ref="Q24:Q36" si="11">B24</f>
        <v>111</v>
      </c>
      <c r="R24" s="666" t="s">
        <v>14</v>
      </c>
      <c r="S24" s="667">
        <f>F24</f>
        <v>100</v>
      </c>
      <c r="T24" s="666" t="s">
        <v>14</v>
      </c>
      <c r="U24" s="667">
        <f>H24</f>
        <v>100</v>
      </c>
      <c r="V24" s="666" t="s">
        <v>14</v>
      </c>
      <c r="W24" s="667">
        <f>J24</f>
        <v>100</v>
      </c>
      <c r="X24" s="1264"/>
      <c r="Y24" s="3409"/>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409"/>
      <c r="Q25" s="529">
        <f t="shared" si="11"/>
        <v>111</v>
      </c>
      <c r="R25" s="663" t="s">
        <v>14</v>
      </c>
      <c r="S25" s="664">
        <f>F25</f>
        <v>100</v>
      </c>
      <c r="T25" s="663" t="s">
        <v>14</v>
      </c>
      <c r="U25" s="664">
        <f>H25</f>
        <v>100</v>
      </c>
      <c r="V25" s="663" t="s">
        <v>14</v>
      </c>
      <c r="W25" s="664">
        <f>J25</f>
        <v>100</v>
      </c>
      <c r="X25" s="665"/>
      <c r="Y25" s="3409"/>
      <c r="Z25" s="50">
        <f>Q25</f>
        <v>111</v>
      </c>
      <c r="AA25" s="1263">
        <f>D25/F25</f>
        <v>1</v>
      </c>
      <c r="AB25" s="1263">
        <f>D25/H25</f>
        <v>1</v>
      </c>
      <c r="AC25" s="1263">
        <f>D25/J25</f>
        <v>1</v>
      </c>
    </row>
    <row r="26" spans="1:29" ht="28.5">
      <c r="A26" s="573" t="s">
        <v>1691</v>
      </c>
      <c r="B26" s="59" t="s">
        <v>1833</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81" t="s">
        <v>1693</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3" t="s">
        <v>1693</v>
      </c>
      <c r="Z26" s="1263" t="str">
        <f t="shared" ref="Z26:Z36" si="15">Q26</f>
        <v>配套类型</v>
      </c>
      <c r="AA26" s="1263" t="e">
        <f t="shared" si="3"/>
        <v>#DIV/0!</v>
      </c>
      <c r="AB26" s="1263" t="e">
        <f t="shared" si="4"/>
        <v>#DIV/0!</v>
      </c>
      <c r="AC26" s="1263"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413"/>
      <c r="Q27" s="530" t="str">
        <f t="shared" si="11"/>
        <v>项目停车位配比</v>
      </c>
      <c r="R27" s="668" t="s">
        <v>14</v>
      </c>
      <c r="S27" s="669">
        <f t="shared" si="12"/>
        <v>100</v>
      </c>
      <c r="T27" s="668" t="s">
        <v>14</v>
      </c>
      <c r="U27" s="669">
        <f t="shared" si="13"/>
        <v>100</v>
      </c>
      <c r="V27" s="668" t="s">
        <v>14</v>
      </c>
      <c r="W27" s="669">
        <f t="shared" si="14"/>
        <v>100</v>
      </c>
      <c r="X27" s="670"/>
      <c r="Y27" s="3413"/>
      <c r="Z27" s="671" t="str">
        <f t="shared" si="15"/>
        <v>项目停车位配比</v>
      </c>
      <c r="AA27" s="1263">
        <f t="shared" si="3"/>
        <v>1</v>
      </c>
      <c r="AB27" s="1263">
        <f t="shared" si="4"/>
        <v>1</v>
      </c>
      <c r="AC27" s="1263">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413"/>
      <c r="Q28" s="1262" t="str">
        <f t="shared" si="11"/>
        <v>公共部分装修</v>
      </c>
      <c r="R28" s="666" t="s">
        <v>14</v>
      </c>
      <c r="S28" s="667">
        <f t="shared" si="12"/>
        <v>100</v>
      </c>
      <c r="T28" s="666" t="s">
        <v>14</v>
      </c>
      <c r="U28" s="667">
        <f t="shared" si="13"/>
        <v>100</v>
      </c>
      <c r="V28" s="666" t="s">
        <v>14</v>
      </c>
      <c r="W28" s="667">
        <f t="shared" si="14"/>
        <v>100</v>
      </c>
      <c r="X28" s="1264"/>
      <c r="Y28" s="3413"/>
      <c r="Z28" s="1263" t="str">
        <f t="shared" si="15"/>
        <v>公共部分装修</v>
      </c>
      <c r="AA28" s="1263">
        <f t="shared" si="3"/>
        <v>1</v>
      </c>
      <c r="AB28" s="1263">
        <f t="shared" si="4"/>
        <v>1</v>
      </c>
      <c r="AC28" s="1263">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413"/>
      <c r="Q29" s="1262" t="str">
        <f t="shared" si="11"/>
        <v>成新率</v>
      </c>
      <c r="R29" s="666" t="s">
        <v>14</v>
      </c>
      <c r="S29" s="667" t="e">
        <f t="shared" si="12"/>
        <v>#N/A</v>
      </c>
      <c r="T29" s="666" t="s">
        <v>14</v>
      </c>
      <c r="U29" s="667" t="e">
        <f t="shared" si="13"/>
        <v>#N/A</v>
      </c>
      <c r="V29" s="666" t="s">
        <v>14</v>
      </c>
      <c r="W29" s="667" t="e">
        <f t="shared" si="14"/>
        <v>#N/A</v>
      </c>
      <c r="X29" s="1264"/>
      <c r="Y29" s="3413"/>
      <c r="Z29" s="1263" t="str">
        <f t="shared" si="15"/>
        <v>成新率</v>
      </c>
      <c r="AA29" s="1263" t="e">
        <f t="shared" si="3"/>
        <v>#N/A</v>
      </c>
      <c r="AB29" s="1263" t="e">
        <f t="shared" si="4"/>
        <v>#N/A</v>
      </c>
      <c r="AC29" s="1263"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413"/>
      <c r="Q30" s="1262" t="str">
        <f t="shared" si="11"/>
        <v>物业等级</v>
      </c>
      <c r="R30" s="666" t="s">
        <v>14</v>
      </c>
      <c r="S30" s="667">
        <f t="shared" si="12"/>
        <v>100</v>
      </c>
      <c r="T30" s="666" t="s">
        <v>14</v>
      </c>
      <c r="U30" s="667">
        <f t="shared" si="13"/>
        <v>100</v>
      </c>
      <c r="V30" s="666" t="s">
        <v>14</v>
      </c>
      <c r="W30" s="667">
        <f t="shared" si="14"/>
        <v>100</v>
      </c>
      <c r="X30" s="1264"/>
      <c r="Y30" s="3413"/>
      <c r="Z30" s="1263" t="str">
        <f t="shared" si="15"/>
        <v>物业等级</v>
      </c>
      <c r="AA30" s="1263">
        <f t="shared" si="3"/>
        <v>1</v>
      </c>
      <c r="AB30" s="1263">
        <f t="shared" si="4"/>
        <v>1</v>
      </c>
      <c r="AC30" s="1263">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413"/>
      <c r="Q31" s="529" t="str">
        <f t="shared" si="11"/>
        <v>停车位面积</v>
      </c>
      <c r="R31" s="663" t="s">
        <v>14</v>
      </c>
      <c r="S31" s="664" t="e">
        <f t="shared" si="12"/>
        <v>#N/A</v>
      </c>
      <c r="T31" s="663" t="s">
        <v>14</v>
      </c>
      <c r="U31" s="664" t="e">
        <f t="shared" si="13"/>
        <v>#N/A</v>
      </c>
      <c r="V31" s="663" t="s">
        <v>14</v>
      </c>
      <c r="W31" s="664" t="e">
        <f t="shared" si="14"/>
        <v>#N/A</v>
      </c>
      <c r="X31" s="665"/>
      <c r="Y31" s="3413"/>
      <c r="Z31" s="50" t="str">
        <f t="shared" si="15"/>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413" t="s">
        <v>1693</v>
      </c>
      <c r="Q32" s="1262" t="str">
        <f t="shared" si="11"/>
        <v>车位类型</v>
      </c>
      <c r="R32" s="666" t="s">
        <v>14</v>
      </c>
      <c r="S32" s="667">
        <f t="shared" si="12"/>
        <v>100</v>
      </c>
      <c r="T32" s="666" t="s">
        <v>14</v>
      </c>
      <c r="U32" s="667">
        <f t="shared" si="13"/>
        <v>100</v>
      </c>
      <c r="V32" s="666" t="s">
        <v>14</v>
      </c>
      <c r="W32" s="667">
        <f t="shared" si="14"/>
        <v>100</v>
      </c>
      <c r="X32" s="1264"/>
      <c r="Y32" s="3413" t="s">
        <v>1693</v>
      </c>
      <c r="Z32" s="1263" t="str">
        <f t="shared" si="15"/>
        <v>车位类型</v>
      </c>
      <c r="AA32" s="1263">
        <f t="shared" si="3"/>
        <v>1</v>
      </c>
      <c r="AB32" s="1263">
        <f t="shared" si="4"/>
        <v>1</v>
      </c>
      <c r="AC32" s="1263">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413"/>
      <c r="Q33" s="1262" t="str">
        <f t="shared" si="11"/>
        <v>是否直接入户</v>
      </c>
      <c r="R33" s="666" t="s">
        <v>14</v>
      </c>
      <c r="S33" s="667">
        <f t="shared" si="12"/>
        <v>100</v>
      </c>
      <c r="T33" s="666" t="s">
        <v>14</v>
      </c>
      <c r="U33" s="667">
        <f t="shared" si="13"/>
        <v>100</v>
      </c>
      <c r="V33" s="666" t="s">
        <v>14</v>
      </c>
      <c r="W33" s="667">
        <f t="shared" si="14"/>
        <v>100</v>
      </c>
      <c r="X33" s="1264"/>
      <c r="Y33" s="3413"/>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413"/>
      <c r="Q34" s="1262">
        <f t="shared" si="11"/>
        <v>111</v>
      </c>
      <c r="R34" s="666" t="s">
        <v>14</v>
      </c>
      <c r="S34" s="667">
        <f t="shared" si="12"/>
        <v>100</v>
      </c>
      <c r="T34" s="666" t="s">
        <v>14</v>
      </c>
      <c r="U34" s="667">
        <f t="shared" si="13"/>
        <v>100</v>
      </c>
      <c r="V34" s="666" t="s">
        <v>14</v>
      </c>
      <c r="W34" s="667">
        <f t="shared" si="14"/>
        <v>100</v>
      </c>
      <c r="X34" s="1264"/>
      <c r="Y34" s="3413"/>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413"/>
      <c r="Q35" s="530">
        <f t="shared" si="11"/>
        <v>111</v>
      </c>
      <c r="R35" s="668" t="s">
        <v>14</v>
      </c>
      <c r="S35" s="669">
        <f t="shared" si="12"/>
        <v>100</v>
      </c>
      <c r="T35" s="668" t="s">
        <v>14</v>
      </c>
      <c r="U35" s="669">
        <f t="shared" si="13"/>
        <v>100</v>
      </c>
      <c r="V35" s="668" t="s">
        <v>14</v>
      </c>
      <c r="W35" s="669">
        <f t="shared" si="14"/>
        <v>100</v>
      </c>
      <c r="X35" s="670"/>
      <c r="Y35" s="3413"/>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413"/>
      <c r="Q36" s="1262">
        <f t="shared" si="11"/>
        <v>111</v>
      </c>
      <c r="R36" s="666" t="s">
        <v>14</v>
      </c>
      <c r="S36" s="667">
        <f t="shared" si="12"/>
        <v>100</v>
      </c>
      <c r="T36" s="666" t="s">
        <v>14</v>
      </c>
      <c r="U36" s="667">
        <f t="shared" si="13"/>
        <v>100</v>
      </c>
      <c r="V36" s="666" t="s">
        <v>14</v>
      </c>
      <c r="W36" s="667">
        <f t="shared" si="14"/>
        <v>100</v>
      </c>
      <c r="X36" s="1264"/>
      <c r="Y36" s="3413"/>
      <c r="Z36" s="1263">
        <f t="shared" si="15"/>
        <v>111</v>
      </c>
      <c r="AA36" s="1263">
        <f t="shared" si="3"/>
        <v>1</v>
      </c>
      <c r="AB36" s="1263">
        <f t="shared" si="4"/>
        <v>1</v>
      </c>
      <c r="AC36" s="1263">
        <f t="shared" si="5"/>
        <v>1</v>
      </c>
    </row>
    <row r="37" spans="1:29" ht="15">
      <c r="A37" s="415" t="s">
        <v>1841</v>
      </c>
      <c r="B37" s="1820" t="s">
        <v>3352</v>
      </c>
      <c r="C37" s="1080" t="s">
        <v>0</v>
      </c>
      <c r="D37" s="417"/>
      <c r="E37" s="418"/>
      <c r="F37" s="419"/>
      <c r="G37" s="420"/>
      <c r="H37" s="421"/>
      <c r="I37" s="418"/>
      <c r="J37" s="421"/>
      <c r="K37" s="544"/>
      <c r="L37" s="2491"/>
      <c r="M37" s="2484"/>
      <c r="N37" s="2484"/>
      <c r="O37" s="2484"/>
      <c r="P37" s="3415" t="str">
        <f>A37</f>
        <v>成交单价</v>
      </c>
      <c r="Q37" s="3415"/>
      <c r="R37" s="3377">
        <f>E37</f>
        <v>0</v>
      </c>
      <c r="S37" s="3377"/>
      <c r="T37" s="3377">
        <f>G37</f>
        <v>0</v>
      </c>
      <c r="U37" s="3377"/>
      <c r="V37" s="3377">
        <f>I37</f>
        <v>0</v>
      </c>
      <c r="W37" s="3377"/>
      <c r="X37" s="384"/>
      <c r="Y37" s="672"/>
      <c r="Z37" s="384"/>
      <c r="AA37" s="384"/>
      <c r="AB37" s="384"/>
      <c r="AC37" s="384"/>
    </row>
    <row r="38" spans="1:29" ht="15.75" thickBot="1">
      <c r="A38" s="422" t="s">
        <v>1842</v>
      </c>
      <c r="B38" s="423" t="str">
        <f>B37</f>
        <v>元/平方米</v>
      </c>
      <c r="C38" s="1081" t="e">
        <f>R39</f>
        <v>#DIV/0!</v>
      </c>
      <c r="D38" s="2140" t="s">
        <v>2135</v>
      </c>
      <c r="E38" s="1082" t="e">
        <f>R38</f>
        <v>#DIV/0!</v>
      </c>
      <c r="F38" s="2141"/>
      <c r="G38" s="1081" t="e">
        <f>T38</f>
        <v>#DIV/0!</v>
      </c>
      <c r="H38" s="2141"/>
      <c r="I38" s="1082" t="e">
        <f>V38</f>
        <v>#DIV/0!</v>
      </c>
      <c r="J38" s="2141"/>
      <c r="K38" s="2143">
        <f>F38+H38+J38</f>
        <v>0</v>
      </c>
      <c r="L38" s="2491"/>
      <c r="M38" s="2484"/>
      <c r="N38" s="2484"/>
      <c r="O38" s="2484"/>
      <c r="P38" s="3415" t="str">
        <f>A38</f>
        <v>比较价值（元/平方米）</v>
      </c>
      <c r="Q38" s="3415"/>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91"/>
      <c r="M39" s="2484"/>
      <c r="N39" s="2484"/>
      <c r="O39" s="2484"/>
      <c r="P39" s="3416" t="str">
        <f>A39</f>
        <v>估价对象XX用房的比较价值（楼面单价，元/平方米）</v>
      </c>
      <c r="Q39" s="3417"/>
      <c r="R39" s="3482" t="e">
        <f>IF(F1="售价",ROUND(IF(D38="简单平均",AVERAGE(R38:W38),R38*F38+T38*H38+V38*J38),0),ROUND(IF(D38="简单平均",AVERAGE(R38:V38),R38*F38+T38*H38+V38*J38),1))</f>
        <v>#DIV/0!</v>
      </c>
      <c r="S39" s="3482"/>
      <c r="T39" s="3482"/>
      <c r="U39" s="3482"/>
      <c r="V39" s="3482"/>
      <c r="W39" s="3482"/>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1847</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1848</v>
      </c>
      <c r="B48" s="440"/>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4"/>
      <c r="Q48" s="2507"/>
      <c r="R48" s="2507"/>
      <c r="S48" s="2507"/>
      <c r="T48" s="2507"/>
      <c r="U48" s="2507"/>
      <c r="V48" s="2507"/>
      <c r="W48" s="2507"/>
      <c r="X48" s="2507"/>
      <c r="Y48" s="2507"/>
      <c r="Z48" s="2507"/>
      <c r="AA48" s="2507"/>
      <c r="AB48" s="2507"/>
      <c r="AC48" s="2507"/>
    </row>
    <row r="49" spans="1:29" s="101" customFormat="1" ht="15">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75" thickBot="1">
      <c r="A50" s="448" t="s">
        <v>1713</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5">
      <c r="A51" s="454" t="s">
        <v>1678</v>
      </c>
      <c r="B51" s="443"/>
      <c r="C51" s="455" t="s">
        <v>1773</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1716</v>
      </c>
      <c r="B53" s="459" t="s">
        <v>1682</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1685</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1687</v>
      </c>
      <c r="B63" s="459" t="s">
        <v>1723</v>
      </c>
      <c r="C63" s="503" t="s">
        <v>1718</v>
      </c>
      <c r="D63" s="503" t="s">
        <v>1719</v>
      </c>
      <c r="E63" s="503" t="s">
        <v>1720</v>
      </c>
      <c r="F63" s="503" t="s">
        <v>1721</v>
      </c>
      <c r="G63" s="503" t="s">
        <v>1722</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1724</v>
      </c>
      <c r="C65" s="508" t="s">
        <v>1718</v>
      </c>
      <c r="D65" s="508" t="s">
        <v>1719</v>
      </c>
      <c r="E65" s="508" t="s">
        <v>1720</v>
      </c>
      <c r="F65" s="508" t="s">
        <v>1721</v>
      </c>
      <c r="G65" s="508" t="s">
        <v>1722</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1810</v>
      </c>
      <c r="C67" s="580" t="s">
        <v>1796</v>
      </c>
      <c r="D67" s="580" t="s">
        <v>1797</v>
      </c>
      <c r="E67" s="580" t="s">
        <v>1798</v>
      </c>
      <c r="F67" s="580" t="s">
        <v>1799</v>
      </c>
      <c r="G67" s="580" t="s">
        <v>1800</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1730</v>
      </c>
      <c r="C69" s="508" t="s">
        <v>1718</v>
      </c>
      <c r="D69" s="508" t="s">
        <v>1719</v>
      </c>
      <c r="E69" s="508" t="s">
        <v>1720</v>
      </c>
      <c r="F69" s="508" t="s">
        <v>1721</v>
      </c>
      <c r="G69" s="508" t="s">
        <v>1722</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1849</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1691</v>
      </c>
      <c r="B79" s="459" t="s">
        <v>1850</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1851</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1737</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1853</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1854</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1855</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1856</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1828</v>
      </c>
      <c r="B1" s="1139" t="s">
        <v>3333</v>
      </c>
      <c r="C1" s="1140" t="s">
        <v>1659</v>
      </c>
      <c r="D1" s="1141"/>
      <c r="E1" s="3128"/>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1460</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t="e">
        <f>IF(C2="——",C37,ROUND(B2*10000/D3,0))</f>
        <v>#DIV/0!</v>
      </c>
      <c r="C3" s="343" t="s">
        <v>1765</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397" t="s">
        <v>1772</v>
      </c>
      <c r="Q4" s="3398"/>
      <c r="R4" s="3380" t="s">
        <v>1768</v>
      </c>
      <c r="S4" s="3381"/>
      <c r="T4" s="3380" t="s">
        <v>1769</v>
      </c>
      <c r="U4" s="3381"/>
      <c r="V4" s="3377" t="s">
        <v>1770</v>
      </c>
      <c r="W4" s="3377"/>
      <c r="X4" s="1264"/>
      <c r="Y4" s="3380" t="s">
        <v>1772</v>
      </c>
      <c r="Z4" s="3381"/>
      <c r="AA4" s="3374" t="s">
        <v>1768</v>
      </c>
      <c r="AB4" s="3375" t="s">
        <v>1769</v>
      </c>
      <c r="AC4" s="3374" t="s">
        <v>1770</v>
      </c>
    </row>
    <row r="5" spans="1:29" ht="15">
      <c r="A5" s="347"/>
      <c r="B5" s="348"/>
      <c r="C5" s="3386" t="s">
        <v>1670</v>
      </c>
      <c r="D5" s="3387"/>
      <c r="E5" s="3480" t="s">
        <v>1671</v>
      </c>
      <c r="F5" s="3385"/>
      <c r="G5" s="3386" t="s">
        <v>1672</v>
      </c>
      <c r="H5" s="3387"/>
      <c r="I5" s="3386" t="s">
        <v>1673</v>
      </c>
      <c r="J5" s="3387"/>
      <c r="K5" s="536"/>
      <c r="L5" s="2483"/>
      <c r="M5" s="2484"/>
      <c r="N5" s="2484"/>
      <c r="O5" s="2484"/>
      <c r="P5" s="3399"/>
      <c r="Q5" s="3400"/>
      <c r="R5" s="3382"/>
      <c r="S5" s="3383"/>
      <c r="T5" s="3382"/>
      <c r="U5" s="3383"/>
      <c r="V5" s="3377"/>
      <c r="W5" s="3377"/>
      <c r="X5" s="1264"/>
      <c r="Y5" s="3382"/>
      <c r="Z5" s="3383"/>
      <c r="AA5" s="3375"/>
      <c r="AB5" s="3375"/>
      <c r="AC5" s="3375"/>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78" t="s">
        <v>1677</v>
      </c>
      <c r="Q7" s="3405"/>
      <c r="R7" s="663" t="s">
        <v>14</v>
      </c>
      <c r="S7" s="664">
        <f t="shared" ref="S7:S14" si="0">F7</f>
        <v>0</v>
      </c>
      <c r="T7" s="663" t="s">
        <v>14</v>
      </c>
      <c r="U7" s="664">
        <f t="shared" ref="U7:U14" si="1">H7</f>
        <v>0</v>
      </c>
      <c r="V7" s="663" t="s">
        <v>14</v>
      </c>
      <c r="W7" s="664">
        <f t="shared" ref="W7:W14" si="2">J7</f>
        <v>0</v>
      </c>
      <c r="X7" s="665"/>
      <c r="Y7" s="3378" t="s">
        <v>1677</v>
      </c>
      <c r="Z7" s="3379"/>
      <c r="AA7" s="50" t="e">
        <f>D7/F7</f>
        <v>#DIV/0!</v>
      </c>
      <c r="AB7" s="50" t="e">
        <f>D7/H7</f>
        <v>#DIV/0!</v>
      </c>
      <c r="AC7" s="50" t="e">
        <f>D7/J7</f>
        <v>#DIV/0!</v>
      </c>
    </row>
    <row r="8" spans="1:29" s="101" customFormat="1" ht="15.75" thickBot="1">
      <c r="A8" s="351" t="s">
        <v>1678</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78" t="s">
        <v>1680</v>
      </c>
      <c r="Q8" s="3379"/>
      <c r="R8" s="663" t="s">
        <v>14</v>
      </c>
      <c r="S8" s="664">
        <f t="shared" si="0"/>
        <v>100</v>
      </c>
      <c r="T8" s="663" t="s">
        <v>14</v>
      </c>
      <c r="U8" s="664">
        <f t="shared" si="1"/>
        <v>100</v>
      </c>
      <c r="V8" s="663" t="s">
        <v>14</v>
      </c>
      <c r="W8" s="664">
        <f t="shared" si="2"/>
        <v>100</v>
      </c>
      <c r="X8" s="665"/>
      <c r="Y8" s="3378" t="s">
        <v>1680</v>
      </c>
      <c r="Z8" s="3379"/>
      <c r="AA8" s="50">
        <f t="shared" ref="AA8:AA34" si="3">D8/F8</f>
        <v>1</v>
      </c>
      <c r="AB8" s="50">
        <f t="shared" ref="AB8:AB34" si="4">D8/H8</f>
        <v>1</v>
      </c>
      <c r="AC8" s="50">
        <f t="shared" ref="AC8:AC34" si="5">D8/J8</f>
        <v>1</v>
      </c>
    </row>
    <row r="9" spans="1:29" s="101" customFormat="1">
      <c r="A9" s="358" t="s">
        <v>1681</v>
      </c>
      <c r="B9" s="60" t="s">
        <v>1682</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415" t="s">
        <v>1683</v>
      </c>
      <c r="Q9" s="529" t="str">
        <f t="shared" ref="Q9:Q14" si="6">B9</f>
        <v>用途</v>
      </c>
      <c r="R9" s="663" t="s">
        <v>14</v>
      </c>
      <c r="S9" s="664">
        <f t="shared" si="0"/>
        <v>100</v>
      </c>
      <c r="T9" s="663" t="s">
        <v>14</v>
      </c>
      <c r="U9" s="664">
        <f t="shared" si="1"/>
        <v>100</v>
      </c>
      <c r="V9" s="663" t="s">
        <v>14</v>
      </c>
      <c r="W9" s="664">
        <f t="shared" si="2"/>
        <v>100</v>
      </c>
      <c r="X9" s="665"/>
      <c r="Y9" s="3343" t="s">
        <v>1684</v>
      </c>
      <c r="Z9" s="50" t="str">
        <f t="shared" ref="Z9:Z14" si="7">Q9</f>
        <v>用途</v>
      </c>
      <c r="AA9" s="50">
        <f t="shared" si="3"/>
        <v>1</v>
      </c>
      <c r="AB9" s="50">
        <f t="shared" si="4"/>
        <v>1</v>
      </c>
      <c r="AC9" s="50">
        <f t="shared" si="5"/>
        <v>1</v>
      </c>
    </row>
    <row r="10" spans="1:29" s="365" customFormat="1" ht="27">
      <c r="A10" s="362"/>
      <c r="B10" s="363" t="s">
        <v>1685</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415"/>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415"/>
      <c r="Q11" s="529">
        <f t="shared" si="6"/>
        <v>111</v>
      </c>
      <c r="R11" s="663" t="s">
        <v>14</v>
      </c>
      <c r="S11" s="664">
        <f t="shared" si="0"/>
        <v>100</v>
      </c>
      <c r="T11" s="663" t="s">
        <v>14</v>
      </c>
      <c r="U11" s="664">
        <f t="shared" si="1"/>
        <v>100</v>
      </c>
      <c r="V11" s="663" t="s">
        <v>14</v>
      </c>
      <c r="W11" s="664">
        <f t="shared" si="2"/>
        <v>100</v>
      </c>
      <c r="X11" s="665"/>
      <c r="Y11" s="334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415"/>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415"/>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50">
        <f t="shared" si="5"/>
        <v>1</v>
      </c>
    </row>
    <row r="14" spans="1:29" ht="85.5">
      <c r="A14" s="378" t="s">
        <v>1687</v>
      </c>
      <c r="B14" s="58" t="s">
        <v>1830</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408" t="s">
        <v>1688</v>
      </c>
      <c r="Q14" s="1262" t="str">
        <f t="shared" si="6"/>
        <v>交通便捷度</v>
      </c>
      <c r="R14" s="666" t="s">
        <v>14</v>
      </c>
      <c r="S14" s="667">
        <f t="shared" si="0"/>
        <v>100</v>
      </c>
      <c r="T14" s="666" t="s">
        <v>14</v>
      </c>
      <c r="U14" s="667">
        <f t="shared" si="1"/>
        <v>100</v>
      </c>
      <c r="V14" s="666" t="s">
        <v>14</v>
      </c>
      <c r="W14" s="667">
        <f t="shared" si="2"/>
        <v>100</v>
      </c>
      <c r="X14" s="1264"/>
      <c r="Y14" s="3408" t="s">
        <v>1688</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409"/>
      <c r="Q15" s="1262"/>
      <c r="R15" s="666"/>
      <c r="S15" s="667"/>
      <c r="T15" s="666"/>
      <c r="U15" s="667"/>
      <c r="V15" s="666"/>
      <c r="W15" s="667"/>
      <c r="X15" s="1264"/>
      <c r="Y15" s="3409"/>
      <c r="Z15" s="1263"/>
      <c r="AA15" s="1263">
        <v>1</v>
      </c>
      <c r="AB15" s="1263">
        <v>1</v>
      </c>
      <c r="AC15" s="1263">
        <v>1</v>
      </c>
    </row>
    <row r="16" spans="1:29" ht="42.75">
      <c r="A16" s="366"/>
      <c r="B16" s="389" t="s">
        <v>1809</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409"/>
      <c r="Q16" s="1262" t="str">
        <f>B16</f>
        <v>公共配套设施</v>
      </c>
      <c r="R16" s="666" t="s">
        <v>14</v>
      </c>
      <c r="S16" s="667">
        <f>F16</f>
        <v>100</v>
      </c>
      <c r="T16" s="666" t="s">
        <v>14</v>
      </c>
      <c r="U16" s="667">
        <f>H16</f>
        <v>100</v>
      </c>
      <c r="V16" s="666" t="s">
        <v>14</v>
      </c>
      <c r="W16" s="667">
        <f>J16</f>
        <v>100</v>
      </c>
      <c r="X16" s="1264"/>
      <c r="Y16" s="3409"/>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409"/>
      <c r="Q17" s="1262"/>
      <c r="R17" s="666"/>
      <c r="S17" s="667"/>
      <c r="T17" s="666"/>
      <c r="U17" s="667"/>
      <c r="V17" s="666"/>
      <c r="W17" s="667"/>
      <c r="X17" s="1264"/>
      <c r="Y17" s="3409"/>
      <c r="Z17" s="1263"/>
      <c r="AA17" s="1263">
        <v>1</v>
      </c>
      <c r="AB17" s="1263">
        <v>1</v>
      </c>
      <c r="AC17" s="1263">
        <v>1</v>
      </c>
    </row>
    <row r="18" spans="1:29" ht="28.5">
      <c r="A18" s="366"/>
      <c r="B18" s="585" t="s">
        <v>1810</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409"/>
      <c r="Q18" s="1262" t="str">
        <f>B18</f>
        <v>基础设施水平</v>
      </c>
      <c r="R18" s="666" t="s">
        <v>14</v>
      </c>
      <c r="S18" s="667">
        <f>F18</f>
        <v>100</v>
      </c>
      <c r="T18" s="666" t="s">
        <v>14</v>
      </c>
      <c r="U18" s="667">
        <f>H18</f>
        <v>100</v>
      </c>
      <c r="V18" s="666" t="s">
        <v>14</v>
      </c>
      <c r="W18" s="667">
        <f>J18</f>
        <v>100</v>
      </c>
      <c r="X18" s="1264"/>
      <c r="Y18" s="3409"/>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409"/>
      <c r="Q19" s="1262"/>
      <c r="R19" s="666"/>
      <c r="S19" s="667"/>
      <c r="T19" s="666"/>
      <c r="U19" s="667"/>
      <c r="V19" s="666"/>
      <c r="W19" s="667"/>
      <c r="X19" s="1264"/>
      <c r="Y19" s="3409"/>
      <c r="Z19" s="1263"/>
      <c r="AA19" s="1263">
        <v>1</v>
      </c>
      <c r="AB19" s="1263">
        <v>1</v>
      </c>
      <c r="AC19" s="1263">
        <v>1</v>
      </c>
    </row>
    <row r="20" spans="1:29" ht="57">
      <c r="A20" s="366"/>
      <c r="B20" s="389" t="s">
        <v>1831</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409"/>
      <c r="Q20" s="1262" t="str">
        <f>B20</f>
        <v>自然及人文环境</v>
      </c>
      <c r="R20" s="666" t="s">
        <v>14</v>
      </c>
      <c r="S20" s="667">
        <f>F20</f>
        <v>100</v>
      </c>
      <c r="T20" s="666" t="s">
        <v>14</v>
      </c>
      <c r="U20" s="667">
        <f>H20</f>
        <v>100</v>
      </c>
      <c r="V20" s="666" t="s">
        <v>14</v>
      </c>
      <c r="W20" s="667">
        <f>J20</f>
        <v>100</v>
      </c>
      <c r="X20" s="1264"/>
      <c r="Y20" s="340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409"/>
      <c r="Q21" s="1262"/>
      <c r="R21" s="666"/>
      <c r="S21" s="667"/>
      <c r="T21" s="666"/>
      <c r="U21" s="667"/>
      <c r="V21" s="666"/>
      <c r="W21" s="667"/>
      <c r="X21" s="1264"/>
      <c r="Y21" s="3409"/>
      <c r="Z21" s="1263"/>
      <c r="AA21" s="1263">
        <v>1</v>
      </c>
      <c r="AB21" s="1263">
        <v>1</v>
      </c>
      <c r="AC21" s="1263">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409"/>
      <c r="Q22" s="1262" t="str">
        <f>B22</f>
        <v>楼层</v>
      </c>
      <c r="R22" s="666" t="s">
        <v>14</v>
      </c>
      <c r="S22" s="667">
        <f>F22</f>
        <v>100</v>
      </c>
      <c r="T22" s="666" t="s">
        <v>14</v>
      </c>
      <c r="U22" s="667">
        <f>H22</f>
        <v>100</v>
      </c>
      <c r="V22" s="666" t="s">
        <v>14</v>
      </c>
      <c r="W22" s="667">
        <f>J22</f>
        <v>100</v>
      </c>
      <c r="X22" s="1264"/>
      <c r="Y22" s="340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409"/>
      <c r="Q23" s="1262">
        <f>B23</f>
        <v>111</v>
      </c>
      <c r="R23" s="666" t="s">
        <v>14</v>
      </c>
      <c r="S23" s="667">
        <f>F23</f>
        <v>100</v>
      </c>
      <c r="T23" s="666" t="s">
        <v>14</v>
      </c>
      <c r="U23" s="667">
        <f>H23</f>
        <v>100</v>
      </c>
      <c r="V23" s="666" t="s">
        <v>14</v>
      </c>
      <c r="W23" s="667">
        <f>J23</f>
        <v>100</v>
      </c>
      <c r="X23" s="1264"/>
      <c r="Y23" s="340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409"/>
      <c r="Q24" s="1262">
        <f t="shared" ref="Q24:Q34" si="11">B24</f>
        <v>111</v>
      </c>
      <c r="R24" s="666" t="s">
        <v>14</v>
      </c>
      <c r="S24" s="667">
        <f>F24</f>
        <v>100</v>
      </c>
      <c r="T24" s="666" t="s">
        <v>14</v>
      </c>
      <c r="U24" s="667">
        <f>H24</f>
        <v>100</v>
      </c>
      <c r="V24" s="666" t="s">
        <v>14</v>
      </c>
      <c r="W24" s="667">
        <f>J24</f>
        <v>100</v>
      </c>
      <c r="X24" s="1264"/>
      <c r="Y24" s="3409"/>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409"/>
      <c r="Q25" s="529">
        <f t="shared" si="11"/>
        <v>111</v>
      </c>
      <c r="R25" s="663" t="s">
        <v>14</v>
      </c>
      <c r="S25" s="664">
        <f>F25</f>
        <v>100</v>
      </c>
      <c r="T25" s="663" t="s">
        <v>14</v>
      </c>
      <c r="U25" s="664">
        <f>H25</f>
        <v>100</v>
      </c>
      <c r="V25" s="663" t="s">
        <v>14</v>
      </c>
      <c r="W25" s="664">
        <f>J25</f>
        <v>100</v>
      </c>
      <c r="X25" s="665"/>
      <c r="Y25" s="3409"/>
      <c r="Z25" s="50">
        <f>Q25</f>
        <v>111</v>
      </c>
      <c r="AA25" s="1263">
        <f>D25/F25</f>
        <v>1</v>
      </c>
      <c r="AB25" s="1263">
        <f>D25/H25</f>
        <v>1</v>
      </c>
      <c r="AC25" s="1263">
        <f>D25/J25</f>
        <v>1</v>
      </c>
    </row>
    <row r="26" spans="1:29" ht="28.5">
      <c r="A26" s="403" t="s">
        <v>1691</v>
      </c>
      <c r="B26" s="60" t="s">
        <v>1835</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81" t="s">
        <v>1693</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3" t="s">
        <v>1693</v>
      </c>
      <c r="Z26" s="1263" t="str">
        <f t="shared" ref="Z26:Z34" si="15">Q26</f>
        <v>公共部分装修</v>
      </c>
      <c r="AA26" s="1263">
        <f t="shared" si="3"/>
        <v>1</v>
      </c>
      <c r="AB26" s="1263">
        <f t="shared" si="4"/>
        <v>1</v>
      </c>
      <c r="AC26" s="1263">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413"/>
      <c r="Q27" s="530" t="str">
        <f t="shared" si="11"/>
        <v>成新率</v>
      </c>
      <c r="R27" s="668" t="s">
        <v>14</v>
      </c>
      <c r="S27" s="669" t="e">
        <f t="shared" si="12"/>
        <v>#N/A</v>
      </c>
      <c r="T27" s="668" t="s">
        <v>14</v>
      </c>
      <c r="U27" s="669" t="e">
        <f t="shared" si="13"/>
        <v>#N/A</v>
      </c>
      <c r="V27" s="668" t="s">
        <v>14</v>
      </c>
      <c r="W27" s="669" t="e">
        <f t="shared" si="14"/>
        <v>#N/A</v>
      </c>
      <c r="X27" s="670"/>
      <c r="Y27" s="3413"/>
      <c r="Z27" s="671" t="str">
        <f t="shared" si="15"/>
        <v>成新率</v>
      </c>
      <c r="AA27" s="1263" t="e">
        <f t="shared" si="3"/>
        <v>#N/A</v>
      </c>
      <c r="AB27" s="1263" t="e">
        <f t="shared" si="4"/>
        <v>#N/A</v>
      </c>
      <c r="AC27" s="1263"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413"/>
      <c r="Q28" s="1262" t="str">
        <f t="shared" si="11"/>
        <v>物业等级</v>
      </c>
      <c r="R28" s="666" t="s">
        <v>14</v>
      </c>
      <c r="S28" s="667">
        <f t="shared" si="12"/>
        <v>100</v>
      </c>
      <c r="T28" s="666" t="s">
        <v>14</v>
      </c>
      <c r="U28" s="667">
        <f t="shared" si="13"/>
        <v>100</v>
      </c>
      <c r="V28" s="666" t="s">
        <v>14</v>
      </c>
      <c r="W28" s="667">
        <f t="shared" si="14"/>
        <v>100</v>
      </c>
      <c r="X28" s="1264"/>
      <c r="Y28" s="3413"/>
      <c r="Z28" s="1263" t="str">
        <f t="shared" si="15"/>
        <v>物业等级</v>
      </c>
      <c r="AA28" s="1263">
        <f t="shared" si="3"/>
        <v>1</v>
      </c>
      <c r="AB28" s="1263">
        <f t="shared" si="4"/>
        <v>1</v>
      </c>
      <c r="AC28" s="1263">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413"/>
      <c r="Q29" s="1262" t="str">
        <f t="shared" si="11"/>
        <v>有无电梯</v>
      </c>
      <c r="R29" s="666" t="s">
        <v>14</v>
      </c>
      <c r="S29" s="667">
        <f t="shared" si="12"/>
        <v>100</v>
      </c>
      <c r="T29" s="666" t="s">
        <v>14</v>
      </c>
      <c r="U29" s="667">
        <f t="shared" si="13"/>
        <v>100</v>
      </c>
      <c r="V29" s="666" t="s">
        <v>14</v>
      </c>
      <c r="W29" s="667">
        <f t="shared" si="14"/>
        <v>100</v>
      </c>
      <c r="X29" s="1264"/>
      <c r="Y29" s="3413"/>
      <c r="Z29" s="1263" t="str">
        <f t="shared" si="15"/>
        <v>有无电梯</v>
      </c>
      <c r="AA29" s="1263">
        <f t="shared" si="3"/>
        <v>1</v>
      </c>
      <c r="AB29" s="1263">
        <f t="shared" si="4"/>
        <v>1</v>
      </c>
      <c r="AC29" s="1263">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413"/>
      <c r="Q30" s="1262" t="str">
        <f t="shared" si="11"/>
        <v>建筑面积</v>
      </c>
      <c r="R30" s="666" t="s">
        <v>14</v>
      </c>
      <c r="S30" s="667" t="e">
        <f t="shared" si="12"/>
        <v>#N/A</v>
      </c>
      <c r="T30" s="666" t="s">
        <v>14</v>
      </c>
      <c r="U30" s="667" t="e">
        <f t="shared" si="13"/>
        <v>#N/A</v>
      </c>
      <c r="V30" s="666" t="s">
        <v>14</v>
      </c>
      <c r="W30" s="667" t="e">
        <f t="shared" si="14"/>
        <v>#N/A</v>
      </c>
      <c r="X30" s="1264"/>
      <c r="Y30" s="3413"/>
      <c r="Z30" s="1263" t="str">
        <f t="shared" si="15"/>
        <v>建筑面积</v>
      </c>
      <c r="AA30" s="1263" t="e">
        <f t="shared" si="3"/>
        <v>#N/A</v>
      </c>
      <c r="AB30" s="1263" t="e">
        <f t="shared" si="4"/>
        <v>#N/A</v>
      </c>
      <c r="AC30" s="1263"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413"/>
      <c r="Q31" s="529" t="str">
        <f t="shared" si="11"/>
        <v>是否封闭</v>
      </c>
      <c r="R31" s="663" t="s">
        <v>14</v>
      </c>
      <c r="S31" s="664">
        <f t="shared" si="12"/>
        <v>100</v>
      </c>
      <c r="T31" s="663" t="s">
        <v>14</v>
      </c>
      <c r="U31" s="664">
        <f t="shared" si="13"/>
        <v>100</v>
      </c>
      <c r="V31" s="663" t="s">
        <v>14</v>
      </c>
      <c r="W31" s="664">
        <f t="shared" si="14"/>
        <v>100</v>
      </c>
      <c r="X31" s="665"/>
      <c r="Y31" s="341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413" t="s">
        <v>1693</v>
      </c>
      <c r="Q32" s="1262">
        <f t="shared" si="11"/>
        <v>111</v>
      </c>
      <c r="R32" s="666" t="s">
        <v>14</v>
      </c>
      <c r="S32" s="667">
        <f t="shared" si="12"/>
        <v>100</v>
      </c>
      <c r="T32" s="666" t="s">
        <v>14</v>
      </c>
      <c r="U32" s="667">
        <f t="shared" si="13"/>
        <v>100</v>
      </c>
      <c r="V32" s="666" t="s">
        <v>14</v>
      </c>
      <c r="W32" s="667">
        <f t="shared" si="14"/>
        <v>100</v>
      </c>
      <c r="X32" s="1264"/>
      <c r="Y32" s="3413" t="s">
        <v>1693</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413"/>
      <c r="Q33" s="1262">
        <f t="shared" si="11"/>
        <v>111</v>
      </c>
      <c r="R33" s="666" t="s">
        <v>14</v>
      </c>
      <c r="S33" s="667">
        <f t="shared" si="12"/>
        <v>100</v>
      </c>
      <c r="T33" s="666" t="s">
        <v>14</v>
      </c>
      <c r="U33" s="667">
        <f t="shared" si="13"/>
        <v>100</v>
      </c>
      <c r="V33" s="666" t="s">
        <v>14</v>
      </c>
      <c r="W33" s="667">
        <f t="shared" si="14"/>
        <v>100</v>
      </c>
      <c r="X33" s="1264"/>
      <c r="Y33" s="3413"/>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413"/>
      <c r="Q34" s="1262">
        <f t="shared" si="11"/>
        <v>111</v>
      </c>
      <c r="R34" s="666" t="s">
        <v>14</v>
      </c>
      <c r="S34" s="667">
        <f t="shared" si="12"/>
        <v>100</v>
      </c>
      <c r="T34" s="666" t="s">
        <v>14</v>
      </c>
      <c r="U34" s="667">
        <f t="shared" si="13"/>
        <v>100</v>
      </c>
      <c r="V34" s="666" t="s">
        <v>14</v>
      </c>
      <c r="W34" s="667">
        <f t="shared" si="14"/>
        <v>100</v>
      </c>
      <c r="X34" s="1264"/>
      <c r="Y34" s="3413"/>
      <c r="Z34" s="1263">
        <f t="shared" si="15"/>
        <v>111</v>
      </c>
      <c r="AA34" s="1263">
        <f t="shared" si="3"/>
        <v>1</v>
      </c>
      <c r="AB34" s="1263">
        <f t="shared" si="4"/>
        <v>1</v>
      </c>
      <c r="AC34" s="1263">
        <f t="shared" si="5"/>
        <v>1</v>
      </c>
    </row>
    <row r="35" spans="1:30" ht="15">
      <c r="A35" s="415" t="s">
        <v>1705</v>
      </c>
      <c r="B35" s="416"/>
      <c r="C35" s="1080" t="s">
        <v>0</v>
      </c>
      <c r="D35" s="417"/>
      <c r="E35" s="418"/>
      <c r="F35" s="419"/>
      <c r="G35" s="420"/>
      <c r="H35" s="421"/>
      <c r="I35" s="418"/>
      <c r="J35" s="421"/>
      <c r="K35" s="673"/>
      <c r="L35" s="2491"/>
      <c r="M35" s="2484"/>
      <c r="N35" s="2484"/>
      <c r="O35" s="2484"/>
      <c r="P35" s="3415" t="str">
        <f>A35</f>
        <v>成交单价（元/平方米）</v>
      </c>
      <c r="Q35" s="3415"/>
      <c r="R35" s="3377">
        <f>E35</f>
        <v>0</v>
      </c>
      <c r="S35" s="3377"/>
      <c r="T35" s="3377">
        <f>G35</f>
        <v>0</v>
      </c>
      <c r="U35" s="3377"/>
      <c r="V35" s="3377">
        <f>I35</f>
        <v>0</v>
      </c>
      <c r="W35" s="3377"/>
      <c r="X35" s="384"/>
      <c r="Y35" s="672"/>
      <c r="Z35" s="384"/>
      <c r="AA35" s="384"/>
      <c r="AB35" s="384"/>
      <c r="AC35" s="384"/>
    </row>
    <row r="36" spans="1:30" ht="15.75" thickBot="1">
      <c r="A36" s="422" t="s">
        <v>1790</v>
      </c>
      <c r="B36" s="423"/>
      <c r="C36" s="1081" t="e">
        <f>R37</f>
        <v>#DIV/0!</v>
      </c>
      <c r="D36" s="2140" t="s">
        <v>2135</v>
      </c>
      <c r="E36" s="1082" t="e">
        <f>R36</f>
        <v>#DIV/0!</v>
      </c>
      <c r="F36" s="2141"/>
      <c r="G36" s="1081" t="e">
        <f>T36</f>
        <v>#DIV/0!</v>
      </c>
      <c r="H36" s="2141"/>
      <c r="I36" s="1082" t="e">
        <f>V36</f>
        <v>#DIV/0!</v>
      </c>
      <c r="J36" s="2141"/>
      <c r="K36" s="2143">
        <f>F36+H36+J36</f>
        <v>0</v>
      </c>
      <c r="L36" s="2491"/>
      <c r="M36" s="2484"/>
      <c r="N36" s="2484"/>
      <c r="O36" s="2484"/>
      <c r="P36" s="3415" t="str">
        <f>A36</f>
        <v>比较价值（元/平方米）</v>
      </c>
      <c r="Q36" s="3415"/>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91"/>
      <c r="M37" s="2484"/>
      <c r="N37" s="2484"/>
      <c r="O37" s="2484"/>
      <c r="P37" s="3416" t="str">
        <f>A37</f>
        <v>估价对象XX用房的比较价值（楼面单价，元/平方米）</v>
      </c>
      <c r="Q37" s="3417"/>
      <c r="R37" s="3482" t="e">
        <f>IF(F1="售价",ROUND(IF(D36="简单平均",AVERAGE(R36:W36),R36*F36+T36*H36+V36*J36),0),ROUND(IF(D36="简单平均",AVERAGE(R36:V36),R36*F36+T36*H36+V36*J36),1))</f>
        <v>#DIV/0!</v>
      </c>
      <c r="S37" s="3482"/>
      <c r="T37" s="3482"/>
      <c r="U37" s="3482"/>
      <c r="V37" s="3482"/>
      <c r="W37" s="3482"/>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1795</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1676</v>
      </c>
      <c r="B46" s="440"/>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7"/>
      <c r="Q46" s="2507"/>
      <c r="R46" s="2507"/>
      <c r="S46" s="2507"/>
      <c r="T46" s="2507"/>
      <c r="U46" s="2507"/>
      <c r="V46" s="2507"/>
      <c r="W46" s="2507"/>
      <c r="X46" s="2507"/>
      <c r="Y46" s="2507"/>
      <c r="Z46" s="2507"/>
      <c r="AA46" s="2507"/>
      <c r="AB46" s="2507"/>
      <c r="AC46" s="2507"/>
      <c r="AD46" s="2507"/>
    </row>
    <row r="47" spans="1:30" s="101" customFormat="1" ht="15">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75" thickBot="1">
      <c r="A48" s="448" t="s">
        <v>1713</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5">
      <c r="A49" s="454" t="s">
        <v>1678</v>
      </c>
      <c r="B49" s="443"/>
      <c r="C49" s="455" t="s">
        <v>1773</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1716</v>
      </c>
      <c r="B51" s="459" t="s">
        <v>1682</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1685</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1687</v>
      </c>
      <c r="B61" s="459" t="s">
        <v>1723</v>
      </c>
      <c r="C61" s="503" t="s">
        <v>1718</v>
      </c>
      <c r="D61" s="503" t="s">
        <v>1719</v>
      </c>
      <c r="E61" s="503" t="s">
        <v>1720</v>
      </c>
      <c r="F61" s="503" t="s">
        <v>1721</v>
      </c>
      <c r="G61" s="503" t="s">
        <v>1722</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1860</v>
      </c>
      <c r="C63" s="508" t="s">
        <v>1718</v>
      </c>
      <c r="D63" s="508" t="s">
        <v>1719</v>
      </c>
      <c r="E63" s="508" t="s">
        <v>1720</v>
      </c>
      <c r="F63" s="508" t="s">
        <v>1721</v>
      </c>
      <c r="G63" s="508" t="s">
        <v>1722</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1810</v>
      </c>
      <c r="C65" s="580" t="s">
        <v>1796</v>
      </c>
      <c r="D65" s="580" t="s">
        <v>1797</v>
      </c>
      <c r="E65" s="580" t="s">
        <v>1798</v>
      </c>
      <c r="F65" s="580" t="s">
        <v>1799</v>
      </c>
      <c r="G65" s="580" t="s">
        <v>1800</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1730</v>
      </c>
      <c r="C67" s="508" t="s">
        <v>1718</v>
      </c>
      <c r="D67" s="508" t="s">
        <v>1719</v>
      </c>
      <c r="E67" s="508" t="s">
        <v>1720</v>
      </c>
      <c r="F67" s="508" t="s">
        <v>1721</v>
      </c>
      <c r="G67" s="508" t="s">
        <v>1722</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1849</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1691</v>
      </c>
      <c r="B77" s="459" t="s">
        <v>1737</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1853</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1861</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1862</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1863</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1459</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t="e">
        <f>ROUND(IF(D3="",B2*10000/'数据-汇总表'!E3,B2*10000/D3),0)</f>
        <v>#DIV/0!</v>
      </c>
      <c r="C3" s="194" t="s">
        <v>1866</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397" t="s">
        <v>1772</v>
      </c>
      <c r="Q4" s="3398"/>
      <c r="R4" s="3380" t="s">
        <v>1768</v>
      </c>
      <c r="S4" s="3381"/>
      <c r="T4" s="3380" t="s">
        <v>1769</v>
      </c>
      <c r="U4" s="3381"/>
      <c r="V4" s="3377" t="s">
        <v>1770</v>
      </c>
      <c r="W4" s="3377"/>
      <c r="X4" s="1264"/>
      <c r="Y4" s="3380" t="s">
        <v>1772</v>
      </c>
      <c r="Z4" s="3381"/>
      <c r="AA4" s="3374" t="s">
        <v>1768</v>
      </c>
      <c r="AB4" s="3375" t="s">
        <v>1769</v>
      </c>
      <c r="AC4" s="3374" t="s">
        <v>1770</v>
      </c>
    </row>
    <row r="5" spans="1:29" ht="15">
      <c r="A5" s="347"/>
      <c r="B5" s="348"/>
      <c r="C5" s="3386" t="s">
        <v>1670</v>
      </c>
      <c r="D5" s="3387"/>
      <c r="E5" s="3480" t="s">
        <v>1671</v>
      </c>
      <c r="F5" s="3385"/>
      <c r="G5" s="3386" t="s">
        <v>1672</v>
      </c>
      <c r="H5" s="3387"/>
      <c r="I5" s="3386" t="s">
        <v>1673</v>
      </c>
      <c r="J5" s="3387"/>
      <c r="K5" s="536"/>
      <c r="L5" s="2483"/>
      <c r="M5" s="2484"/>
      <c r="N5" s="2484"/>
      <c r="O5" s="2484"/>
      <c r="P5" s="3399"/>
      <c r="Q5" s="3400"/>
      <c r="R5" s="3382"/>
      <c r="S5" s="3383"/>
      <c r="T5" s="3382"/>
      <c r="U5" s="3383"/>
      <c r="V5" s="3377"/>
      <c r="W5" s="3377"/>
      <c r="X5" s="1264"/>
      <c r="Y5" s="3382"/>
      <c r="Z5" s="3383"/>
      <c r="AA5" s="3375"/>
      <c r="AB5" s="3375"/>
      <c r="AC5" s="3375"/>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78" t="s">
        <v>1677</v>
      </c>
      <c r="Q7" s="3405"/>
      <c r="R7" s="663" t="s">
        <v>14</v>
      </c>
      <c r="S7" s="664">
        <f t="shared" ref="S7:S15" si="0">F7</f>
        <v>0</v>
      </c>
      <c r="T7" s="663" t="s">
        <v>14</v>
      </c>
      <c r="U7" s="664">
        <f t="shared" ref="U7:U15" si="1">H7</f>
        <v>0</v>
      </c>
      <c r="V7" s="663" t="s">
        <v>14</v>
      </c>
      <c r="W7" s="664">
        <f t="shared" ref="W7:W15" si="2">J7</f>
        <v>0</v>
      </c>
      <c r="X7" s="665"/>
      <c r="Y7" s="3378" t="s">
        <v>1677</v>
      </c>
      <c r="Z7" s="3379"/>
      <c r="AA7" s="50" t="e">
        <f>D7/F7</f>
        <v>#DIV/0!</v>
      </c>
      <c r="AB7" s="50" t="e">
        <f>D7/H7</f>
        <v>#DIV/0!</v>
      </c>
      <c r="AC7" s="50" t="e">
        <f>D7/J7</f>
        <v>#DIV/0!</v>
      </c>
    </row>
    <row r="8" spans="1:29" s="101" customFormat="1" ht="15.75" thickBot="1">
      <c r="A8" s="351" t="s">
        <v>1678</v>
      </c>
      <c r="B8" s="352"/>
      <c r="C8" s="357" t="s">
        <v>1679</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78" t="s">
        <v>1680</v>
      </c>
      <c r="Q8" s="3379"/>
      <c r="R8" s="663" t="s">
        <v>14</v>
      </c>
      <c r="S8" s="664">
        <f t="shared" si="0"/>
        <v>0</v>
      </c>
      <c r="T8" s="663" t="s">
        <v>14</v>
      </c>
      <c r="U8" s="664">
        <f t="shared" si="1"/>
        <v>0</v>
      </c>
      <c r="V8" s="663" t="s">
        <v>14</v>
      </c>
      <c r="W8" s="664">
        <f t="shared" si="2"/>
        <v>0</v>
      </c>
      <c r="X8" s="665"/>
      <c r="Y8" s="3378" t="s">
        <v>1680</v>
      </c>
      <c r="Z8" s="3379"/>
      <c r="AA8" s="50" t="e">
        <f t="shared" ref="AA8:AA45" si="3">D8/F8</f>
        <v>#DIV/0!</v>
      </c>
      <c r="AB8" s="50" t="e">
        <f t="shared" ref="AB8:AB45" si="4">D8/H8</f>
        <v>#DIV/0!</v>
      </c>
      <c r="AC8" s="50" t="e">
        <f t="shared" ref="AC8:AC45" si="5">D8/J8</f>
        <v>#DIV/0!</v>
      </c>
    </row>
    <row r="9" spans="1:29" s="101" customFormat="1">
      <c r="A9" s="358" t="s">
        <v>1681</v>
      </c>
      <c r="B9" s="60" t="s">
        <v>1682</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15"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50">
        <f t="shared" si="5"/>
        <v>1</v>
      </c>
    </row>
    <row r="10" spans="1:29" s="365" customFormat="1" ht="27">
      <c r="A10" s="362"/>
      <c r="B10" s="363" t="s">
        <v>1685</v>
      </c>
      <c r="C10" s="370"/>
      <c r="D10" s="118">
        <v>100</v>
      </c>
      <c r="E10" s="402"/>
      <c r="F10" s="118">
        <f>ROUND(100/'数据-取费表'!G16,0)</f>
        <v>125</v>
      </c>
      <c r="G10" s="401"/>
      <c r="H10" s="118">
        <f>ROUND(100/'数据-取费表'!G16,0)</f>
        <v>125</v>
      </c>
      <c r="I10" s="401"/>
      <c r="J10" s="118">
        <f>ROUND(100/'数据-取费表'!G16,0)</f>
        <v>125</v>
      </c>
      <c r="K10" s="591"/>
      <c r="L10" s="2486"/>
      <c r="M10" s="2487"/>
      <c r="N10" s="2487"/>
      <c r="O10" s="2538"/>
      <c r="P10" s="3415"/>
      <c r="Q10" s="529" t="str">
        <f t="shared" si="6"/>
        <v>土地使用年限（年）</v>
      </c>
      <c r="R10" s="663" t="s">
        <v>14</v>
      </c>
      <c r="S10" s="664">
        <f t="shared" si="0"/>
        <v>125</v>
      </c>
      <c r="T10" s="663" t="s">
        <v>14</v>
      </c>
      <c r="U10" s="664">
        <f t="shared" si="1"/>
        <v>125</v>
      </c>
      <c r="V10" s="663" t="s">
        <v>14</v>
      </c>
      <c r="W10" s="664">
        <f t="shared" si="2"/>
        <v>125</v>
      </c>
      <c r="X10" s="665"/>
      <c r="Y10" s="3343"/>
      <c r="Z10" s="50" t="str">
        <f t="shared" si="7"/>
        <v>土地使用年限（年）</v>
      </c>
      <c r="AA10" s="50">
        <f t="shared" si="3"/>
        <v>0.8</v>
      </c>
      <c r="AB10" s="50">
        <f t="shared" si="4"/>
        <v>0.8</v>
      </c>
      <c r="AC10" s="50">
        <f t="shared" si="5"/>
        <v>0.8</v>
      </c>
    </row>
    <row r="11" spans="1:29" ht="15">
      <c r="A11" s="366"/>
      <c r="B11" s="363" t="s">
        <v>1686</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415"/>
      <c r="Q11" s="529" t="str">
        <f t="shared" si="6"/>
        <v>容积率</v>
      </c>
      <c r="R11" s="663" t="s">
        <v>14</v>
      </c>
      <c r="S11" s="664" t="e">
        <f t="shared" si="0"/>
        <v>#N/A</v>
      </c>
      <c r="T11" s="663" t="s">
        <v>14</v>
      </c>
      <c r="U11" s="664" t="e">
        <f t="shared" si="1"/>
        <v>#N/A</v>
      </c>
      <c r="V11" s="663" t="s">
        <v>14</v>
      </c>
      <c r="W11" s="664" t="e">
        <f t="shared" si="2"/>
        <v>#N/A</v>
      </c>
      <c r="X11" s="665"/>
      <c r="Y11" s="3343"/>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415"/>
      <c r="Q12" s="529" t="str">
        <f t="shared" si="6"/>
        <v>配建</v>
      </c>
      <c r="R12" s="663" t="s">
        <v>14</v>
      </c>
      <c r="S12" s="664">
        <f t="shared" si="0"/>
        <v>100</v>
      </c>
      <c r="T12" s="663" t="s">
        <v>14</v>
      </c>
      <c r="U12" s="664">
        <f t="shared" si="1"/>
        <v>100</v>
      </c>
      <c r="V12" s="663" t="s">
        <v>14</v>
      </c>
      <c r="W12" s="664">
        <f t="shared" si="2"/>
        <v>100</v>
      </c>
      <c r="X12" s="665"/>
      <c r="Y12" s="334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415"/>
      <c r="Q13" s="529">
        <f t="shared" si="6"/>
        <v>111</v>
      </c>
      <c r="R13" s="663" t="s">
        <v>14</v>
      </c>
      <c r="S13" s="664">
        <f t="shared" si="0"/>
        <v>100</v>
      </c>
      <c r="T13" s="663" t="s">
        <v>14</v>
      </c>
      <c r="U13" s="664">
        <f t="shared" si="1"/>
        <v>100</v>
      </c>
      <c r="V13" s="663" t="s">
        <v>14</v>
      </c>
      <c r="W13" s="664">
        <f t="shared" si="2"/>
        <v>100</v>
      </c>
      <c r="X13" s="665"/>
      <c r="Y13" s="3343"/>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415"/>
      <c r="Q14" s="529">
        <f t="shared" si="6"/>
        <v>111</v>
      </c>
      <c r="R14" s="663" t="s">
        <v>14</v>
      </c>
      <c r="S14" s="664">
        <f t="shared" si="0"/>
        <v>100</v>
      </c>
      <c r="T14" s="663" t="s">
        <v>14</v>
      </c>
      <c r="U14" s="664">
        <f t="shared" si="1"/>
        <v>100</v>
      </c>
      <c r="V14" s="663" t="s">
        <v>14</v>
      </c>
      <c r="W14" s="664">
        <f t="shared" si="2"/>
        <v>100</v>
      </c>
      <c r="X14" s="665"/>
      <c r="Y14" s="3343"/>
      <c r="Z14" s="50">
        <f t="shared" si="7"/>
        <v>111</v>
      </c>
      <c r="AA14" s="50">
        <f>D14/F14</f>
        <v>1</v>
      </c>
      <c r="AB14" s="50">
        <f>D14/H14</f>
        <v>1</v>
      </c>
      <c r="AC14" s="50">
        <f>D14/J14</f>
        <v>1</v>
      </c>
    </row>
    <row r="15" spans="1:29" ht="99.75">
      <c r="A15" s="378" t="s">
        <v>1687</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408" t="s">
        <v>1688</v>
      </c>
      <c r="Q15" s="1262" t="str">
        <f t="shared" si="6"/>
        <v>居住社区成熟度</v>
      </c>
      <c r="R15" s="666" t="s">
        <v>14</v>
      </c>
      <c r="S15" s="667">
        <f t="shared" si="0"/>
        <v>100</v>
      </c>
      <c r="T15" s="666" t="s">
        <v>14</v>
      </c>
      <c r="U15" s="667">
        <f t="shared" si="1"/>
        <v>100</v>
      </c>
      <c r="V15" s="666" t="s">
        <v>14</v>
      </c>
      <c r="W15" s="667">
        <f t="shared" si="2"/>
        <v>100</v>
      </c>
      <c r="X15" s="1264"/>
      <c r="Y15" s="3408" t="s">
        <v>1688</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409"/>
      <c r="Q16" s="1262"/>
      <c r="R16" s="666"/>
      <c r="S16" s="667"/>
      <c r="T16" s="666"/>
      <c r="U16" s="667"/>
      <c r="V16" s="666"/>
      <c r="W16" s="667"/>
      <c r="X16" s="1264"/>
      <c r="Y16" s="3409"/>
      <c r="Z16" s="1263"/>
      <c r="AA16" s="1263">
        <v>1</v>
      </c>
      <c r="AB16" s="1263">
        <v>1</v>
      </c>
      <c r="AC16" s="1263">
        <v>1</v>
      </c>
    </row>
    <row r="17" spans="1:29" ht="71.25">
      <c r="A17" s="366"/>
      <c r="B17" s="389" t="s">
        <v>1774</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409"/>
      <c r="Q17" s="1262" t="str">
        <f>B17</f>
        <v>商业繁华度</v>
      </c>
      <c r="R17" s="666" t="s">
        <v>14</v>
      </c>
      <c r="S17" s="667">
        <f>F17</f>
        <v>100</v>
      </c>
      <c r="T17" s="666" t="s">
        <v>14</v>
      </c>
      <c r="U17" s="667">
        <f>H17</f>
        <v>100</v>
      </c>
      <c r="V17" s="666" t="s">
        <v>14</v>
      </c>
      <c r="W17" s="667">
        <f>J17</f>
        <v>100</v>
      </c>
      <c r="X17" s="1264"/>
      <c r="Y17" s="3409"/>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409"/>
      <c r="Q18" s="1262"/>
      <c r="R18" s="666"/>
      <c r="S18" s="667"/>
      <c r="T18" s="666"/>
      <c r="U18" s="667"/>
      <c r="V18" s="666"/>
      <c r="W18" s="667"/>
      <c r="X18" s="1264"/>
      <c r="Y18" s="3409"/>
      <c r="Z18" s="1263"/>
      <c r="AA18" s="1263">
        <v>1</v>
      </c>
      <c r="AB18" s="1263">
        <v>1</v>
      </c>
      <c r="AC18" s="1263">
        <v>1</v>
      </c>
    </row>
    <row r="19" spans="1:29" ht="71.25">
      <c r="A19" s="366"/>
      <c r="B19" s="389" t="s">
        <v>1808</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409"/>
      <c r="Q19" s="1262" t="str">
        <f>B19</f>
        <v>办公集聚程度</v>
      </c>
      <c r="R19" s="666" t="s">
        <v>14</v>
      </c>
      <c r="S19" s="667">
        <f>F19</f>
        <v>100</v>
      </c>
      <c r="T19" s="666" t="s">
        <v>14</v>
      </c>
      <c r="U19" s="667">
        <f>H19</f>
        <v>100</v>
      </c>
      <c r="V19" s="666" t="s">
        <v>14</v>
      </c>
      <c r="W19" s="667">
        <f>J19</f>
        <v>100</v>
      </c>
      <c r="X19" s="1264"/>
      <c r="Y19" s="3409"/>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409"/>
      <c r="Q20" s="1262"/>
      <c r="R20" s="666"/>
      <c r="S20" s="667"/>
      <c r="T20" s="666"/>
      <c r="U20" s="667"/>
      <c r="V20" s="666"/>
      <c r="W20" s="667"/>
      <c r="X20" s="1264"/>
      <c r="Y20" s="3409"/>
      <c r="Z20" s="1263"/>
      <c r="AA20" s="1263">
        <v>1</v>
      </c>
      <c r="AB20" s="1263">
        <v>1</v>
      </c>
      <c r="AC20" s="1263">
        <v>1</v>
      </c>
    </row>
    <row r="21" spans="1:29" ht="85.5">
      <c r="A21" s="366"/>
      <c r="B21" s="389" t="s">
        <v>1830</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409"/>
      <c r="Q21" s="1262" t="str">
        <f>B21</f>
        <v>交通便捷度</v>
      </c>
      <c r="R21" s="666" t="s">
        <v>14</v>
      </c>
      <c r="S21" s="667">
        <f>F21</f>
        <v>100</v>
      </c>
      <c r="T21" s="666" t="s">
        <v>14</v>
      </c>
      <c r="U21" s="667">
        <f>H21</f>
        <v>100</v>
      </c>
      <c r="V21" s="666" t="s">
        <v>14</v>
      </c>
      <c r="W21" s="667">
        <f>J21</f>
        <v>100</v>
      </c>
      <c r="X21" s="1264"/>
      <c r="Y21" s="3409"/>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409"/>
      <c r="Q22" s="1262"/>
      <c r="R22" s="666"/>
      <c r="S22" s="667"/>
      <c r="T22" s="666"/>
      <c r="U22" s="667"/>
      <c r="V22" s="666"/>
      <c r="W22" s="667"/>
      <c r="X22" s="1264"/>
      <c r="Y22" s="3409"/>
      <c r="Z22" s="1263"/>
      <c r="AA22" s="1263">
        <v>1</v>
      </c>
      <c r="AB22" s="1263">
        <v>1</v>
      </c>
      <c r="AC22" s="1263">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409"/>
      <c r="Q23" s="1262" t="str">
        <f t="shared" ref="Q23:Q37" si="8">B23</f>
        <v>区域土地利用方向</v>
      </c>
      <c r="R23" s="666" t="s">
        <v>14</v>
      </c>
      <c r="S23" s="667">
        <f>F23</f>
        <v>100</v>
      </c>
      <c r="T23" s="666" t="s">
        <v>14</v>
      </c>
      <c r="U23" s="667">
        <f>H23</f>
        <v>100</v>
      </c>
      <c r="V23" s="666" t="s">
        <v>14</v>
      </c>
      <c r="W23" s="667">
        <f>J23</f>
        <v>100</v>
      </c>
      <c r="X23" s="1264"/>
      <c r="Y23" s="3409"/>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409"/>
      <c r="Q24" s="1262"/>
      <c r="R24" s="666"/>
      <c r="S24" s="667"/>
      <c r="T24" s="666"/>
      <c r="U24" s="667"/>
      <c r="V24" s="666"/>
      <c r="W24" s="667"/>
      <c r="X24" s="1264"/>
      <c r="Y24" s="3409"/>
      <c r="Z24" s="1263"/>
      <c r="AA24" s="1263"/>
      <c r="AB24" s="1263"/>
      <c r="AC24" s="1263"/>
    </row>
    <row r="25" spans="1:29" ht="57">
      <c r="A25" s="347"/>
      <c r="B25" s="585" t="s">
        <v>1869</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409"/>
      <c r="Q25" s="1262" t="str">
        <f t="shared" si="8"/>
        <v>自然及人文环境状况</v>
      </c>
      <c r="R25" s="666" t="s">
        <v>14</v>
      </c>
      <c r="S25" s="667">
        <f>F25</f>
        <v>100</v>
      </c>
      <c r="T25" s="666" t="s">
        <v>14</v>
      </c>
      <c r="U25" s="667">
        <f>H25</f>
        <v>100</v>
      </c>
      <c r="V25" s="666" t="s">
        <v>14</v>
      </c>
      <c r="W25" s="667">
        <f>J25</f>
        <v>100</v>
      </c>
      <c r="X25" s="1264"/>
      <c r="Y25" s="3409"/>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409"/>
      <c r="Q26" s="1262"/>
      <c r="R26" s="666"/>
      <c r="S26" s="667"/>
      <c r="T26" s="666"/>
      <c r="U26" s="667"/>
      <c r="V26" s="666"/>
      <c r="W26" s="667"/>
      <c r="X26" s="1264"/>
      <c r="Y26" s="3409"/>
      <c r="Z26" s="1263"/>
      <c r="AA26" s="1263">
        <v>1</v>
      </c>
      <c r="AB26" s="1263">
        <v>1</v>
      </c>
      <c r="AC26" s="1263">
        <v>1</v>
      </c>
    </row>
    <row r="27" spans="1:29" s="101" customFormat="1" ht="42.75">
      <c r="A27" s="442"/>
      <c r="B27" s="585" t="s">
        <v>1775</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409"/>
      <c r="Q27" s="529" t="str">
        <f t="shared" si="8"/>
        <v>公共配套设施</v>
      </c>
      <c r="R27" s="663" t="s">
        <v>14</v>
      </c>
      <c r="S27" s="664">
        <f>F27</f>
        <v>100</v>
      </c>
      <c r="T27" s="663" t="s">
        <v>14</v>
      </c>
      <c r="U27" s="664">
        <f>H27</f>
        <v>100</v>
      </c>
      <c r="V27" s="663" t="s">
        <v>14</v>
      </c>
      <c r="W27" s="664">
        <f>J27</f>
        <v>100</v>
      </c>
      <c r="X27" s="665"/>
      <c r="Y27" s="3409"/>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409"/>
      <c r="Q28" s="529"/>
      <c r="R28" s="663"/>
      <c r="S28" s="664"/>
      <c r="T28" s="663"/>
      <c r="U28" s="664"/>
      <c r="V28" s="663"/>
      <c r="W28" s="664"/>
      <c r="X28" s="665"/>
      <c r="Y28" s="3409"/>
      <c r="Z28" s="50"/>
      <c r="AA28" s="1263">
        <v>1</v>
      </c>
      <c r="AB28" s="1263">
        <v>1</v>
      </c>
      <c r="AC28" s="1263">
        <v>1</v>
      </c>
    </row>
    <row r="29" spans="1:29" s="101" customFormat="1" ht="28.5">
      <c r="A29" s="442"/>
      <c r="B29" s="585" t="s">
        <v>1776</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409"/>
      <c r="Q29" s="529" t="str">
        <f t="shared" ref="Q29" si="9">B29</f>
        <v>基础设施水平</v>
      </c>
      <c r="R29" s="663" t="s">
        <v>14</v>
      </c>
      <c r="S29" s="664">
        <f>F29</f>
        <v>100</v>
      </c>
      <c r="T29" s="663" t="s">
        <v>14</v>
      </c>
      <c r="U29" s="664">
        <f>H29</f>
        <v>100</v>
      </c>
      <c r="V29" s="663" t="s">
        <v>14</v>
      </c>
      <c r="W29" s="664">
        <f>J29</f>
        <v>100</v>
      </c>
      <c r="X29" s="665"/>
      <c r="Y29" s="3409"/>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409"/>
      <c r="Q30" s="529"/>
      <c r="R30" s="663"/>
      <c r="S30" s="664"/>
      <c r="T30" s="663"/>
      <c r="U30" s="664"/>
      <c r="V30" s="663"/>
      <c r="W30" s="664"/>
      <c r="X30" s="665"/>
      <c r="Y30" s="3409"/>
      <c r="Z30" s="50"/>
      <c r="AA30" s="1263">
        <v>1</v>
      </c>
      <c r="AB30" s="1263">
        <v>1</v>
      </c>
      <c r="AC30" s="1263">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40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9"/>
      <c r="Z31" s="1263" t="str">
        <f t="shared" ref="Z31:Z45" si="13">Q31</f>
        <v>临街状况</v>
      </c>
      <c r="AA31" s="1263">
        <f t="shared" si="3"/>
        <v>1</v>
      </c>
      <c r="AB31" s="1263">
        <f t="shared" si="4"/>
        <v>1</v>
      </c>
      <c r="AC31" s="1263">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409"/>
      <c r="Q32" s="1262" t="str">
        <f t="shared" si="8"/>
        <v>毗邻道路的类型与等级</v>
      </c>
      <c r="R32" s="666" t="s">
        <v>14</v>
      </c>
      <c r="S32" s="667">
        <f t="shared" si="10"/>
        <v>100</v>
      </c>
      <c r="T32" s="666" t="s">
        <v>14</v>
      </c>
      <c r="U32" s="667">
        <f t="shared" si="11"/>
        <v>100</v>
      </c>
      <c r="V32" s="666" t="s">
        <v>14</v>
      </c>
      <c r="W32" s="667">
        <f t="shared" si="12"/>
        <v>100</v>
      </c>
      <c r="X32" s="1264"/>
      <c r="Y32" s="3409"/>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409"/>
      <c r="Q33" s="1262"/>
      <c r="R33" s="666"/>
      <c r="S33" s="667"/>
      <c r="T33" s="666"/>
      <c r="U33" s="667"/>
      <c r="V33" s="666"/>
      <c r="W33" s="667"/>
      <c r="X33" s="1264"/>
      <c r="Y33" s="3409"/>
      <c r="Z33" s="1263"/>
      <c r="AA33" s="1263">
        <v>1</v>
      </c>
      <c r="AB33" s="1263">
        <v>1</v>
      </c>
      <c r="AC33" s="1263">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409"/>
      <c r="Q34" s="1262" t="str">
        <f t="shared" si="8"/>
        <v>土地级别</v>
      </c>
      <c r="R34" s="666" t="s">
        <v>14</v>
      </c>
      <c r="S34" s="667">
        <f t="shared" si="10"/>
        <v>100</v>
      </c>
      <c r="T34" s="666" t="s">
        <v>14</v>
      </c>
      <c r="U34" s="667">
        <f t="shared" si="11"/>
        <v>100</v>
      </c>
      <c r="V34" s="666" t="s">
        <v>14</v>
      </c>
      <c r="W34" s="667">
        <f t="shared" si="12"/>
        <v>100</v>
      </c>
      <c r="X34" s="1264"/>
      <c r="Y34" s="3409"/>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409"/>
      <c r="Q35" s="1262">
        <f t="shared" si="8"/>
        <v>111</v>
      </c>
      <c r="R35" s="666" t="s">
        <v>14</v>
      </c>
      <c r="S35" s="667">
        <f t="shared" si="10"/>
        <v>100</v>
      </c>
      <c r="T35" s="666" t="s">
        <v>14</v>
      </c>
      <c r="U35" s="667">
        <f t="shared" si="11"/>
        <v>100</v>
      </c>
      <c r="V35" s="666" t="s">
        <v>14</v>
      </c>
      <c r="W35" s="667">
        <f t="shared" si="12"/>
        <v>100</v>
      </c>
      <c r="X35" s="1264"/>
      <c r="Y35" s="3409"/>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81" t="s">
        <v>1693</v>
      </c>
      <c r="Q36" s="1262">
        <f t="shared" si="8"/>
        <v>111</v>
      </c>
      <c r="R36" s="666" t="s">
        <v>14</v>
      </c>
      <c r="S36" s="667">
        <f t="shared" si="10"/>
        <v>100</v>
      </c>
      <c r="T36" s="666" t="s">
        <v>14</v>
      </c>
      <c r="U36" s="667">
        <f t="shared" si="11"/>
        <v>100</v>
      </c>
      <c r="V36" s="666" t="s">
        <v>14</v>
      </c>
      <c r="W36" s="667">
        <f t="shared" si="12"/>
        <v>100</v>
      </c>
      <c r="X36" s="1264"/>
      <c r="Y36" s="3413" t="s">
        <v>1693</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413"/>
      <c r="Q37" s="1262">
        <f t="shared" si="8"/>
        <v>111</v>
      </c>
      <c r="R37" s="668" t="s">
        <v>14</v>
      </c>
      <c r="S37" s="669">
        <f t="shared" si="10"/>
        <v>100</v>
      </c>
      <c r="T37" s="668" t="s">
        <v>14</v>
      </c>
      <c r="U37" s="669">
        <f t="shared" si="11"/>
        <v>100</v>
      </c>
      <c r="V37" s="668" t="s">
        <v>14</v>
      </c>
      <c r="W37" s="669">
        <f t="shared" si="12"/>
        <v>100</v>
      </c>
      <c r="X37" s="670"/>
      <c r="Y37" s="3413"/>
      <c r="Z37" s="671">
        <f t="shared" si="13"/>
        <v>111</v>
      </c>
      <c r="AA37" s="1263">
        <f t="shared" si="3"/>
        <v>1</v>
      </c>
      <c r="AB37" s="1263">
        <f t="shared" si="4"/>
        <v>1</v>
      </c>
      <c r="AC37" s="1263">
        <f t="shared" si="5"/>
        <v>1</v>
      </c>
    </row>
    <row r="38" spans="1:29" ht="15">
      <c r="A38" s="408" t="s">
        <v>1691</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413"/>
      <c r="Q38" s="1262" t="str">
        <f>B38</f>
        <v>宗地面积</v>
      </c>
      <c r="R38" s="666" t="s">
        <v>14</v>
      </c>
      <c r="S38" s="667" t="e">
        <f t="shared" si="10"/>
        <v>#N/A</v>
      </c>
      <c r="T38" s="666" t="s">
        <v>14</v>
      </c>
      <c r="U38" s="667" t="e">
        <f t="shared" si="11"/>
        <v>#N/A</v>
      </c>
      <c r="V38" s="666" t="s">
        <v>14</v>
      </c>
      <c r="W38" s="667" t="e">
        <f t="shared" si="12"/>
        <v>#N/A</v>
      </c>
      <c r="X38" s="1264"/>
      <c r="Y38" s="3413"/>
      <c r="Z38" s="1263" t="str">
        <f t="shared" si="13"/>
        <v>宗地面积</v>
      </c>
      <c r="AA38" s="1263" t="e">
        <f t="shared" si="3"/>
        <v>#N/A</v>
      </c>
      <c r="AB38" s="1263" t="e">
        <f t="shared" si="4"/>
        <v>#N/A</v>
      </c>
      <c r="AC38" s="1263" t="e">
        <f t="shared" si="5"/>
        <v>#N/A</v>
      </c>
    </row>
    <row r="39" spans="1:29" ht="15">
      <c r="A39" s="408"/>
      <c r="B39" s="363" t="s">
        <v>1872</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413"/>
      <c r="Q39" s="1262" t="str">
        <f t="shared" ref="Q39:Q45" si="14">B39</f>
        <v>宗地形状</v>
      </c>
      <c r="R39" s="666" t="s">
        <v>14</v>
      </c>
      <c r="S39" s="667">
        <f t="shared" si="10"/>
        <v>100</v>
      </c>
      <c r="T39" s="666" t="s">
        <v>14</v>
      </c>
      <c r="U39" s="667">
        <f t="shared" si="11"/>
        <v>100</v>
      </c>
      <c r="V39" s="666" t="s">
        <v>14</v>
      </c>
      <c r="W39" s="667">
        <f t="shared" si="12"/>
        <v>100</v>
      </c>
      <c r="X39" s="1264"/>
      <c r="Y39" s="3413"/>
      <c r="Z39" s="1263" t="str">
        <f t="shared" si="13"/>
        <v>宗地形状</v>
      </c>
      <c r="AA39" s="1263">
        <f t="shared" si="3"/>
        <v>1</v>
      </c>
      <c r="AB39" s="1263">
        <f t="shared" si="4"/>
        <v>1</v>
      </c>
      <c r="AC39" s="1263">
        <f t="shared" si="5"/>
        <v>1</v>
      </c>
    </row>
    <row r="40" spans="1:29" ht="15">
      <c r="A40" s="408"/>
      <c r="B40" s="363" t="s">
        <v>1873</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413"/>
      <c r="Q40" s="1262" t="str">
        <f t="shared" si="14"/>
        <v>临街宽度及深度</v>
      </c>
      <c r="R40" s="666" t="s">
        <v>14</v>
      </c>
      <c r="S40" s="667">
        <f t="shared" si="10"/>
        <v>100</v>
      </c>
      <c r="T40" s="666" t="s">
        <v>14</v>
      </c>
      <c r="U40" s="667">
        <f t="shared" si="11"/>
        <v>100</v>
      </c>
      <c r="V40" s="666" t="s">
        <v>14</v>
      </c>
      <c r="W40" s="667">
        <f t="shared" si="12"/>
        <v>100</v>
      </c>
      <c r="X40" s="1264"/>
      <c r="Y40" s="3413"/>
      <c r="Z40" s="1263" t="str">
        <f t="shared" si="13"/>
        <v>临街宽度及深度</v>
      </c>
      <c r="AA40" s="1263">
        <f t="shared" si="3"/>
        <v>1</v>
      </c>
      <c r="AB40" s="1263">
        <f t="shared" si="4"/>
        <v>1</v>
      </c>
      <c r="AC40" s="1263">
        <f t="shared" si="5"/>
        <v>1</v>
      </c>
    </row>
    <row r="41" spans="1:29" s="101" customFormat="1" ht="15">
      <c r="A41" s="409"/>
      <c r="B41" s="363" t="s">
        <v>1874</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413"/>
      <c r="Q41" s="1262" t="str">
        <f t="shared" si="14"/>
        <v>宗地开发程度</v>
      </c>
      <c r="R41" s="663" t="s">
        <v>14</v>
      </c>
      <c r="S41" s="664">
        <f t="shared" si="10"/>
        <v>100</v>
      </c>
      <c r="T41" s="663" t="s">
        <v>14</v>
      </c>
      <c r="U41" s="664">
        <f t="shared" si="11"/>
        <v>100</v>
      </c>
      <c r="V41" s="663" t="s">
        <v>14</v>
      </c>
      <c r="W41" s="664">
        <f t="shared" si="12"/>
        <v>100</v>
      </c>
      <c r="X41" s="665"/>
      <c r="Y41" s="3413"/>
      <c r="Z41" s="50" t="str">
        <f t="shared" si="13"/>
        <v>宗地开发程度</v>
      </c>
      <c r="AA41" s="50">
        <f t="shared" si="3"/>
        <v>1</v>
      </c>
      <c r="AB41" s="50">
        <f t="shared" si="4"/>
        <v>1</v>
      </c>
      <c r="AC41" s="50">
        <f t="shared" si="5"/>
        <v>1</v>
      </c>
    </row>
    <row r="42" spans="1:29" ht="15">
      <c r="A42" s="408"/>
      <c r="B42" s="363" t="s">
        <v>1875</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413" t="s">
        <v>1693</v>
      </c>
      <c r="Q42" s="1262" t="str">
        <f t="shared" si="14"/>
        <v>工程地质条件</v>
      </c>
      <c r="R42" s="666" t="s">
        <v>14</v>
      </c>
      <c r="S42" s="667">
        <f t="shared" si="10"/>
        <v>100</v>
      </c>
      <c r="T42" s="666" t="s">
        <v>14</v>
      </c>
      <c r="U42" s="667">
        <f t="shared" si="11"/>
        <v>100</v>
      </c>
      <c r="V42" s="666" t="s">
        <v>14</v>
      </c>
      <c r="W42" s="667">
        <f t="shared" si="12"/>
        <v>100</v>
      </c>
      <c r="X42" s="1264"/>
      <c r="Y42" s="3413" t="s">
        <v>1693</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413"/>
      <c r="Q43" s="1262">
        <f t="shared" si="14"/>
        <v>111</v>
      </c>
      <c r="R43" s="666" t="s">
        <v>14</v>
      </c>
      <c r="S43" s="667">
        <f t="shared" si="10"/>
        <v>100</v>
      </c>
      <c r="T43" s="666" t="s">
        <v>14</v>
      </c>
      <c r="U43" s="667">
        <f t="shared" si="11"/>
        <v>100</v>
      </c>
      <c r="V43" s="666" t="s">
        <v>14</v>
      </c>
      <c r="W43" s="667">
        <f t="shared" si="12"/>
        <v>100</v>
      </c>
      <c r="X43" s="1264"/>
      <c r="Y43" s="3413"/>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413"/>
      <c r="Q44" s="1262">
        <f t="shared" si="14"/>
        <v>111</v>
      </c>
      <c r="R44" s="666" t="s">
        <v>14</v>
      </c>
      <c r="S44" s="667">
        <f t="shared" si="10"/>
        <v>100</v>
      </c>
      <c r="T44" s="666" t="s">
        <v>14</v>
      </c>
      <c r="U44" s="667">
        <f t="shared" si="11"/>
        <v>100</v>
      </c>
      <c r="V44" s="666" t="s">
        <v>14</v>
      </c>
      <c r="W44" s="667">
        <f t="shared" si="12"/>
        <v>100</v>
      </c>
      <c r="X44" s="1264"/>
      <c r="Y44" s="3413"/>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413"/>
      <c r="Q45" s="1262">
        <f t="shared" si="14"/>
        <v>111</v>
      </c>
      <c r="R45" s="668" t="s">
        <v>14</v>
      </c>
      <c r="S45" s="669">
        <f t="shared" si="10"/>
        <v>100</v>
      </c>
      <c r="T45" s="668" t="s">
        <v>14</v>
      </c>
      <c r="U45" s="669">
        <f t="shared" si="11"/>
        <v>100</v>
      </c>
      <c r="V45" s="668" t="s">
        <v>14</v>
      </c>
      <c r="W45" s="669">
        <f t="shared" si="12"/>
        <v>100</v>
      </c>
      <c r="X45" s="670"/>
      <c r="Y45" s="3413"/>
      <c r="Z45" s="671">
        <f t="shared" si="13"/>
        <v>111</v>
      </c>
      <c r="AA45" s="1263">
        <f t="shared" si="3"/>
        <v>1</v>
      </c>
      <c r="AB45" s="1263">
        <f t="shared" si="4"/>
        <v>1</v>
      </c>
      <c r="AC45" s="1263">
        <f t="shared" si="5"/>
        <v>1</v>
      </c>
    </row>
    <row r="46" spans="1:29" ht="15">
      <c r="A46" s="415" t="s">
        <v>1841</v>
      </c>
      <c r="B46" s="1829" t="s">
        <v>1876</v>
      </c>
      <c r="C46" s="601" t="s">
        <v>0</v>
      </c>
      <c r="D46" s="417"/>
      <c r="E46" s="418"/>
      <c r="F46" s="419"/>
      <c r="G46" s="420"/>
      <c r="H46" s="421"/>
      <c r="I46" s="418"/>
      <c r="J46" s="421"/>
      <c r="K46" s="673"/>
      <c r="L46" s="2491"/>
      <c r="M46" s="2484"/>
      <c r="N46" s="2484"/>
      <c r="O46" s="2484"/>
      <c r="P46" s="3415" t="str">
        <f>A46</f>
        <v>成交单价</v>
      </c>
      <c r="Q46" s="3415"/>
      <c r="R46" s="3377">
        <f>E46</f>
        <v>0</v>
      </c>
      <c r="S46" s="3377"/>
      <c r="T46" s="3377">
        <f>G46</f>
        <v>0</v>
      </c>
      <c r="U46" s="3377"/>
      <c r="V46" s="3377">
        <f>I46</f>
        <v>0</v>
      </c>
      <c r="W46" s="3377"/>
      <c r="X46" s="384"/>
      <c r="Y46" s="672"/>
      <c r="Z46" s="384"/>
      <c r="AA46" s="384"/>
      <c r="AB46" s="384"/>
      <c r="AC46" s="384"/>
    </row>
    <row r="47" spans="1:29" ht="15.75" thickBot="1">
      <c r="A47" s="422" t="s">
        <v>1790</v>
      </c>
      <c r="B47" s="602"/>
      <c r="C47" s="425" t="e">
        <f>R48</f>
        <v>#DIV/0!</v>
      </c>
      <c r="D47" s="2140" t="s">
        <v>2135</v>
      </c>
      <c r="E47" s="425" t="e">
        <f>R47</f>
        <v>#DIV/0!</v>
      </c>
      <c r="F47" s="2141"/>
      <c r="G47" s="424" t="e">
        <f>T47</f>
        <v>#DIV/0!</v>
      </c>
      <c r="H47" s="2141"/>
      <c r="I47" s="425" t="e">
        <f>V47</f>
        <v>#DIV/0!</v>
      </c>
      <c r="J47" s="2141"/>
      <c r="K47" s="2143">
        <f>F47+H47+J47</f>
        <v>0</v>
      </c>
      <c r="L47" s="2491"/>
      <c r="M47" s="2484"/>
      <c r="N47" s="2484"/>
      <c r="O47" s="2484"/>
      <c r="P47" s="3415" t="str">
        <f>A47</f>
        <v>比较价值（元/平方米）</v>
      </c>
      <c r="Q47" s="3415"/>
      <c r="R47" s="3483" t="e">
        <f>ROUND(PRODUCT(R46,AA7:AA45),0)</f>
        <v>#DIV/0!</v>
      </c>
      <c r="S47" s="3483"/>
      <c r="T47" s="3483" t="e">
        <f>ROUND(PRODUCT(T46,AB7:AB45),0)</f>
        <v>#DIV/0!</v>
      </c>
      <c r="U47" s="3483"/>
      <c r="V47" s="3483" t="e">
        <f>ROUND(PRODUCT(V46,AC7:AC45),0)</f>
        <v>#DIV/0!</v>
      </c>
      <c r="W47" s="3483"/>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91"/>
      <c r="M48" s="2484"/>
      <c r="N48" s="2484"/>
      <c r="O48" s="2484"/>
      <c r="P48" s="3416" t="str">
        <f>A48</f>
        <v>估价对象XX用房的比较价值（楼面单价，元/平方米）</v>
      </c>
      <c r="Q48" s="3417"/>
      <c r="R48" s="3484" t="e">
        <f>ROUND(IF(D47="简单平均",AVERAGE(R47:W47),R47*F47+T47*H47+V47*J47),0)</f>
        <v>#DIV/0!</v>
      </c>
      <c r="S48" s="3484"/>
      <c r="T48" s="3484"/>
      <c r="U48" s="3484"/>
      <c r="V48" s="3484"/>
      <c r="W48" s="3484"/>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1878</v>
      </c>
      <c r="B55" s="604" t="s">
        <v>1879</v>
      </c>
      <c r="C55" s="1830" t="s">
        <v>1880</v>
      </c>
      <c r="D55" s="1831" t="s">
        <v>1881</v>
      </c>
      <c r="E55" s="605" t="s">
        <v>1882</v>
      </c>
      <c r="F55" s="836" t="s">
        <v>1883</v>
      </c>
      <c r="G55" s="3393" t="s">
        <v>1884</v>
      </c>
      <c r="H55" s="3485"/>
      <c r="I55" s="126" t="s">
        <v>1885</v>
      </c>
      <c r="J55" s="1832">
        <f>项目基本情况!F35</f>
        <v>0</v>
      </c>
      <c r="K55" s="1833" t="s">
        <v>1886</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1887</v>
      </c>
      <c r="B56" s="608" t="e">
        <f>C48</f>
        <v>#DIV/0!</v>
      </c>
      <c r="C56" s="609">
        <v>1</v>
      </c>
      <c r="D56" s="889">
        <v>1</v>
      </c>
      <c r="E56" s="609">
        <f>'数据-汇总表'!E8+'数据-汇总表'!E9</f>
        <v>7170.4100000000008</v>
      </c>
      <c r="F56" s="832" t="e">
        <f t="shared" ref="F56:F64" si="15">ROUND(B56*E56/10000,0)</f>
        <v>#DIV/0!</v>
      </c>
      <c r="G56" s="3392"/>
      <c r="H56" s="3415"/>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1888</v>
      </c>
      <c r="B57" s="209" t="e">
        <f>ROUND($C$48*C57*D57,0)</f>
        <v>#DIV/0!</v>
      </c>
      <c r="C57" s="162">
        <f t="shared" ref="C57:C64" si="16">IF($C$55="北京市系数",I57,J57)</f>
        <v>0</v>
      </c>
      <c r="D57" s="890">
        <v>0.25</v>
      </c>
      <c r="E57" s="613"/>
      <c r="F57" s="832" t="e">
        <f t="shared" si="15"/>
        <v>#DIV/0!</v>
      </c>
      <c r="G57" s="2747" t="s">
        <v>1889</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1890</v>
      </c>
      <c r="B58" s="209" t="e">
        <f t="shared" ref="B58:B64" si="17">ROUND($C$48*C58*D58,0)</f>
        <v>#DIV/0!</v>
      </c>
      <c r="C58" s="162">
        <f t="shared" si="16"/>
        <v>0</v>
      </c>
      <c r="D58" s="890">
        <v>0.25</v>
      </c>
      <c r="E58" s="613"/>
      <c r="F58" s="832" t="e">
        <f t="shared" si="15"/>
        <v>#DIV/0!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1891</v>
      </c>
      <c r="B59" s="209" t="e">
        <f t="shared" si="17"/>
        <v>#DIV/0!</v>
      </c>
      <c r="C59" s="162">
        <f t="shared" si="16"/>
        <v>0</v>
      </c>
      <c r="D59" s="890">
        <v>0.25</v>
      </c>
      <c r="E59" s="613"/>
      <c r="F59" s="832" t="e">
        <f t="shared" si="15"/>
        <v>#DIV/0!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1892</v>
      </c>
      <c r="B60" s="209" t="e">
        <f t="shared" si="17"/>
        <v>#DIV/0!</v>
      </c>
      <c r="C60" s="162">
        <f t="shared" si="16"/>
        <v>0</v>
      </c>
      <c r="D60" s="890">
        <v>0.25</v>
      </c>
      <c r="E60" s="208">
        <f>'数据-汇总表'!E11</f>
        <v>0</v>
      </c>
      <c r="F60" s="832" t="e">
        <f t="shared" si="15"/>
        <v>#DIV/0!</v>
      </c>
      <c r="G60" s="1834" t="s">
        <v>1893</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1894</v>
      </c>
      <c r="B61" s="209" t="e">
        <f t="shared" si="17"/>
        <v>#DIV/0!</v>
      </c>
      <c r="C61" s="162">
        <f t="shared" si="16"/>
        <v>0</v>
      </c>
      <c r="D61" s="890">
        <v>0.25</v>
      </c>
      <c r="E61" s="208">
        <f>'数据-汇总表'!E12</f>
        <v>0</v>
      </c>
      <c r="F61" s="832" t="e">
        <f t="shared" si="15"/>
        <v>#DIV/0!</v>
      </c>
      <c r="G61" s="838" t="s">
        <v>1895</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1896</v>
      </c>
      <c r="B62" s="209" t="e">
        <f t="shared" si="17"/>
        <v>#DIV/0!</v>
      </c>
      <c r="C62" s="162">
        <f t="shared" si="16"/>
        <v>0</v>
      </c>
      <c r="D62" s="890">
        <v>0.25</v>
      </c>
      <c r="E62" s="208">
        <f>'数据-汇总表'!E13</f>
        <v>0</v>
      </c>
      <c r="F62" s="832" t="e">
        <f t="shared" si="15"/>
        <v>#DIV/0!</v>
      </c>
      <c r="G62" s="838" t="s">
        <v>1897</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1898</v>
      </c>
      <c r="B63" s="209" t="e">
        <f t="shared" si="17"/>
        <v>#DIV/0!</v>
      </c>
      <c r="C63" s="162">
        <f t="shared" si="16"/>
        <v>0</v>
      </c>
      <c r="D63" s="890">
        <v>0.25</v>
      </c>
      <c r="E63" s="208">
        <f>'数据-汇总表'!E14</f>
        <v>0</v>
      </c>
      <c r="F63" s="832" t="e">
        <f t="shared" si="15"/>
        <v>#DIV/0!</v>
      </c>
      <c r="G63" s="1834" t="s">
        <v>1889</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1899</v>
      </c>
      <c r="B64" s="209" t="e">
        <f t="shared" si="17"/>
        <v>#DIV/0!</v>
      </c>
      <c r="C64" s="162">
        <f t="shared" si="16"/>
        <v>0</v>
      </c>
      <c r="D64" s="890">
        <v>0.25</v>
      </c>
      <c r="E64" s="208">
        <f>'数据-汇总表'!E15</f>
        <v>0</v>
      </c>
      <c r="F64" s="832" t="e">
        <f t="shared" si="15"/>
        <v>#DIV/0!</v>
      </c>
      <c r="G64" s="1835" t="s">
        <v>1893</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1900</v>
      </c>
      <c r="B65" s="615" t="s">
        <v>22</v>
      </c>
      <c r="C65" s="615" t="s">
        <v>23</v>
      </c>
      <c r="D65" s="615" t="s">
        <v>392</v>
      </c>
      <c r="E65" s="615">
        <f>IF(B46="楼面地价",SUM(E56:E64),'数据-汇总表'!D3)</f>
        <v>7170.4100000000008</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2024-1-1</v>
      </c>
      <c r="D67" s="655">
        <f>EDATE(C67,-3)</f>
        <v>45200</v>
      </c>
      <c r="E67" s="655">
        <f>EDATE(D67,-3)</f>
        <v>45108</v>
      </c>
      <c r="F67" s="655">
        <f t="shared" ref="F67:O67" si="18">EDATE(E67,-3)</f>
        <v>45017</v>
      </c>
      <c r="G67" s="655">
        <f t="shared" si="18"/>
        <v>44927</v>
      </c>
      <c r="H67" s="655">
        <f t="shared" si="18"/>
        <v>44835</v>
      </c>
      <c r="I67" s="655">
        <f t="shared" si="18"/>
        <v>44743</v>
      </c>
      <c r="J67" s="655">
        <f t="shared" si="18"/>
        <v>44652</v>
      </c>
      <c r="K67" s="655">
        <f t="shared" si="18"/>
        <v>44562</v>
      </c>
      <c r="L67" s="655">
        <f t="shared" si="18"/>
        <v>44470</v>
      </c>
      <c r="M67" s="655">
        <f t="shared" si="18"/>
        <v>44378</v>
      </c>
      <c r="N67" s="655">
        <f t="shared" si="18"/>
        <v>44287</v>
      </c>
      <c r="O67" s="655">
        <f t="shared" si="18"/>
        <v>44197</v>
      </c>
      <c r="P67" s="2484"/>
      <c r="Q67" s="2484"/>
      <c r="R67" s="2484"/>
      <c r="S67" s="2484"/>
      <c r="T67" s="2484"/>
      <c r="U67" s="2484"/>
      <c r="V67" s="2484"/>
      <c r="W67" s="2484"/>
      <c r="X67" s="2484"/>
      <c r="Y67" s="2484"/>
      <c r="Z67" s="2484"/>
      <c r="AA67" s="2484"/>
      <c r="AB67" s="2484"/>
      <c r="AC67" s="2484"/>
    </row>
    <row r="68" spans="1:29" ht="21.75" thickBot="1">
      <c r="A68" s="657" t="s">
        <v>1795</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1901</v>
      </c>
      <c r="B69" s="1045"/>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7"/>
      <c r="Q69" s="2507"/>
      <c r="R69" s="2507"/>
      <c r="S69" s="2507"/>
      <c r="T69" s="2507"/>
      <c r="U69" s="2507"/>
      <c r="V69" s="2507"/>
      <c r="W69" s="2507"/>
      <c r="X69" s="2507"/>
      <c r="Y69" s="2507"/>
      <c r="Z69" s="2507"/>
      <c r="AA69" s="2507"/>
      <c r="AB69" s="2507"/>
      <c r="AC69" s="2507"/>
    </row>
    <row r="70" spans="1:29" s="101" customFormat="1" ht="30" customHeight="1">
      <c r="A70" s="1836"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75" thickBot="1">
      <c r="A71" s="448" t="s">
        <v>1713</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5">
      <c r="A72" s="454" t="s">
        <v>1678</v>
      </c>
      <c r="B72" s="443"/>
      <c r="C72" s="455" t="s">
        <v>1773</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1716</v>
      </c>
      <c r="B74" s="459" t="s">
        <v>1682</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1685</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1686</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1687</v>
      </c>
      <c r="B87" s="459" t="s">
        <v>1717</v>
      </c>
      <c r="C87" s="503" t="s">
        <v>1718</v>
      </c>
      <c r="D87" s="503" t="s">
        <v>1719</v>
      </c>
      <c r="E87" s="503" t="s">
        <v>1720</v>
      </c>
      <c r="F87" s="503" t="s">
        <v>1721</v>
      </c>
      <c r="G87" s="503" t="s">
        <v>1722</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1903</v>
      </c>
      <c r="C89" s="508" t="s">
        <v>1718</v>
      </c>
      <c r="D89" s="508" t="s">
        <v>1719</v>
      </c>
      <c r="E89" s="508" t="s">
        <v>1720</v>
      </c>
      <c r="F89" s="508" t="s">
        <v>1721</v>
      </c>
      <c r="G89" s="508" t="s">
        <v>1722</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1818</v>
      </c>
      <c r="C91" s="508" t="s">
        <v>1718</v>
      </c>
      <c r="D91" s="508" t="s">
        <v>1719</v>
      </c>
      <c r="E91" s="508" t="s">
        <v>1720</v>
      </c>
      <c r="F91" s="508" t="s">
        <v>1721</v>
      </c>
      <c r="G91" s="508" t="s">
        <v>1722</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1723</v>
      </c>
      <c r="C93" s="508" t="s">
        <v>1718</v>
      </c>
      <c r="D93" s="508" t="s">
        <v>1719</v>
      </c>
      <c r="E93" s="508" t="s">
        <v>1720</v>
      </c>
      <c r="F93" s="508" t="s">
        <v>1721</v>
      </c>
      <c r="G93" s="508" t="s">
        <v>1722</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15.75" thickTop="1">
      <c r="A95" s="369"/>
      <c r="B95" s="468" t="s">
        <v>1904</v>
      </c>
      <c r="C95" s="508" t="s">
        <v>1718</v>
      </c>
      <c r="D95" s="508" t="s">
        <v>1719</v>
      </c>
      <c r="E95" s="508" t="s">
        <v>1720</v>
      </c>
      <c r="F95" s="508" t="s">
        <v>1721</v>
      </c>
      <c r="G95" s="508" t="s">
        <v>1722</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7.75" thickTop="1">
      <c r="A97" s="369"/>
      <c r="B97" s="468" t="s">
        <v>1905</v>
      </c>
      <c r="C97" s="503" t="s">
        <v>1718</v>
      </c>
      <c r="D97" s="503" t="s">
        <v>1719</v>
      </c>
      <c r="E97" s="503" t="s">
        <v>1720</v>
      </c>
      <c r="F97" s="503" t="s">
        <v>1721</v>
      </c>
      <c r="G97" s="503" t="s">
        <v>1722</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1775</v>
      </c>
      <c r="C99" s="503" t="s">
        <v>1718</v>
      </c>
      <c r="D99" s="503" t="s">
        <v>1719</v>
      </c>
      <c r="E99" s="503" t="s">
        <v>1720</v>
      </c>
      <c r="F99" s="503" t="s">
        <v>1721</v>
      </c>
      <c r="G99" s="503" t="s">
        <v>1722</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1812</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1870</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1691</v>
      </c>
      <c r="B115" s="459" t="s">
        <v>1910</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1911</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1912</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1913</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1914</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1459</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t="e">
        <f>ROUND(IF(D3="",B2*10000/'数据-汇总表'!E3,B2*10000/D3),0)</f>
        <v>#DIV/0!</v>
      </c>
      <c r="C3" s="194" t="s">
        <v>1866</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397" t="s">
        <v>1772</v>
      </c>
      <c r="Q4" s="3398"/>
      <c r="R4" s="3380" t="s">
        <v>1768</v>
      </c>
      <c r="S4" s="3381"/>
      <c r="T4" s="3380" t="s">
        <v>1769</v>
      </c>
      <c r="U4" s="3381"/>
      <c r="V4" s="3377" t="s">
        <v>1770</v>
      </c>
      <c r="W4" s="3377"/>
      <c r="X4" s="1264"/>
      <c r="Y4" s="3380" t="s">
        <v>1772</v>
      </c>
      <c r="Z4" s="3381"/>
      <c r="AA4" s="3374" t="s">
        <v>1768</v>
      </c>
      <c r="AB4" s="3375" t="s">
        <v>1769</v>
      </c>
      <c r="AC4" s="3374" t="s">
        <v>1770</v>
      </c>
    </row>
    <row r="5" spans="1:29" ht="15">
      <c r="A5" s="347"/>
      <c r="B5" s="348"/>
      <c r="C5" s="3386" t="s">
        <v>1670</v>
      </c>
      <c r="D5" s="3387"/>
      <c r="E5" s="3480" t="s">
        <v>1671</v>
      </c>
      <c r="F5" s="3385"/>
      <c r="G5" s="3386" t="s">
        <v>1672</v>
      </c>
      <c r="H5" s="3387"/>
      <c r="I5" s="3386" t="s">
        <v>1673</v>
      </c>
      <c r="J5" s="3387"/>
      <c r="K5" s="536"/>
      <c r="L5" s="2483"/>
      <c r="M5" s="2484"/>
      <c r="N5" s="2484"/>
      <c r="O5" s="2484"/>
      <c r="P5" s="3399"/>
      <c r="Q5" s="3400"/>
      <c r="R5" s="3382"/>
      <c r="S5" s="3383"/>
      <c r="T5" s="3382"/>
      <c r="U5" s="3383"/>
      <c r="V5" s="3377"/>
      <c r="W5" s="3377"/>
      <c r="X5" s="1264"/>
      <c r="Y5" s="3382"/>
      <c r="Z5" s="3383"/>
      <c r="AA5" s="3375"/>
      <c r="AB5" s="3375"/>
      <c r="AC5" s="3375"/>
    </row>
    <row r="6" spans="1:29" ht="15.75" thickBot="1">
      <c r="A6" s="349"/>
      <c r="B6" s="350"/>
      <c r="C6" s="3486" t="s">
        <v>1916</v>
      </c>
      <c r="D6" s="3487"/>
      <c r="E6" s="3488" t="s">
        <v>1916</v>
      </c>
      <c r="F6" s="3489"/>
      <c r="G6" s="3486" t="s">
        <v>1916</v>
      </c>
      <c r="H6" s="3487"/>
      <c r="I6" s="3486" t="s">
        <v>1916</v>
      </c>
      <c r="J6" s="3487"/>
      <c r="K6" s="536" t="s">
        <v>1675</v>
      </c>
      <c r="L6" s="2483"/>
      <c r="M6" s="2484"/>
      <c r="N6" s="2484"/>
      <c r="O6" s="2484"/>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378" t="s">
        <v>1677</v>
      </c>
      <c r="Q7" s="3405"/>
      <c r="R7" s="663" t="s">
        <v>14</v>
      </c>
      <c r="S7" s="664">
        <f t="shared" ref="S7:S15" si="0">F7</f>
        <v>0</v>
      </c>
      <c r="T7" s="663" t="s">
        <v>14</v>
      </c>
      <c r="U7" s="664">
        <f t="shared" ref="U7:U15" si="1">H7</f>
        <v>0</v>
      </c>
      <c r="V7" s="663" t="s">
        <v>14</v>
      </c>
      <c r="W7" s="664">
        <f t="shared" ref="W7:W15" si="2">J7</f>
        <v>0</v>
      </c>
      <c r="X7" s="665"/>
      <c r="Y7" s="3378" t="s">
        <v>1677</v>
      </c>
      <c r="Z7" s="3379"/>
      <c r="AA7" s="50" t="e">
        <f>D7/F7</f>
        <v>#DIV/0!</v>
      </c>
      <c r="AB7" s="50" t="e">
        <f>D7/H7</f>
        <v>#DIV/0!</v>
      </c>
      <c r="AC7" s="50" t="e">
        <f>D7/J7</f>
        <v>#DIV/0!</v>
      </c>
    </row>
    <row r="8" spans="1:29" s="101" customFormat="1" ht="15.75" thickBot="1">
      <c r="A8" s="351" t="s">
        <v>1678</v>
      </c>
      <c r="B8" s="352"/>
      <c r="C8" s="357" t="s">
        <v>1679</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378" t="s">
        <v>1680</v>
      </c>
      <c r="Q8" s="3379"/>
      <c r="R8" s="663" t="s">
        <v>14</v>
      </c>
      <c r="S8" s="664">
        <f t="shared" si="0"/>
        <v>0</v>
      </c>
      <c r="T8" s="663" t="s">
        <v>14</v>
      </c>
      <c r="U8" s="664">
        <f t="shared" si="1"/>
        <v>0</v>
      </c>
      <c r="V8" s="663" t="s">
        <v>14</v>
      </c>
      <c r="W8" s="664">
        <f t="shared" si="2"/>
        <v>0</v>
      </c>
      <c r="X8" s="665"/>
      <c r="Y8" s="3378" t="s">
        <v>1680</v>
      </c>
      <c r="Z8" s="3379"/>
      <c r="AA8" s="50" t="e">
        <f t="shared" ref="AA8:AA40" si="3">D8/F8</f>
        <v>#DIV/0!</v>
      </c>
      <c r="AB8" s="50" t="e">
        <f t="shared" ref="AB8:AB40" si="4">D8/H8</f>
        <v>#DIV/0!</v>
      </c>
      <c r="AC8" s="50" t="e">
        <f t="shared" ref="AC8:AC40" si="5">D8/J8</f>
        <v>#DIV/0!</v>
      </c>
    </row>
    <row r="9" spans="1:29" s="101" customFormat="1">
      <c r="A9" s="358" t="s">
        <v>1681</v>
      </c>
      <c r="B9" s="60" t="s">
        <v>1682</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15"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50">
        <f t="shared" si="5"/>
        <v>1</v>
      </c>
    </row>
    <row r="10" spans="1:29" s="365" customFormat="1" ht="27">
      <c r="A10" s="362"/>
      <c r="B10" s="363" t="s">
        <v>1685</v>
      </c>
      <c r="C10" s="370"/>
      <c r="D10" s="118">
        <v>100</v>
      </c>
      <c r="E10" s="370"/>
      <c r="F10" s="118">
        <f>ROUND(100/'数据-取费表'!G16,0)</f>
        <v>125</v>
      </c>
      <c r="G10" s="370"/>
      <c r="H10" s="118">
        <f>ROUND(100/'数据-取费表'!G16,0)</f>
        <v>125</v>
      </c>
      <c r="I10" s="370"/>
      <c r="J10" s="118">
        <f>ROUND(100/'数据-取费表'!G16,0)</f>
        <v>125</v>
      </c>
      <c r="K10" s="591"/>
      <c r="L10" s="2486"/>
      <c r="M10" s="2487"/>
      <c r="N10" s="2487"/>
      <c r="O10" s="2538"/>
      <c r="P10" s="3415"/>
      <c r="Q10" s="529" t="str">
        <f t="shared" si="6"/>
        <v>土地使用年限（年）</v>
      </c>
      <c r="R10" s="663" t="s">
        <v>14</v>
      </c>
      <c r="S10" s="664">
        <f t="shared" si="0"/>
        <v>125</v>
      </c>
      <c r="T10" s="663" t="s">
        <v>14</v>
      </c>
      <c r="U10" s="664">
        <f t="shared" si="1"/>
        <v>125</v>
      </c>
      <c r="V10" s="663" t="s">
        <v>14</v>
      </c>
      <c r="W10" s="664">
        <f t="shared" si="2"/>
        <v>125</v>
      </c>
      <c r="X10" s="665"/>
      <c r="Y10" s="3343"/>
      <c r="Z10" s="50" t="str">
        <f t="shared" si="7"/>
        <v>土地使用年限（年）</v>
      </c>
      <c r="AA10" s="50">
        <f t="shared" si="3"/>
        <v>0.8</v>
      </c>
      <c r="AB10" s="50">
        <f t="shared" si="4"/>
        <v>0.8</v>
      </c>
      <c r="AC10" s="50">
        <f t="shared" si="5"/>
        <v>0.8</v>
      </c>
    </row>
    <row r="11" spans="1:29" ht="15">
      <c r="A11" s="366"/>
      <c r="B11" s="363" t="s">
        <v>1686</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415"/>
      <c r="Q11" s="529" t="str">
        <f t="shared" si="6"/>
        <v>容积率</v>
      </c>
      <c r="R11" s="663" t="s">
        <v>14</v>
      </c>
      <c r="S11" s="664" t="e">
        <f t="shared" si="0"/>
        <v>#N/A</v>
      </c>
      <c r="T11" s="663" t="s">
        <v>14</v>
      </c>
      <c r="U11" s="664" t="e">
        <f t="shared" si="1"/>
        <v>#N/A</v>
      </c>
      <c r="V11" s="663" t="s">
        <v>14</v>
      </c>
      <c r="W11" s="664" t="e">
        <f t="shared" si="2"/>
        <v>#N/A</v>
      </c>
      <c r="X11" s="665"/>
      <c r="Y11" s="334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415"/>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415"/>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415"/>
      <c r="Q14" s="529">
        <f t="shared" si="6"/>
        <v>111</v>
      </c>
      <c r="R14" s="663" t="s">
        <v>14</v>
      </c>
      <c r="S14" s="664">
        <f t="shared" si="0"/>
        <v>100</v>
      </c>
      <c r="T14" s="663" t="s">
        <v>14</v>
      </c>
      <c r="U14" s="664">
        <f t="shared" si="1"/>
        <v>100</v>
      </c>
      <c r="V14" s="663" t="s">
        <v>14</v>
      </c>
      <c r="W14" s="664">
        <f t="shared" si="2"/>
        <v>100</v>
      </c>
      <c r="X14" s="665"/>
      <c r="Y14" s="3343"/>
      <c r="Z14" s="50">
        <f t="shared" si="7"/>
        <v>111</v>
      </c>
      <c r="AA14" s="50">
        <f t="shared" si="3"/>
        <v>1</v>
      </c>
      <c r="AB14" s="50">
        <f t="shared" si="4"/>
        <v>1</v>
      </c>
      <c r="AC14" s="50">
        <f t="shared" si="5"/>
        <v>1</v>
      </c>
    </row>
    <row r="15" spans="1:29" ht="57">
      <c r="A15" s="378" t="s">
        <v>1687</v>
      </c>
      <c r="B15" s="553" t="s">
        <v>1917</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408" t="s">
        <v>1688</v>
      </c>
      <c r="Q15" s="1262" t="str">
        <f t="shared" si="6"/>
        <v>产业集聚程度</v>
      </c>
      <c r="R15" s="666" t="s">
        <v>14</v>
      </c>
      <c r="S15" s="667">
        <f t="shared" si="0"/>
        <v>100</v>
      </c>
      <c r="T15" s="666" t="s">
        <v>14</v>
      </c>
      <c r="U15" s="667">
        <f t="shared" si="1"/>
        <v>100</v>
      </c>
      <c r="V15" s="666" t="s">
        <v>14</v>
      </c>
      <c r="W15" s="667">
        <f t="shared" si="2"/>
        <v>100</v>
      </c>
      <c r="X15" s="1264"/>
      <c r="Y15" s="3408" t="s">
        <v>1688</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409"/>
      <c r="Q16" s="1262"/>
      <c r="R16" s="666"/>
      <c r="S16" s="667"/>
      <c r="T16" s="666"/>
      <c r="U16" s="667"/>
      <c r="V16" s="666"/>
      <c r="W16" s="667"/>
      <c r="X16" s="1264"/>
      <c r="Y16" s="3409"/>
      <c r="Z16" s="1263"/>
      <c r="AA16" s="1263">
        <v>1</v>
      </c>
      <c r="AB16" s="1263">
        <v>1</v>
      </c>
      <c r="AC16" s="1263">
        <v>1</v>
      </c>
    </row>
    <row r="17" spans="1:29" ht="85.5">
      <c r="A17" s="366"/>
      <c r="B17" s="555" t="s">
        <v>1830</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409"/>
      <c r="Q17" s="1262" t="str">
        <f>B17</f>
        <v>交通便捷度</v>
      </c>
      <c r="R17" s="666" t="s">
        <v>14</v>
      </c>
      <c r="S17" s="667">
        <f>F17</f>
        <v>100</v>
      </c>
      <c r="T17" s="666" t="s">
        <v>14</v>
      </c>
      <c r="U17" s="667">
        <f>H17</f>
        <v>100</v>
      </c>
      <c r="V17" s="666" t="s">
        <v>14</v>
      </c>
      <c r="W17" s="667">
        <f>J17</f>
        <v>100</v>
      </c>
      <c r="X17" s="1264"/>
      <c r="Y17" s="3409"/>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409"/>
      <c r="Q18" s="1262"/>
      <c r="R18" s="666"/>
      <c r="S18" s="667"/>
      <c r="T18" s="666"/>
      <c r="U18" s="667"/>
      <c r="V18" s="666"/>
      <c r="W18" s="667"/>
      <c r="X18" s="1264"/>
      <c r="Y18" s="3409"/>
      <c r="Z18" s="1263"/>
      <c r="AA18" s="1263">
        <v>1</v>
      </c>
      <c r="AB18" s="1263">
        <v>1</v>
      </c>
      <c r="AC18" s="1263">
        <v>1</v>
      </c>
    </row>
    <row r="19" spans="1:29" ht="15">
      <c r="A19" s="366"/>
      <c r="B19" s="555" t="s">
        <v>1868</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409"/>
      <c r="Q19" s="1262" t="str">
        <f t="shared" ref="Q19:Q33" si="8">B19</f>
        <v>区域土地利用方向</v>
      </c>
      <c r="R19" s="666" t="s">
        <v>14</v>
      </c>
      <c r="S19" s="667">
        <f>F19</f>
        <v>100</v>
      </c>
      <c r="T19" s="666" t="s">
        <v>14</v>
      </c>
      <c r="U19" s="667">
        <f>H19</f>
        <v>100</v>
      </c>
      <c r="V19" s="666" t="s">
        <v>14</v>
      </c>
      <c r="W19" s="667">
        <f>J19</f>
        <v>100</v>
      </c>
      <c r="X19" s="1264"/>
      <c r="Y19" s="3409"/>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409"/>
      <c r="Q20" s="1262"/>
      <c r="R20" s="666"/>
      <c r="S20" s="667"/>
      <c r="T20" s="666"/>
      <c r="U20" s="667"/>
      <c r="V20" s="666"/>
      <c r="W20" s="667"/>
      <c r="X20" s="1264"/>
      <c r="Y20" s="3409"/>
      <c r="Z20" s="1263"/>
      <c r="AA20" s="1263"/>
      <c r="AB20" s="1263"/>
      <c r="AC20" s="1263"/>
    </row>
    <row r="21" spans="1:29" ht="71.25">
      <c r="A21" s="347"/>
      <c r="B21" s="555" t="s">
        <v>1918</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409"/>
      <c r="Q21" s="1262" t="str">
        <f t="shared" si="8"/>
        <v>环境状况</v>
      </c>
      <c r="R21" s="666" t="s">
        <v>14</v>
      </c>
      <c r="S21" s="667">
        <f>F21</f>
        <v>100</v>
      </c>
      <c r="T21" s="666" t="s">
        <v>14</v>
      </c>
      <c r="U21" s="667">
        <f>H21</f>
        <v>100</v>
      </c>
      <c r="V21" s="666" t="s">
        <v>14</v>
      </c>
      <c r="W21" s="667">
        <f>J21</f>
        <v>100</v>
      </c>
      <c r="X21" s="1264"/>
      <c r="Y21" s="3409"/>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409"/>
      <c r="Q22" s="1262"/>
      <c r="R22" s="666"/>
      <c r="S22" s="667"/>
      <c r="T22" s="666"/>
      <c r="U22" s="667"/>
      <c r="V22" s="666"/>
      <c r="W22" s="667"/>
      <c r="X22" s="1264"/>
      <c r="Y22" s="3409"/>
      <c r="Z22" s="1263"/>
      <c r="AA22" s="1263">
        <v>1</v>
      </c>
      <c r="AB22" s="1263">
        <v>1</v>
      </c>
      <c r="AC22" s="1263">
        <v>1</v>
      </c>
    </row>
    <row r="23" spans="1:29" s="101" customFormat="1" ht="42.75">
      <c r="A23" s="442"/>
      <c r="B23" s="556" t="s">
        <v>1775</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409"/>
      <c r="Q23" s="529" t="str">
        <f t="shared" si="8"/>
        <v>公共配套设施</v>
      </c>
      <c r="R23" s="663" t="s">
        <v>14</v>
      </c>
      <c r="S23" s="664">
        <f>F23</f>
        <v>100</v>
      </c>
      <c r="T23" s="663" t="s">
        <v>14</v>
      </c>
      <c r="U23" s="664">
        <f>H23</f>
        <v>100</v>
      </c>
      <c r="V23" s="663" t="s">
        <v>14</v>
      </c>
      <c r="W23" s="664">
        <f>J23</f>
        <v>100</v>
      </c>
      <c r="X23" s="665"/>
      <c r="Y23" s="3409"/>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5"/>
      <c r="M24" s="2437"/>
      <c r="N24" s="2437"/>
      <c r="O24" s="2537"/>
      <c r="P24" s="3409"/>
      <c r="Q24" s="529"/>
      <c r="R24" s="663"/>
      <c r="S24" s="664"/>
      <c r="T24" s="663"/>
      <c r="U24" s="664"/>
      <c r="V24" s="663"/>
      <c r="W24" s="664"/>
      <c r="X24" s="665"/>
      <c r="Y24" s="3409"/>
      <c r="Z24" s="50"/>
      <c r="AA24" s="50">
        <v>1</v>
      </c>
      <c r="AB24" s="50">
        <v>1</v>
      </c>
      <c r="AC24" s="50">
        <v>1</v>
      </c>
    </row>
    <row r="25" spans="1:29" s="101" customFormat="1" ht="28.5">
      <c r="A25" s="442"/>
      <c r="B25" s="556" t="s">
        <v>1776</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409"/>
      <c r="Q25" s="529" t="str">
        <f t="shared" ref="Q25" si="9">B25</f>
        <v>基础设施水平</v>
      </c>
      <c r="R25" s="663" t="s">
        <v>14</v>
      </c>
      <c r="S25" s="664">
        <f>F25</f>
        <v>100</v>
      </c>
      <c r="T25" s="663" t="s">
        <v>14</v>
      </c>
      <c r="U25" s="664">
        <f>H25</f>
        <v>100</v>
      </c>
      <c r="V25" s="663" t="s">
        <v>14</v>
      </c>
      <c r="W25" s="664">
        <f>J25</f>
        <v>100</v>
      </c>
      <c r="X25" s="665"/>
      <c r="Y25" s="3409"/>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5"/>
      <c r="M26" s="2437"/>
      <c r="N26" s="2437"/>
      <c r="O26" s="2537"/>
      <c r="P26" s="3409"/>
      <c r="Q26" s="529"/>
      <c r="R26" s="663"/>
      <c r="S26" s="664"/>
      <c r="T26" s="663"/>
      <c r="U26" s="664"/>
      <c r="V26" s="663"/>
      <c r="W26" s="664"/>
      <c r="X26" s="665"/>
      <c r="Y26" s="3409"/>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40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9"/>
      <c r="Z27" s="1263" t="str">
        <f t="shared" ref="Z27:Z40" si="13">Q27</f>
        <v>临街状况</v>
      </c>
      <c r="AA27" s="1263">
        <f t="shared" si="3"/>
        <v>1</v>
      </c>
      <c r="AB27" s="1263">
        <f t="shared" si="4"/>
        <v>1</v>
      </c>
      <c r="AC27" s="1263">
        <f t="shared" si="5"/>
        <v>1</v>
      </c>
    </row>
    <row r="28" spans="1:29" ht="27">
      <c r="A28" s="366"/>
      <c r="B28" s="556" t="s">
        <v>1812</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409"/>
      <c r="Q28" s="1262" t="str">
        <f t="shared" si="8"/>
        <v>毗邻道路的类型与等级</v>
      </c>
      <c r="R28" s="666" t="s">
        <v>14</v>
      </c>
      <c r="S28" s="667">
        <f t="shared" si="10"/>
        <v>100</v>
      </c>
      <c r="T28" s="666" t="s">
        <v>14</v>
      </c>
      <c r="U28" s="667">
        <f t="shared" si="11"/>
        <v>100</v>
      </c>
      <c r="V28" s="666" t="s">
        <v>14</v>
      </c>
      <c r="W28" s="667">
        <f t="shared" si="12"/>
        <v>100</v>
      </c>
      <c r="X28" s="1264"/>
      <c r="Y28" s="3409"/>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409"/>
      <c r="Q29" s="1262"/>
      <c r="R29" s="666"/>
      <c r="S29" s="667"/>
      <c r="T29" s="666"/>
      <c r="U29" s="667"/>
      <c r="V29" s="666"/>
      <c r="W29" s="667"/>
      <c r="X29" s="1264"/>
      <c r="Y29" s="3409"/>
      <c r="Z29" s="1263"/>
      <c r="AA29" s="1263">
        <v>1</v>
      </c>
      <c r="AB29" s="1263">
        <v>1</v>
      </c>
      <c r="AC29" s="1263">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409"/>
      <c r="Q30" s="1262" t="str">
        <f t="shared" si="8"/>
        <v>土地级别</v>
      </c>
      <c r="R30" s="666" t="s">
        <v>14</v>
      </c>
      <c r="S30" s="667">
        <f t="shared" si="10"/>
        <v>100</v>
      </c>
      <c r="T30" s="666" t="s">
        <v>14</v>
      </c>
      <c r="U30" s="667">
        <f t="shared" si="11"/>
        <v>100</v>
      </c>
      <c r="V30" s="666" t="s">
        <v>14</v>
      </c>
      <c r="W30" s="667">
        <f t="shared" si="12"/>
        <v>100</v>
      </c>
      <c r="X30" s="1264"/>
      <c r="Y30" s="340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409"/>
      <c r="Q31" s="1262">
        <f t="shared" si="8"/>
        <v>111</v>
      </c>
      <c r="R31" s="666" t="s">
        <v>14</v>
      </c>
      <c r="S31" s="667">
        <f t="shared" si="10"/>
        <v>100</v>
      </c>
      <c r="T31" s="666" t="s">
        <v>14</v>
      </c>
      <c r="U31" s="667">
        <f t="shared" si="11"/>
        <v>100</v>
      </c>
      <c r="V31" s="666" t="s">
        <v>14</v>
      </c>
      <c r="W31" s="667">
        <f t="shared" si="12"/>
        <v>100</v>
      </c>
      <c r="X31" s="1264"/>
      <c r="Y31" s="3409"/>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81" t="s">
        <v>1693</v>
      </c>
      <c r="Q32" s="1262">
        <f t="shared" si="8"/>
        <v>111</v>
      </c>
      <c r="R32" s="666" t="s">
        <v>14</v>
      </c>
      <c r="S32" s="667">
        <f t="shared" si="10"/>
        <v>100</v>
      </c>
      <c r="T32" s="666" t="s">
        <v>14</v>
      </c>
      <c r="U32" s="667">
        <f t="shared" si="11"/>
        <v>100</v>
      </c>
      <c r="V32" s="666" t="s">
        <v>14</v>
      </c>
      <c r="W32" s="667">
        <f t="shared" si="12"/>
        <v>100</v>
      </c>
      <c r="X32" s="1264"/>
      <c r="Y32" s="3413" t="s">
        <v>1693</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413"/>
      <c r="Q33" s="1262">
        <f t="shared" si="8"/>
        <v>111</v>
      </c>
      <c r="R33" s="668" t="s">
        <v>14</v>
      </c>
      <c r="S33" s="669">
        <f t="shared" si="10"/>
        <v>100</v>
      </c>
      <c r="T33" s="668" t="s">
        <v>14</v>
      </c>
      <c r="U33" s="669">
        <f t="shared" si="11"/>
        <v>100</v>
      </c>
      <c r="V33" s="668" t="s">
        <v>14</v>
      </c>
      <c r="W33" s="669">
        <f t="shared" si="12"/>
        <v>100</v>
      </c>
      <c r="X33" s="670"/>
      <c r="Y33" s="3413"/>
      <c r="Z33" s="671">
        <f t="shared" si="13"/>
        <v>111</v>
      </c>
      <c r="AA33" s="1263">
        <f t="shared" si="3"/>
        <v>1</v>
      </c>
      <c r="AB33" s="1263">
        <f t="shared" si="4"/>
        <v>1</v>
      </c>
      <c r="AC33" s="1263">
        <f t="shared" si="5"/>
        <v>1</v>
      </c>
    </row>
    <row r="34" spans="1:31" ht="15">
      <c r="A34" s="378" t="s">
        <v>1691</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413"/>
      <c r="Q34" s="1262" t="str">
        <f>B34</f>
        <v>宗地面积</v>
      </c>
      <c r="R34" s="666" t="s">
        <v>14</v>
      </c>
      <c r="S34" s="667" t="e">
        <f t="shared" si="10"/>
        <v>#N/A</v>
      </c>
      <c r="T34" s="666" t="s">
        <v>14</v>
      </c>
      <c r="U34" s="667" t="e">
        <f t="shared" si="11"/>
        <v>#N/A</v>
      </c>
      <c r="V34" s="666" t="s">
        <v>14</v>
      </c>
      <c r="W34" s="667" t="e">
        <f t="shared" si="12"/>
        <v>#N/A</v>
      </c>
      <c r="X34" s="1264"/>
      <c r="Y34" s="3413"/>
      <c r="Z34" s="1263" t="str">
        <f t="shared" si="13"/>
        <v>宗地面积</v>
      </c>
      <c r="AA34" s="1263" t="e">
        <f t="shared" si="3"/>
        <v>#N/A</v>
      </c>
      <c r="AB34" s="1263" t="e">
        <f t="shared" si="4"/>
        <v>#N/A</v>
      </c>
      <c r="AC34" s="1263" t="e">
        <f t="shared" si="5"/>
        <v>#N/A</v>
      </c>
    </row>
    <row r="35" spans="1:31" ht="15">
      <c r="A35" s="408"/>
      <c r="B35" s="363" t="s">
        <v>1872</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413"/>
      <c r="Q35" s="1262" t="str">
        <f t="shared" ref="Q35:Q40" si="14">B35</f>
        <v>宗地形状</v>
      </c>
      <c r="R35" s="666" t="s">
        <v>14</v>
      </c>
      <c r="S35" s="667">
        <f t="shared" si="10"/>
        <v>100</v>
      </c>
      <c r="T35" s="666" t="s">
        <v>14</v>
      </c>
      <c r="U35" s="667">
        <f t="shared" si="11"/>
        <v>100</v>
      </c>
      <c r="V35" s="666" t="s">
        <v>14</v>
      </c>
      <c r="W35" s="667">
        <f t="shared" si="12"/>
        <v>100</v>
      </c>
      <c r="X35" s="1264"/>
      <c r="Y35" s="3413"/>
      <c r="Z35" s="1263" t="str">
        <f t="shared" si="13"/>
        <v>宗地形状</v>
      </c>
      <c r="AA35" s="1263">
        <f t="shared" si="3"/>
        <v>1</v>
      </c>
      <c r="AB35" s="1263">
        <f t="shared" si="4"/>
        <v>1</v>
      </c>
      <c r="AC35" s="1263">
        <f t="shared" si="5"/>
        <v>1</v>
      </c>
    </row>
    <row r="36" spans="1:31" s="101" customFormat="1" ht="15">
      <c r="A36" s="409"/>
      <c r="B36" s="363" t="s">
        <v>1874</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413"/>
      <c r="Q36" s="1262" t="str">
        <f t="shared" si="14"/>
        <v>宗地开发程度</v>
      </c>
      <c r="R36" s="663" t="s">
        <v>14</v>
      </c>
      <c r="S36" s="664">
        <f t="shared" si="10"/>
        <v>100</v>
      </c>
      <c r="T36" s="663" t="s">
        <v>14</v>
      </c>
      <c r="U36" s="664">
        <f t="shared" si="11"/>
        <v>100</v>
      </c>
      <c r="V36" s="663" t="s">
        <v>14</v>
      </c>
      <c r="W36" s="664">
        <f t="shared" si="12"/>
        <v>100</v>
      </c>
      <c r="X36" s="665"/>
      <c r="Y36" s="3413"/>
      <c r="Z36" s="50" t="str">
        <f t="shared" si="13"/>
        <v>宗地开发程度</v>
      </c>
      <c r="AA36" s="50">
        <f t="shared" si="3"/>
        <v>1</v>
      </c>
      <c r="AB36" s="50">
        <f t="shared" si="4"/>
        <v>1</v>
      </c>
      <c r="AC36" s="50">
        <f t="shared" si="5"/>
        <v>1</v>
      </c>
    </row>
    <row r="37" spans="1:31" ht="15">
      <c r="A37" s="408"/>
      <c r="B37" s="363" t="s">
        <v>1875</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413" t="s">
        <v>1693</v>
      </c>
      <c r="Q37" s="1262" t="str">
        <f t="shared" si="14"/>
        <v>工程地质条件</v>
      </c>
      <c r="R37" s="666" t="s">
        <v>14</v>
      </c>
      <c r="S37" s="667">
        <f t="shared" si="10"/>
        <v>100</v>
      </c>
      <c r="T37" s="666" t="s">
        <v>14</v>
      </c>
      <c r="U37" s="667">
        <f t="shared" si="11"/>
        <v>100</v>
      </c>
      <c r="V37" s="666" t="s">
        <v>14</v>
      </c>
      <c r="W37" s="667">
        <f t="shared" si="12"/>
        <v>100</v>
      </c>
      <c r="X37" s="1264"/>
      <c r="Y37" s="3413" t="s">
        <v>1693</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413"/>
      <c r="Q38" s="1262">
        <f t="shared" si="14"/>
        <v>111</v>
      </c>
      <c r="R38" s="666" t="s">
        <v>14</v>
      </c>
      <c r="S38" s="667">
        <f t="shared" si="10"/>
        <v>100</v>
      </c>
      <c r="T38" s="666" t="s">
        <v>14</v>
      </c>
      <c r="U38" s="667">
        <f t="shared" si="11"/>
        <v>100</v>
      </c>
      <c r="V38" s="666" t="s">
        <v>14</v>
      </c>
      <c r="W38" s="667">
        <f t="shared" si="12"/>
        <v>100</v>
      </c>
      <c r="X38" s="1264"/>
      <c r="Y38" s="3413"/>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413"/>
      <c r="Q39" s="1262">
        <f t="shared" si="14"/>
        <v>111</v>
      </c>
      <c r="R39" s="666" t="s">
        <v>14</v>
      </c>
      <c r="S39" s="667">
        <f t="shared" si="10"/>
        <v>100</v>
      </c>
      <c r="T39" s="666" t="s">
        <v>14</v>
      </c>
      <c r="U39" s="667">
        <f t="shared" si="11"/>
        <v>100</v>
      </c>
      <c r="V39" s="666" t="s">
        <v>14</v>
      </c>
      <c r="W39" s="667">
        <f t="shared" si="12"/>
        <v>100</v>
      </c>
      <c r="X39" s="1264"/>
      <c r="Y39" s="3413"/>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413"/>
      <c r="Q40" s="1262">
        <f t="shared" si="14"/>
        <v>111</v>
      </c>
      <c r="R40" s="668" t="s">
        <v>14</v>
      </c>
      <c r="S40" s="669">
        <f t="shared" si="10"/>
        <v>100</v>
      </c>
      <c r="T40" s="668" t="s">
        <v>14</v>
      </c>
      <c r="U40" s="669">
        <f t="shared" si="11"/>
        <v>100</v>
      </c>
      <c r="V40" s="668" t="s">
        <v>14</v>
      </c>
      <c r="W40" s="669">
        <f t="shared" si="12"/>
        <v>100</v>
      </c>
      <c r="X40" s="670"/>
      <c r="Y40" s="3413"/>
      <c r="Z40" s="671">
        <f t="shared" si="13"/>
        <v>111</v>
      </c>
      <c r="AA40" s="1263">
        <f t="shared" si="3"/>
        <v>1</v>
      </c>
      <c r="AB40" s="1263">
        <f t="shared" si="4"/>
        <v>1</v>
      </c>
      <c r="AC40" s="1263">
        <f t="shared" si="5"/>
        <v>1</v>
      </c>
    </row>
    <row r="41" spans="1:31" ht="15">
      <c r="A41" s="415" t="s">
        <v>1841</v>
      </c>
      <c r="B41" s="1829" t="s">
        <v>1919</v>
      </c>
      <c r="C41" s="601" t="s">
        <v>0</v>
      </c>
      <c r="D41" s="417"/>
      <c r="E41" s="418"/>
      <c r="F41" s="419"/>
      <c r="G41" s="420"/>
      <c r="H41" s="421"/>
      <c r="I41" s="418"/>
      <c r="J41" s="421"/>
      <c r="K41" s="673"/>
      <c r="L41" s="2491"/>
      <c r="M41" s="2484"/>
      <c r="N41" s="2484"/>
      <c r="O41" s="2484"/>
      <c r="P41" s="3415" t="str">
        <f>A41</f>
        <v>成交单价</v>
      </c>
      <c r="Q41" s="3415"/>
      <c r="R41" s="3377">
        <f>E41</f>
        <v>0</v>
      </c>
      <c r="S41" s="3377"/>
      <c r="T41" s="3377">
        <f>G41</f>
        <v>0</v>
      </c>
      <c r="U41" s="3377"/>
      <c r="V41" s="3377">
        <f>I41</f>
        <v>0</v>
      </c>
      <c r="W41" s="3377"/>
      <c r="X41" s="384"/>
      <c r="Y41" s="672"/>
      <c r="Z41" s="384"/>
      <c r="AA41" s="384"/>
      <c r="AB41" s="384"/>
      <c r="AC41" s="384"/>
    </row>
    <row r="42" spans="1:31" ht="15.75" thickBot="1">
      <c r="A42" s="422" t="s">
        <v>1790</v>
      </c>
      <c r="B42" s="602"/>
      <c r="C42" s="425" t="e">
        <f>R43</f>
        <v>#DIV/0!</v>
      </c>
      <c r="D42" s="2140" t="s">
        <v>2135</v>
      </c>
      <c r="E42" s="425" t="e">
        <f>R42</f>
        <v>#DIV/0!</v>
      </c>
      <c r="F42" s="2141"/>
      <c r="G42" s="424" t="e">
        <f>T42</f>
        <v>#DIV/0!</v>
      </c>
      <c r="H42" s="2141"/>
      <c r="I42" s="425" t="e">
        <f>V42</f>
        <v>#DIV/0!</v>
      </c>
      <c r="J42" s="2141"/>
      <c r="K42" s="2143">
        <f>F42+H42+J42</f>
        <v>0</v>
      </c>
      <c r="L42" s="2491"/>
      <c r="M42" s="2484"/>
      <c r="N42" s="2484"/>
      <c r="O42" s="2484"/>
      <c r="P42" s="3415" t="str">
        <f>A42</f>
        <v>比较价值（元/平方米）</v>
      </c>
      <c r="Q42" s="3415"/>
      <c r="R42" s="3483" t="e">
        <f>ROUND(PRODUCT(R41,AA7:AA40),0)</f>
        <v>#DIV/0!</v>
      </c>
      <c r="S42" s="3483"/>
      <c r="T42" s="3483" t="e">
        <f>ROUND(PRODUCT(T41,AB7:AB40),0)</f>
        <v>#DIV/0!</v>
      </c>
      <c r="U42" s="3483"/>
      <c r="V42" s="3483" t="e">
        <f>ROUND(PRODUCT(V41,AC7:AC40),0)</f>
        <v>#DIV/0!</v>
      </c>
      <c r="W42" s="3483"/>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91"/>
      <c r="M43" s="2484"/>
      <c r="N43" s="2484"/>
      <c r="O43" s="2484"/>
      <c r="P43" s="3416" t="str">
        <f>A43</f>
        <v>估价对象XX用房的比较价值（楼面单价，元/平方米）</v>
      </c>
      <c r="Q43" s="3417"/>
      <c r="R43" s="3484" t="e">
        <f>ROUND(IF(D42="简单平均",AVERAGE(R42:W42),R42*F42+T42*H42+V42*J42),0)</f>
        <v>#DIV/0!</v>
      </c>
      <c r="S43" s="3484"/>
      <c r="T43" s="3484"/>
      <c r="U43" s="3484"/>
      <c r="V43" s="3484"/>
      <c r="W43" s="3484"/>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1878</v>
      </c>
      <c r="B50" s="604" t="s">
        <v>1879</v>
      </c>
      <c r="C50" s="1830" t="s">
        <v>1880</v>
      </c>
      <c r="D50" s="1831" t="s">
        <v>1881</v>
      </c>
      <c r="E50" s="605" t="s">
        <v>1882</v>
      </c>
      <c r="F50" s="606" t="s">
        <v>1883</v>
      </c>
      <c r="G50" s="3393" t="s">
        <v>1884</v>
      </c>
      <c r="H50" s="3485"/>
      <c r="I50" s="1263" t="s">
        <v>1920</v>
      </c>
      <c r="J50" s="1263">
        <f>项目基本情况!F35</f>
        <v>0</v>
      </c>
      <c r="K50" s="1833" t="s">
        <v>1886</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1887</v>
      </c>
      <c r="B51" s="608" t="e">
        <f>C43</f>
        <v>#DIV/0!</v>
      </c>
      <c r="C51" s="609">
        <v>1</v>
      </c>
      <c r="D51" s="889">
        <v>1</v>
      </c>
      <c r="E51" s="609">
        <f>'数据-汇总表'!E8+'数据-汇总表'!E9</f>
        <v>7170.4100000000008</v>
      </c>
      <c r="F51" s="610" t="e">
        <f t="shared" ref="F51:F60" si="15">ROUND(B51*E51/10000,0)</f>
        <v>#DIV/0!</v>
      </c>
      <c r="G51" s="3392"/>
      <c r="H51" s="3415"/>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1888</v>
      </c>
      <c r="B52" s="209" t="e">
        <f>ROUND($C$43*C52*D52,0)</f>
        <v>#DIV/0!</v>
      </c>
      <c r="C52" s="162">
        <f t="shared" ref="C52:C60" si="16">IF($C$50="北京市系数",I52,J52)</f>
        <v>0</v>
      </c>
      <c r="D52" s="890">
        <v>0.25</v>
      </c>
      <c r="E52" s="613"/>
      <c r="F52" s="610" t="e">
        <f t="shared" si="15"/>
        <v>#DIV/0!</v>
      </c>
      <c r="G52" s="2747" t="s">
        <v>1889</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1890</v>
      </c>
      <c r="B53" s="209" t="e">
        <f t="shared" ref="B53:B60" si="17">ROUND($C$43*C53*D53,0)</f>
        <v>#DIV/0!</v>
      </c>
      <c r="C53" s="162">
        <f t="shared" si="16"/>
        <v>0</v>
      </c>
      <c r="D53" s="890">
        <v>0.25</v>
      </c>
      <c r="E53" s="613"/>
      <c r="F53" s="610" t="e">
        <f t="shared" si="15"/>
        <v>#DIV/0!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1891</v>
      </c>
      <c r="B54" s="209" t="e">
        <f t="shared" si="17"/>
        <v>#DIV/0!</v>
      </c>
      <c r="C54" s="162">
        <f t="shared" si="16"/>
        <v>0</v>
      </c>
      <c r="D54" s="890">
        <v>0.25</v>
      </c>
      <c r="E54" s="613"/>
      <c r="F54" s="610" t="e">
        <f t="shared" si="15"/>
        <v>#DIV/0!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1892</v>
      </c>
      <c r="B56" s="209" t="e">
        <f t="shared" si="17"/>
        <v>#DIV/0!</v>
      </c>
      <c r="C56" s="162">
        <f t="shared" si="16"/>
        <v>0</v>
      </c>
      <c r="D56" s="890">
        <v>0.25</v>
      </c>
      <c r="E56" s="208">
        <f>'数据-汇总表'!E11</f>
        <v>0</v>
      </c>
      <c r="F56" s="610" t="e">
        <f t="shared" si="15"/>
        <v>#DIV/0!</v>
      </c>
      <c r="G56" s="1834" t="s">
        <v>1893</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1894</v>
      </c>
      <c r="B57" s="209" t="e">
        <f t="shared" si="17"/>
        <v>#DIV/0!</v>
      </c>
      <c r="C57" s="162">
        <f t="shared" si="16"/>
        <v>0</v>
      </c>
      <c r="D57" s="890">
        <v>0.25</v>
      </c>
      <c r="E57" s="208">
        <f>'数据-汇总表'!E12</f>
        <v>0</v>
      </c>
      <c r="F57" s="610" t="e">
        <f t="shared" si="15"/>
        <v>#DIV/0!</v>
      </c>
      <c r="G57" s="838" t="s">
        <v>1895</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1896</v>
      </c>
      <c r="B58" s="209" t="e">
        <f t="shared" si="17"/>
        <v>#DIV/0!</v>
      </c>
      <c r="C58" s="162">
        <f t="shared" si="16"/>
        <v>0</v>
      </c>
      <c r="D58" s="890">
        <v>0.25</v>
      </c>
      <c r="E58" s="208">
        <f>'数据-汇总表'!E13</f>
        <v>0</v>
      </c>
      <c r="F58" s="610" t="e">
        <f t="shared" si="15"/>
        <v>#DIV/0!</v>
      </c>
      <c r="G58" s="838" t="s">
        <v>1897</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1898</v>
      </c>
      <c r="B59" s="209" t="e">
        <f t="shared" si="17"/>
        <v>#DIV/0!</v>
      </c>
      <c r="C59" s="162">
        <f t="shared" si="16"/>
        <v>0</v>
      </c>
      <c r="D59" s="890">
        <v>0.25</v>
      </c>
      <c r="E59" s="208">
        <f>'数据-汇总表'!E14</f>
        <v>0</v>
      </c>
      <c r="F59" s="610" t="e">
        <f t="shared" si="15"/>
        <v>#DIV/0!</v>
      </c>
      <c r="G59" s="1834" t="s">
        <v>1889</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1899</v>
      </c>
      <c r="B60" s="209" t="e">
        <f t="shared" si="17"/>
        <v>#DIV/0!</v>
      </c>
      <c r="C60" s="162">
        <f t="shared" si="16"/>
        <v>0</v>
      </c>
      <c r="D60" s="890">
        <v>0.25</v>
      </c>
      <c r="E60" s="208">
        <f>'数据-汇总表'!E15</f>
        <v>0</v>
      </c>
      <c r="F60" s="610" t="e">
        <f t="shared" si="15"/>
        <v>#DIV/0!</v>
      </c>
      <c r="G60" s="1835" t="s">
        <v>1893</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1900</v>
      </c>
      <c r="B61" s="615" t="s">
        <v>22</v>
      </c>
      <c r="C61" s="615" t="s">
        <v>23</v>
      </c>
      <c r="D61" s="615" t="s">
        <v>392</v>
      </c>
      <c r="E61" s="615">
        <f>IF(B41="楼面地价",SUM(E51:E60),'数据-汇总表'!D3)</f>
        <v>14571.48</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2024-1-1</v>
      </c>
      <c r="D63" s="655">
        <f>EDATE(C63,-3)</f>
        <v>45200</v>
      </c>
      <c r="E63" s="655">
        <f>EDATE(D63,-3)</f>
        <v>45108</v>
      </c>
      <c r="F63" s="655">
        <f t="shared" ref="F63:O63" si="18">EDATE(E63,-3)</f>
        <v>45017</v>
      </c>
      <c r="G63" s="655">
        <f t="shared" si="18"/>
        <v>44927</v>
      </c>
      <c r="H63" s="655">
        <f t="shared" si="18"/>
        <v>44835</v>
      </c>
      <c r="I63" s="655">
        <f t="shared" si="18"/>
        <v>44743</v>
      </c>
      <c r="J63" s="655">
        <f t="shared" si="18"/>
        <v>44652</v>
      </c>
      <c r="K63" s="655">
        <f t="shared" si="18"/>
        <v>44562</v>
      </c>
      <c r="L63" s="655">
        <f t="shared" si="18"/>
        <v>44470</v>
      </c>
      <c r="M63" s="655">
        <f t="shared" si="18"/>
        <v>44378</v>
      </c>
      <c r="N63" s="655">
        <f t="shared" si="18"/>
        <v>44287</v>
      </c>
      <c r="O63" s="655">
        <f t="shared" si="18"/>
        <v>44197</v>
      </c>
      <c r="P63" s="2484"/>
      <c r="Q63" s="2484"/>
      <c r="R63" s="2484"/>
      <c r="S63" s="2484"/>
      <c r="T63" s="2484"/>
      <c r="U63" s="2484"/>
      <c r="V63" s="2484"/>
      <c r="W63" s="2484"/>
      <c r="X63" s="2484"/>
      <c r="Y63" s="2484"/>
      <c r="Z63" s="2484"/>
      <c r="AA63" s="2484"/>
      <c r="AB63" s="2484"/>
      <c r="AC63" s="2484"/>
      <c r="AD63" s="2484"/>
      <c r="AE63" s="2484"/>
    </row>
    <row r="64" spans="1:31" ht="21.75" thickBot="1">
      <c r="A64" s="657" t="s">
        <v>1795</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1901</v>
      </c>
      <c r="B65" s="1045"/>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75" thickBot="1">
      <c r="A67" s="448" t="s">
        <v>1713</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5">
      <c r="A68" s="454" t="s">
        <v>1678</v>
      </c>
      <c r="B68" s="443"/>
      <c r="C68" s="455" t="s">
        <v>1773</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1716</v>
      </c>
      <c r="B70" s="459" t="s">
        <v>1682</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1685</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1686</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1687</v>
      </c>
      <c r="B83" s="459" t="s">
        <v>1826</v>
      </c>
      <c r="C83" s="503" t="s">
        <v>1718</v>
      </c>
      <c r="D83" s="503" t="s">
        <v>1719</v>
      </c>
      <c r="E83" s="503" t="s">
        <v>1720</v>
      </c>
      <c r="F83" s="503" t="s">
        <v>1721</v>
      </c>
      <c r="G83" s="503" t="s">
        <v>1722</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1723</v>
      </c>
      <c r="C85" s="508" t="s">
        <v>1718</v>
      </c>
      <c r="D85" s="508" t="s">
        <v>1719</v>
      </c>
      <c r="E85" s="508" t="s">
        <v>1720</v>
      </c>
      <c r="F85" s="508" t="s">
        <v>1721</v>
      </c>
      <c r="G85" s="508" t="s">
        <v>1722</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15.75" thickTop="1">
      <c r="A87" s="369"/>
      <c r="B87" s="468" t="s">
        <v>1904</v>
      </c>
      <c r="C87" s="503" t="s">
        <v>1718</v>
      </c>
      <c r="D87" s="503" t="s">
        <v>1719</v>
      </c>
      <c r="E87" s="503" t="s">
        <v>1720</v>
      </c>
      <c r="F87" s="503" t="s">
        <v>1721</v>
      </c>
      <c r="G87" s="503" t="s">
        <v>1722</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7.75" thickTop="1">
      <c r="A89" s="369"/>
      <c r="B89" s="468" t="s">
        <v>1905</v>
      </c>
      <c r="C89" s="503" t="s">
        <v>1718</v>
      </c>
      <c r="D89" s="503" t="s">
        <v>1719</v>
      </c>
      <c r="E89" s="503" t="s">
        <v>1720</v>
      </c>
      <c r="F89" s="503" t="s">
        <v>1721</v>
      </c>
      <c r="G89" s="503" t="s">
        <v>1722</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1775</v>
      </c>
      <c r="C91" s="503" t="s">
        <v>1718</v>
      </c>
      <c r="D91" s="503" t="s">
        <v>1719</v>
      </c>
      <c r="E91" s="503" t="s">
        <v>1720</v>
      </c>
      <c r="F91" s="503" t="s">
        <v>1721</v>
      </c>
      <c r="G91" s="503" t="s">
        <v>1722</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1812</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1870</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1691</v>
      </c>
      <c r="B107" s="459" t="s">
        <v>1910</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1911</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1913</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1914</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93" t="s">
        <v>2081</v>
      </c>
      <c r="D1" s="3494"/>
      <c r="E1" s="3494"/>
      <c r="F1" s="3494"/>
      <c r="G1" s="3494"/>
      <c r="H1" s="3494"/>
      <c r="I1" s="3494"/>
      <c r="J1" s="3494"/>
      <c r="K1" s="3494"/>
      <c r="L1" s="3494"/>
      <c r="M1" s="3494"/>
      <c r="N1" s="3494"/>
      <c r="O1" s="3494"/>
      <c r="P1" s="3494"/>
      <c r="Q1" s="3494"/>
      <c r="R1" s="3494"/>
      <c r="S1" s="3495"/>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2084</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2085</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2086</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2090</v>
      </c>
      <c r="B17" s="1986"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2092</v>
      </c>
      <c r="E19" s="1252"/>
      <c r="F19" s="1252"/>
      <c r="G19" s="1252"/>
      <c r="H19" s="995"/>
      <c r="I19" s="150"/>
      <c r="J19" s="150"/>
      <c r="K19" s="150"/>
      <c r="L19" s="150"/>
      <c r="M19" s="150"/>
      <c r="N19" s="150"/>
      <c r="O19" s="150"/>
      <c r="P19" s="150"/>
      <c r="Q19" s="150"/>
      <c r="R19" s="150"/>
      <c r="S19" s="120"/>
    </row>
    <row r="20" spans="1:45" ht="16.5" thickBot="1">
      <c r="A20" s="631" t="s">
        <v>2093</v>
      </c>
      <c r="B20" s="285" t="e">
        <f ca="1">IF(D20="——",S22,S22-F20)</f>
        <v>#REF!</v>
      </c>
      <c r="C20" s="150"/>
      <c r="D20" s="1988"/>
      <c r="E20" s="1253"/>
      <c r="F20" s="928" t="e">
        <f ca="1">SUMIF(INDIRECT("'"&amp;H20&amp;"'"&amp;"!A:A"),"承租人权益价值",INDIRECT("'"&amp;H20&amp;"'"&amp;"!c:c"))</f>
        <v>#REF!</v>
      </c>
      <c r="G20" s="928" t="s">
        <v>2094</v>
      </c>
      <c r="H20" s="1989"/>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9.5" thickBot="1">
      <c r="A4" s="1390"/>
      <c r="B4" s="3189" t="s">
        <v>917</v>
      </c>
      <c r="C4" s="3189"/>
      <c r="D4" s="3189"/>
      <c r="E4" s="1390"/>
    </row>
    <row r="5" spans="1:5" ht="16.5" thickTop="1">
      <c r="B5" s="3187" t="s">
        <v>909</v>
      </c>
      <c r="C5" s="1391" t="s">
        <v>910</v>
      </c>
      <c r="D5" s="796">
        <f ca="1">结果表!H101</f>
        <v>2847</v>
      </c>
    </row>
    <row r="6" spans="1:5" ht="15.75">
      <c r="B6" s="3187"/>
      <c r="C6" s="1391" t="s">
        <v>911</v>
      </c>
      <c r="D6" s="796" t="str">
        <f ca="1">NUMBERSTRING(INT(D5*10000),2)&amp;"元整"</f>
        <v>贰仟捌佰肆拾柒万元整</v>
      </c>
    </row>
    <row r="7" spans="1:5" ht="15.75">
      <c r="B7" s="3192"/>
      <c r="C7" s="1392" t="s">
        <v>912</v>
      </c>
      <c r="D7" s="797">
        <f ca="1">结果表!H102</f>
        <v>3970</v>
      </c>
    </row>
    <row r="8" spans="1:5" ht="15.75">
      <c r="B8" s="3193" t="str">
        <f>结果表!E103</f>
        <v>2.估价师知悉的法定优先受偿款</v>
      </c>
      <c r="C8" s="1393" t="s">
        <v>913</v>
      </c>
      <c r="D8" s="797">
        <f>结果表!H103</f>
        <v>0</v>
      </c>
    </row>
    <row r="9" spans="1:5" ht="15.75">
      <c r="B9" s="319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6" t="str">
        <f>结果表!E107</f>
        <v>3.房地产抵押价值</v>
      </c>
      <c r="C13" s="1396" t="s">
        <v>910</v>
      </c>
      <c r="D13" s="799">
        <f ca="1">结果表!H107</f>
        <v>2847</v>
      </c>
    </row>
    <row r="14" spans="1:5" ht="15.75">
      <c r="B14" s="3187"/>
      <c r="C14" s="1391" t="s">
        <v>911</v>
      </c>
      <c r="D14" s="796" t="str">
        <f ca="1">NUMBERSTRING(INT(D13*10000),2)&amp;"元整"</f>
        <v>贰仟捌佰肆拾柒万元整</v>
      </c>
    </row>
    <row r="15" spans="1:5" ht="15">
      <c r="B15" s="3192"/>
      <c r="C15" s="1392" t="s">
        <v>921</v>
      </c>
      <c r="D15" s="805">
        <f ca="1">结果表!H108</f>
        <v>3970</v>
      </c>
    </row>
    <row r="16" spans="1:5" ht="15">
      <c r="B16" s="3193" t="str">
        <f>结果表!E109</f>
        <v>——</v>
      </c>
      <c r="C16" s="1396" t="s">
        <v>922</v>
      </c>
      <c r="D16" s="1397" t="str">
        <f>结果表!H109</f>
        <v>——</v>
      </c>
    </row>
    <row r="17" spans="1:5" ht="15.75">
      <c r="B17" s="3194"/>
      <c r="C17" s="1391" t="s">
        <v>923</v>
      </c>
      <c r="D17" s="796" t="e">
        <f>NUMBERSTRING(INT(D16*10000),2)&amp;"元整"</f>
        <v>#VALUE!</v>
      </c>
    </row>
    <row r="18" spans="1:5" ht="15">
      <c r="B18" s="3195"/>
      <c r="C18" s="1392" t="s">
        <v>912</v>
      </c>
      <c r="D18" s="805" t="str">
        <f>结果表!H110</f>
        <v>——</v>
      </c>
    </row>
    <row r="19" spans="1:5" ht="15.75">
      <c r="B19" s="3186" t="str">
        <f>结果表!E111</f>
        <v>——</v>
      </c>
      <c r="C19" s="1396" t="s">
        <v>910</v>
      </c>
      <c r="D19" s="797" t="str">
        <f>结果表!H111</f>
        <v>——</v>
      </c>
    </row>
    <row r="20" spans="1:5" ht="15.75">
      <c r="B20" s="3187"/>
      <c r="C20" s="1391" t="s">
        <v>923</v>
      </c>
      <c r="D20" s="796" t="e">
        <f>NUMBERSTRING(INT(D19*10000),2)&amp;"元整"</f>
        <v>#VALUE!</v>
      </c>
    </row>
    <row r="21" spans="1:5" ht="15.75" thickBot="1">
      <c r="B21" s="3188"/>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2078</v>
      </c>
      <c r="B1" s="4"/>
      <c r="C1" s="4"/>
      <c r="D1" s="4"/>
      <c r="E1" s="4"/>
      <c r="F1" s="2541"/>
      <c r="G1" s="2541"/>
      <c r="H1" s="2541"/>
      <c r="I1" s="2541"/>
      <c r="J1" s="2541"/>
      <c r="K1" s="2541"/>
      <c r="L1" s="2541"/>
      <c r="M1" s="2541"/>
      <c r="N1" s="2541"/>
      <c r="O1" s="2541"/>
      <c r="P1" s="2541"/>
    </row>
    <row r="2" spans="1:16" ht="15.75">
      <c r="A2" s="1983" t="s">
        <v>2070</v>
      </c>
      <c r="B2" s="2385">
        <f ca="1">SUMIF(B6:B13,"&lt;&gt;#ref!",B6:B13)</f>
        <v>890</v>
      </c>
      <c r="C2" s="1983" t="s">
        <v>2071</v>
      </c>
      <c r="D2" s="1983" t="s">
        <v>2072</v>
      </c>
      <c r="E2" s="2395">
        <f ca="1">SUMIF(E6:E13,"&lt;&gt;#ref!",E6:E13)</f>
        <v>14571.48</v>
      </c>
      <c r="F2" s="2541"/>
      <c r="G2" s="2541"/>
      <c r="H2" s="2541"/>
      <c r="I2" s="2541"/>
      <c r="J2" s="2541"/>
      <c r="K2" s="2541"/>
      <c r="L2" s="2541"/>
      <c r="M2" s="2541"/>
      <c r="N2" s="2541"/>
      <c r="O2" s="2541"/>
      <c r="P2" s="2541"/>
    </row>
    <row r="3" spans="1:16" ht="15.75">
      <c r="A3" s="1983" t="s">
        <v>2073</v>
      </c>
      <c r="B3" s="2385">
        <f ca="1">ROUND(B2*10000/E2,0)</f>
        <v>611</v>
      </c>
      <c r="C3" s="1983" t="s">
        <v>2079</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2074</v>
      </c>
      <c r="B5" s="2393" t="s">
        <v>2075</v>
      </c>
      <c r="C5" s="1984"/>
      <c r="D5" s="2541"/>
      <c r="E5" s="2394" t="s">
        <v>2076</v>
      </c>
      <c r="F5" s="2541"/>
      <c r="G5" s="2541"/>
      <c r="H5" s="2541"/>
      <c r="I5" s="2541"/>
      <c r="J5" s="2541"/>
      <c r="K5" s="2541"/>
      <c r="L5" s="2541"/>
      <c r="M5" s="2541"/>
      <c r="N5" s="2541"/>
      <c r="O5" s="2541"/>
      <c r="P5" s="2541"/>
    </row>
    <row r="6" spans="1:16" ht="15.75">
      <c r="A6" s="2392" t="s">
        <v>2077</v>
      </c>
      <c r="B6" s="2385">
        <f ca="1">SUMIF(INDIRECT("'"&amp;A6&amp;"'"&amp;"!A:A"),"总价",INDIRECT("'"&amp;A6&amp;"'"&amp;"!B:B"))</f>
        <v>890</v>
      </c>
      <c r="C6" s="1983" t="s">
        <v>2071</v>
      </c>
      <c r="D6" s="2541"/>
      <c r="E6" s="2395">
        <f ca="1">SUMIF(INDIRECT("'"&amp;A6&amp;"'"&amp;"!C:C"),"建筑面积",INDIRECT("'"&amp;A6&amp;"'"&amp;"!D:D"))</f>
        <v>14571.48</v>
      </c>
      <c r="F6" s="2541"/>
      <c r="G6" s="2541"/>
      <c r="H6" s="2541"/>
      <c r="I6" s="2541"/>
      <c r="J6" s="2541"/>
      <c r="K6" s="2541"/>
      <c r="L6" s="2541"/>
      <c r="M6" s="2541"/>
      <c r="N6" s="2541"/>
      <c r="O6" s="2541"/>
      <c r="P6" s="2541"/>
    </row>
    <row r="7" spans="1:16" ht="15.75">
      <c r="A7" s="2392"/>
      <c r="B7" s="2385" t="e">
        <f ca="1">SUMIF(INDIRECT("'"&amp;A7&amp;"'"&amp;"!A:A"),"总价",INDIRECT("'"&amp;A7&amp;"'"&amp;"!B:B"))</f>
        <v>#REF!</v>
      </c>
      <c r="C7" s="1983" t="s">
        <v>2071</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2071</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2071</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2071</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2071</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2071</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2071</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2594</v>
      </c>
      <c r="B1" s="2808" t="s">
        <v>2595</v>
      </c>
      <c r="C1" s="2808" t="s">
        <v>2596</v>
      </c>
      <c r="D1" s="2808" t="s">
        <v>2597</v>
      </c>
      <c r="E1" s="2808" t="s">
        <v>2598</v>
      </c>
      <c r="F1" s="2808" t="s">
        <v>2599</v>
      </c>
      <c r="G1" s="2808" t="s">
        <v>2600</v>
      </c>
      <c r="H1" s="2808" t="s">
        <v>2601</v>
      </c>
      <c r="I1" s="2808" t="s">
        <v>2602</v>
      </c>
      <c r="J1" s="2808" t="s">
        <v>2603</v>
      </c>
      <c r="K1" s="2808" t="s">
        <v>2604</v>
      </c>
      <c r="L1" s="2808" t="s">
        <v>2605</v>
      </c>
      <c r="M1" s="2809" t="s">
        <v>2606</v>
      </c>
    </row>
    <row r="2" spans="1:13" ht="19.5" customHeight="1">
      <c r="A2" s="2811" t="s">
        <v>2607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2623</v>
      </c>
      <c r="B18" s="2833"/>
      <c r="C18" s="2834"/>
      <c r="D18" s="2834"/>
      <c r="E18" s="2833"/>
      <c r="F18" s="2834"/>
      <c r="G18" s="2834"/>
    </row>
    <row r="19" spans="1:13" ht="19.5" customHeight="1" thickBot="1">
      <c r="A19" s="2831" t="s">
        <v>2624</v>
      </c>
      <c r="B19" s="2836" t="s">
        <v>2625</v>
      </c>
      <c r="C19" s="2836" t="s">
        <v>2626</v>
      </c>
      <c r="D19" s="2837"/>
      <c r="E19" s="2831" t="s">
        <v>2627</v>
      </c>
      <c r="F19" s="2838"/>
      <c r="G19" s="2838"/>
    </row>
    <row r="20" spans="1:13" ht="19.5" customHeight="1">
      <c r="A20" s="3503" t="s">
        <v>2607</v>
      </c>
      <c r="B20" s="3496" t="s">
        <v>2628</v>
      </c>
      <c r="C20" s="2839" t="s">
        <v>2439</v>
      </c>
      <c r="D20" s="2840"/>
      <c r="E20" s="2841">
        <v>1</v>
      </c>
      <c r="F20" s="2842" t="s">
        <v>2440</v>
      </c>
      <c r="G20" s="2842"/>
    </row>
    <row r="21" spans="1:13" ht="19.5" customHeight="1">
      <c r="A21" s="3504"/>
      <c r="B21" s="3497"/>
      <c r="C21" s="2843" t="s">
        <v>2441</v>
      </c>
      <c r="D21" s="2844"/>
      <c r="E21" s="2845">
        <v>1</v>
      </c>
      <c r="F21" s="2842" t="s">
        <v>2442</v>
      </c>
      <c r="G21" s="2842"/>
    </row>
    <row r="22" spans="1:13" ht="19.5" customHeight="1">
      <c r="A22" s="3504"/>
      <c r="B22" s="3497"/>
      <c r="C22" s="2843" t="s">
        <v>2443</v>
      </c>
      <c r="D22" s="2844"/>
      <c r="E22" s="2845">
        <v>0.9</v>
      </c>
      <c r="F22" s="2842" t="s">
        <v>2444</v>
      </c>
      <c r="G22" s="2842"/>
    </row>
    <row r="23" spans="1:13" ht="19.5" customHeight="1">
      <c r="A23" s="3504"/>
      <c r="B23" s="3497"/>
      <c r="C23" s="2843" t="s">
        <v>2445</v>
      </c>
      <c r="D23" s="2844"/>
      <c r="E23" s="2845">
        <v>0.9</v>
      </c>
      <c r="F23" s="2842" t="s">
        <v>2446</v>
      </c>
      <c r="G23" s="2842"/>
    </row>
    <row r="24" spans="1:13" ht="19.5" customHeight="1">
      <c r="A24" s="3504"/>
      <c r="B24" s="3497"/>
      <c r="C24" s="2843" t="s">
        <v>2447</v>
      </c>
      <c r="D24" s="2844"/>
      <c r="E24" s="2845">
        <v>0.8</v>
      </c>
      <c r="F24" s="2842" t="s">
        <v>2448</v>
      </c>
      <c r="G24" s="2842"/>
    </row>
    <row r="25" spans="1:13" ht="19.5" customHeight="1" thickBot="1">
      <c r="A25" s="3505"/>
      <c r="B25" s="3498"/>
      <c r="C25" s="2846" t="s">
        <v>2449</v>
      </c>
      <c r="D25" s="2847"/>
      <c r="E25" s="2848">
        <v>0.8</v>
      </c>
      <c r="F25" s="2842" t="s">
        <v>2450</v>
      </c>
      <c r="G25" s="2842"/>
    </row>
    <row r="26" spans="1:13" ht="19.5" customHeight="1" thickBot="1">
      <c r="A26" s="2849" t="s">
        <v>2629</v>
      </c>
      <c r="B26" s="2850" t="s">
        <v>2628</v>
      </c>
      <c r="C26" s="2851" t="s">
        <v>2630</v>
      </c>
      <c r="D26" s="2852"/>
      <c r="E26" s="2853">
        <v>1</v>
      </c>
      <c r="F26" s="2842" t="s">
        <v>2451</v>
      </c>
      <c r="G26" s="2842"/>
    </row>
    <row r="27" spans="1:13" ht="19.5" customHeight="1">
      <c r="A27" s="3499" t="s">
        <v>2631</v>
      </c>
      <c r="B27" s="3496" t="s">
        <v>2612</v>
      </c>
      <c r="C27" s="2839" t="s">
        <v>2452</v>
      </c>
      <c r="D27" s="2840"/>
      <c r="E27" s="2841">
        <v>1</v>
      </c>
      <c r="F27" s="2842" t="s">
        <v>2453</v>
      </c>
      <c r="G27" s="2842"/>
    </row>
    <row r="28" spans="1:13" ht="19.5" customHeight="1">
      <c r="A28" s="3500"/>
      <c r="B28" s="3497"/>
      <c r="C28" s="2843" t="s">
        <v>2454</v>
      </c>
      <c r="D28" s="2844"/>
      <c r="E28" s="2845">
        <v>1</v>
      </c>
      <c r="F28" s="2842" t="s">
        <v>2455</v>
      </c>
      <c r="G28" s="2842"/>
    </row>
    <row r="29" spans="1:13" ht="19.5" customHeight="1">
      <c r="A29" s="3500"/>
      <c r="B29" s="3497"/>
      <c r="C29" s="2843" t="s">
        <v>2456</v>
      </c>
      <c r="D29" s="2844"/>
      <c r="E29" s="2845">
        <v>0.8</v>
      </c>
      <c r="F29" s="2842" t="s">
        <v>2457</v>
      </c>
      <c r="G29" s="2842"/>
    </row>
    <row r="30" spans="1:13" ht="19.5" customHeight="1">
      <c r="A30" s="3500"/>
      <c r="B30" s="3497"/>
      <c r="C30" s="2843" t="s">
        <v>2458</v>
      </c>
      <c r="D30" s="2844"/>
      <c r="E30" s="2845">
        <v>0.8</v>
      </c>
      <c r="F30" s="2842" t="s">
        <v>2459</v>
      </c>
      <c r="G30" s="2842"/>
    </row>
    <row r="31" spans="1:13" ht="19.5" customHeight="1">
      <c r="A31" s="3500"/>
      <c r="B31" s="3497"/>
      <c r="C31" s="2843" t="s">
        <v>2460</v>
      </c>
      <c r="D31" s="2844"/>
      <c r="E31" s="2845">
        <v>0.8</v>
      </c>
      <c r="F31" s="2842" t="s">
        <v>2461</v>
      </c>
      <c r="G31" s="2842"/>
    </row>
    <row r="32" spans="1:13" ht="19.5" customHeight="1">
      <c r="A32" s="3500"/>
      <c r="B32" s="3497"/>
      <c r="C32" s="2843" t="s">
        <v>2462</v>
      </c>
      <c r="D32" s="2844"/>
      <c r="E32" s="2845">
        <v>0.7</v>
      </c>
      <c r="F32" s="2842" t="s">
        <v>2463</v>
      </c>
      <c r="G32" s="2842"/>
    </row>
    <row r="33" spans="1:7" ht="19.5" customHeight="1">
      <c r="A33" s="3500"/>
      <c r="B33" s="3497"/>
      <c r="C33" s="2843" t="s">
        <v>2464</v>
      </c>
      <c r="D33" s="2844"/>
      <c r="E33" s="2845">
        <v>0.8</v>
      </c>
      <c r="F33" s="2842" t="s">
        <v>2465</v>
      </c>
      <c r="G33" s="2842"/>
    </row>
    <row r="34" spans="1:7" ht="19.5" customHeight="1">
      <c r="A34" s="3500"/>
      <c r="B34" s="3497"/>
      <c r="C34" s="2843" t="s">
        <v>2466</v>
      </c>
      <c r="D34" s="2844"/>
      <c r="E34" s="2845">
        <v>0.6</v>
      </c>
      <c r="F34" s="2842" t="s">
        <v>2467</v>
      </c>
      <c r="G34" s="2842"/>
    </row>
    <row r="35" spans="1:7" ht="19.5" customHeight="1">
      <c r="A35" s="3500"/>
      <c r="B35" s="3497"/>
      <c r="C35" s="2843" t="s">
        <v>2468</v>
      </c>
      <c r="D35" s="2844"/>
      <c r="E35" s="2845">
        <v>0.2</v>
      </c>
      <c r="F35" s="2842" t="s">
        <v>2469</v>
      </c>
      <c r="G35" s="2842"/>
    </row>
    <row r="36" spans="1:7" ht="19.5" customHeight="1">
      <c r="A36" s="3500"/>
      <c r="B36" s="3497"/>
      <c r="C36" s="2843" t="s">
        <v>2470</v>
      </c>
      <c r="D36" s="2844"/>
      <c r="E36" s="2845">
        <v>0.2</v>
      </c>
      <c r="F36" s="2842" t="s">
        <v>2471</v>
      </c>
      <c r="G36" s="2842"/>
    </row>
    <row r="37" spans="1:7" ht="19.5" customHeight="1">
      <c r="A37" s="3500"/>
      <c r="B37" s="3502" t="s">
        <v>2632</v>
      </c>
      <c r="C37" s="2843" t="s">
        <v>2472</v>
      </c>
      <c r="D37" s="2844"/>
      <c r="E37" s="2845">
        <v>0.6</v>
      </c>
      <c r="F37" s="2842" t="s">
        <v>2473</v>
      </c>
      <c r="G37" s="2842"/>
    </row>
    <row r="38" spans="1:7" ht="19.5" customHeight="1">
      <c r="A38" s="3500"/>
      <c r="B38" s="3497"/>
      <c r="C38" s="2843" t="s">
        <v>2474</v>
      </c>
      <c r="D38" s="2844"/>
      <c r="E38" s="2845">
        <v>0.6</v>
      </c>
      <c r="F38" s="2842" t="s">
        <v>2475</v>
      </c>
      <c r="G38" s="2842"/>
    </row>
    <row r="39" spans="1:7" ht="19.5" customHeight="1" thickBot="1">
      <c r="A39" s="3501"/>
      <c r="B39" s="3498"/>
      <c r="C39" s="2846" t="s">
        <v>2476</v>
      </c>
      <c r="D39" s="2847"/>
      <c r="E39" s="2848">
        <v>0.6</v>
      </c>
      <c r="F39" s="2842" t="s">
        <v>2477</v>
      </c>
      <c r="G39" s="2842"/>
    </row>
    <row r="40" spans="1:7" ht="19.5" customHeight="1" thickBot="1">
      <c r="A40" s="2849" t="s">
        <v>2609</v>
      </c>
      <c r="B40" s="2850" t="s">
        <v>2609</v>
      </c>
      <c r="C40" s="2851" t="s">
        <v>2633</v>
      </c>
      <c r="D40" s="2852"/>
      <c r="E40" s="2853">
        <v>1</v>
      </c>
      <c r="F40" s="2842" t="s">
        <v>2478</v>
      </c>
      <c r="G40" s="2842"/>
    </row>
    <row r="41" spans="1:7" ht="19.5" customHeight="1">
      <c r="A41" s="3503" t="s">
        <v>2610</v>
      </c>
      <c r="B41" s="3496" t="s">
        <v>2634</v>
      </c>
      <c r="C41" s="2839" t="s">
        <v>2479</v>
      </c>
      <c r="D41" s="2840"/>
      <c r="E41" s="2841">
        <v>1</v>
      </c>
      <c r="F41" s="2842" t="s">
        <v>2480</v>
      </c>
      <c r="G41" s="2842"/>
    </row>
    <row r="42" spans="1:7" ht="19.5" customHeight="1">
      <c r="A42" s="3504"/>
      <c r="B42" s="3497"/>
      <c r="C42" s="2843" t="s">
        <v>2481</v>
      </c>
      <c r="D42" s="2844"/>
      <c r="E42" s="2845">
        <v>1</v>
      </c>
      <c r="F42" s="2842" t="s">
        <v>2482</v>
      </c>
      <c r="G42" s="2842"/>
    </row>
    <row r="43" spans="1:7" ht="19.5" customHeight="1">
      <c r="A43" s="3504"/>
      <c r="B43" s="3506"/>
      <c r="C43" s="2843" t="s">
        <v>2483</v>
      </c>
      <c r="D43" s="2844"/>
      <c r="E43" s="2845">
        <v>1.5</v>
      </c>
      <c r="F43" s="2842" t="s">
        <v>2484</v>
      </c>
      <c r="G43" s="2842"/>
    </row>
    <row r="44" spans="1:7" ht="19.5" customHeight="1">
      <c r="A44" s="3504"/>
      <c r="B44" s="2854" t="s">
        <v>2635</v>
      </c>
      <c r="C44" s="2843" t="s">
        <v>2636</v>
      </c>
      <c r="D44" s="2844"/>
      <c r="E44" s="2845">
        <v>2</v>
      </c>
      <c r="F44" s="2842" t="s">
        <v>2485</v>
      </c>
      <c r="G44" s="2842"/>
    </row>
    <row r="45" spans="1:7" ht="19.5" customHeight="1">
      <c r="A45" s="3504"/>
      <c r="B45" s="3502" t="s">
        <v>2637</v>
      </c>
      <c r="C45" s="2843" t="s">
        <v>2486</v>
      </c>
      <c r="D45" s="2844"/>
      <c r="E45" s="2845">
        <v>1</v>
      </c>
      <c r="F45" s="2842" t="s">
        <v>2487</v>
      </c>
      <c r="G45" s="2842"/>
    </row>
    <row r="46" spans="1:7" ht="19.5" customHeight="1">
      <c r="A46" s="3504"/>
      <c r="B46" s="3497"/>
      <c r="C46" s="2843" t="s">
        <v>2488</v>
      </c>
      <c r="D46" s="2844"/>
      <c r="E46" s="2845">
        <v>1</v>
      </c>
      <c r="F46" s="2842" t="s">
        <v>2489</v>
      </c>
      <c r="G46" s="2842"/>
    </row>
    <row r="47" spans="1:7" ht="19.5" customHeight="1">
      <c r="A47" s="3504"/>
      <c r="B47" s="3497"/>
      <c r="C47" s="2843" t="s">
        <v>2490</v>
      </c>
      <c r="D47" s="2844"/>
      <c r="E47" s="2845">
        <v>1</v>
      </c>
      <c r="F47" s="2842" t="s">
        <v>2491</v>
      </c>
      <c r="G47" s="2842"/>
    </row>
    <row r="48" spans="1:7" ht="19.5" customHeight="1">
      <c r="A48" s="3504"/>
      <c r="B48" s="3497"/>
      <c r="C48" s="2843" t="s">
        <v>2492</v>
      </c>
      <c r="D48" s="2844"/>
      <c r="E48" s="2845">
        <v>1</v>
      </c>
      <c r="F48" s="2842" t="s">
        <v>2493</v>
      </c>
      <c r="G48" s="2842"/>
    </row>
    <row r="49" spans="1:7" ht="19.5" customHeight="1">
      <c r="A49" s="3504"/>
      <c r="B49" s="3497"/>
      <c r="C49" s="2843" t="s">
        <v>2494</v>
      </c>
      <c r="D49" s="2844"/>
      <c r="E49" s="2845">
        <v>1</v>
      </c>
      <c r="F49" s="2842" t="s">
        <v>2495</v>
      </c>
      <c r="G49" s="2842"/>
    </row>
    <row r="50" spans="1:7" ht="19.5" customHeight="1">
      <c r="A50" s="3504"/>
      <c r="B50" s="3497"/>
      <c r="C50" s="2843" t="s">
        <v>2496</v>
      </c>
      <c r="D50" s="2844"/>
      <c r="E50" s="2845">
        <v>1</v>
      </c>
      <c r="F50" s="2842" t="s">
        <v>2497</v>
      </c>
      <c r="G50" s="2842"/>
    </row>
    <row r="51" spans="1:7" ht="19.5" customHeight="1" thickBot="1">
      <c r="A51" s="3505"/>
      <c r="B51" s="3498"/>
      <c r="C51" s="2846" t="s">
        <v>2498</v>
      </c>
      <c r="D51" s="2847"/>
      <c r="E51" s="2848">
        <v>1</v>
      </c>
      <c r="F51" s="2842" t="s">
        <v>2499</v>
      </c>
      <c r="G51" s="2842"/>
    </row>
    <row r="52" spans="1:7" ht="19.5" customHeight="1">
      <c r="A52" s="2855"/>
      <c r="B52" s="2855"/>
      <c r="C52" s="2855"/>
      <c r="D52" s="2855"/>
      <c r="E52" s="2855"/>
      <c r="F52" s="2855"/>
      <c r="G52" s="2855"/>
    </row>
    <row r="54" spans="1:7" ht="19.5" customHeight="1">
      <c r="A54" s="2856"/>
      <c r="B54" s="2828" t="s">
        <v>2638</v>
      </c>
      <c r="C54" s="2828" t="s">
        <v>2638</v>
      </c>
      <c r="D54" s="2828" t="s">
        <v>2638</v>
      </c>
      <c r="E54" s="2831" t="s">
        <v>2638</v>
      </c>
      <c r="F54" s="2831" t="s">
        <v>2639</v>
      </c>
      <c r="G54" s="2831" t="s">
        <v>2640</v>
      </c>
    </row>
    <row r="55" spans="1:7" ht="19.5" customHeight="1">
      <c r="A55" s="2857"/>
      <c r="B55" s="2831" t="s">
        <v>2607</v>
      </c>
      <c r="C55" s="2831" t="s">
        <v>2607</v>
      </c>
      <c r="D55" s="2831" t="s">
        <v>2607</v>
      </c>
      <c r="E55" s="2828" t="s">
        <v>2608</v>
      </c>
      <c r="F55" s="2828" t="s">
        <v>2610</v>
      </c>
      <c r="G55" s="2828" t="s">
        <v>2641</v>
      </c>
    </row>
    <row r="56" spans="1:7" ht="19.5" customHeight="1">
      <c r="A56" s="2858"/>
      <c r="B56" s="2828">
        <v>1</v>
      </c>
      <c r="C56" s="2828">
        <v>2</v>
      </c>
      <c r="D56" s="2828">
        <v>3</v>
      </c>
      <c r="E56" s="2859" t="s">
        <v>2642</v>
      </c>
      <c r="F56" s="2859" t="s">
        <v>2642</v>
      </c>
      <c r="G56" s="2859" t="s">
        <v>2642</v>
      </c>
    </row>
    <row r="57" spans="1:7" ht="19.5" customHeight="1">
      <c r="A57" s="2860" t="s">
        <v>2595</v>
      </c>
      <c r="B57" s="2828">
        <v>0.7</v>
      </c>
      <c r="C57" s="2828">
        <v>0.4</v>
      </c>
      <c r="D57" s="2828">
        <v>0.3</v>
      </c>
      <c r="E57" s="2859">
        <v>0.3</v>
      </c>
      <c r="F57" s="2828">
        <v>0.3</v>
      </c>
      <c r="G57" s="2828">
        <v>0.2</v>
      </c>
    </row>
    <row r="58" spans="1:7" ht="19.5" customHeight="1">
      <c r="A58" s="2860" t="s">
        <v>2596</v>
      </c>
      <c r="B58" s="2828">
        <v>0.7</v>
      </c>
      <c r="C58" s="2828">
        <v>0.4</v>
      </c>
      <c r="D58" s="2828">
        <v>0.3</v>
      </c>
      <c r="E58" s="2828">
        <v>0.3</v>
      </c>
      <c r="F58" s="2828">
        <v>0.3</v>
      </c>
      <c r="G58" s="2828">
        <v>0.2</v>
      </c>
    </row>
    <row r="59" spans="1:7" ht="19.5" customHeight="1">
      <c r="A59" s="2860" t="s">
        <v>2597</v>
      </c>
      <c r="B59" s="2828">
        <v>0.6</v>
      </c>
      <c r="C59" s="2828">
        <v>0.3</v>
      </c>
      <c r="D59" s="2828">
        <v>0.25</v>
      </c>
      <c r="E59" s="2828">
        <v>0.25</v>
      </c>
      <c r="F59" s="2828">
        <v>0.25</v>
      </c>
      <c r="G59" s="2828">
        <v>0.15</v>
      </c>
    </row>
    <row r="60" spans="1:7" ht="19.5" customHeight="1">
      <c r="A60" s="2860" t="s">
        <v>2598</v>
      </c>
      <c r="B60" s="2828">
        <v>0.6</v>
      </c>
      <c r="C60" s="2828">
        <v>0.3</v>
      </c>
      <c r="D60" s="2828">
        <v>0.25</v>
      </c>
      <c r="E60" s="2828">
        <v>0.25</v>
      </c>
      <c r="F60" s="2828">
        <v>0.25</v>
      </c>
      <c r="G60" s="2828">
        <v>0.15</v>
      </c>
    </row>
    <row r="61" spans="1:7" ht="19.5" customHeight="1">
      <c r="A61" s="2860" t="s">
        <v>2599</v>
      </c>
      <c r="B61" s="2828">
        <v>0.6</v>
      </c>
      <c r="C61" s="2828">
        <v>0.3</v>
      </c>
      <c r="D61" s="2828">
        <v>0.25</v>
      </c>
      <c r="E61" s="2828">
        <v>0.25</v>
      </c>
      <c r="F61" s="2828">
        <v>0.25</v>
      </c>
      <c r="G61" s="2828">
        <v>0.15</v>
      </c>
    </row>
    <row r="62" spans="1:7" ht="19.5" customHeight="1">
      <c r="A62" s="2860" t="s">
        <v>2600</v>
      </c>
      <c r="B62" s="2828">
        <v>0.6</v>
      </c>
      <c r="C62" s="2828">
        <v>0.3</v>
      </c>
      <c r="D62" s="2828">
        <v>0.25</v>
      </c>
      <c r="E62" s="2828">
        <v>0.25</v>
      </c>
      <c r="F62" s="2828">
        <v>0.25</v>
      </c>
      <c r="G62" s="2828">
        <v>0.15</v>
      </c>
    </row>
    <row r="63" spans="1:7" ht="19.5" customHeight="1">
      <c r="A63" s="2860" t="s">
        <v>2601</v>
      </c>
      <c r="B63" s="2828">
        <v>0.6</v>
      </c>
      <c r="C63" s="2828">
        <v>0.3</v>
      </c>
      <c r="D63" s="2828">
        <v>0.25</v>
      </c>
      <c r="E63" s="2828">
        <v>0.25</v>
      </c>
      <c r="F63" s="2828">
        <v>0.25</v>
      </c>
      <c r="G63" s="2828">
        <v>0.15</v>
      </c>
    </row>
    <row r="64" spans="1:7" ht="19.5" customHeight="1">
      <c r="A64" s="2860" t="s">
        <v>2602</v>
      </c>
      <c r="B64" s="2828">
        <v>0.5</v>
      </c>
      <c r="C64" s="2828">
        <v>0.2</v>
      </c>
      <c r="D64" s="2828">
        <v>0.2</v>
      </c>
      <c r="E64" s="2828">
        <v>0.2</v>
      </c>
      <c r="F64" s="2828">
        <v>0.2</v>
      </c>
      <c r="G64" s="2828">
        <v>0.1</v>
      </c>
    </row>
    <row r="65" spans="1:7" ht="19.5" customHeight="1">
      <c r="A65" s="2860" t="s">
        <v>2603</v>
      </c>
      <c r="B65" s="2828">
        <v>0.5</v>
      </c>
      <c r="C65" s="2828">
        <v>0.2</v>
      </c>
      <c r="D65" s="2828">
        <v>0.2</v>
      </c>
      <c r="E65" s="2828">
        <v>0.2</v>
      </c>
      <c r="F65" s="2828">
        <v>0.2</v>
      </c>
      <c r="G65" s="2828">
        <v>0.1</v>
      </c>
    </row>
    <row r="66" spans="1:7" ht="19.5" customHeight="1">
      <c r="A66" s="2860" t="s">
        <v>2604</v>
      </c>
      <c r="B66" s="2828">
        <v>0.5</v>
      </c>
      <c r="C66" s="2828">
        <v>0.2</v>
      </c>
      <c r="D66" s="2828">
        <v>0.2</v>
      </c>
      <c r="E66" s="2828">
        <v>0.2</v>
      </c>
      <c r="F66" s="2828">
        <v>0.2</v>
      </c>
      <c r="G66" s="2828">
        <v>0.1</v>
      </c>
    </row>
    <row r="67" spans="1:7" ht="19.5" customHeight="1">
      <c r="A67" s="2860" t="s">
        <v>2605</v>
      </c>
      <c r="B67" s="2828">
        <v>0.5</v>
      </c>
      <c r="C67" s="2828">
        <v>0.2</v>
      </c>
      <c r="D67" s="2828">
        <v>0.2</v>
      </c>
      <c r="E67" s="2828">
        <v>0.2</v>
      </c>
      <c r="F67" s="2828">
        <v>0.2</v>
      </c>
      <c r="G67" s="2828">
        <v>0.1</v>
      </c>
    </row>
    <row r="68" spans="1:7" ht="19.5" customHeight="1">
      <c r="A68" s="2860" t="s">
        <v>2606</v>
      </c>
      <c r="B68" s="2828">
        <v>0.5</v>
      </c>
      <c r="C68" s="2828">
        <v>0.2</v>
      </c>
      <c r="D68" s="2828">
        <v>0.2</v>
      </c>
      <c r="E68" s="2828">
        <v>0.2</v>
      </c>
      <c r="F68" s="2828">
        <v>0.2</v>
      </c>
      <c r="G68" s="2828">
        <v>0.1</v>
      </c>
    </row>
    <row r="70" spans="1:7" ht="19.5" customHeight="1">
      <c r="A70" s="2842"/>
      <c r="B70" s="2861"/>
      <c r="C70" s="2861"/>
      <c r="D70" s="2861" t="s">
        <v>2643</v>
      </c>
      <c r="E70" s="2861"/>
      <c r="F70" s="2861"/>
    </row>
    <row r="71" spans="1:7" ht="19.5" customHeight="1">
      <c r="A71" s="2854" t="s">
        <v>2644</v>
      </c>
      <c r="B71" s="2854" t="s">
        <v>2645</v>
      </c>
      <c r="C71" s="2854" t="s">
        <v>2646</v>
      </c>
      <c r="D71" s="2854" t="s">
        <v>2647</v>
      </c>
      <c r="E71" s="2854" t="s">
        <v>2648</v>
      </c>
      <c r="F71" s="2854" t="s">
        <v>2649</v>
      </c>
    </row>
    <row r="72" spans="1:7" ht="13.5">
      <c r="A72" s="2854"/>
      <c r="B72" s="2854"/>
      <c r="C72" s="2854" t="s">
        <v>2650</v>
      </c>
      <c r="D72" s="2854"/>
      <c r="E72" s="2854" t="s">
        <v>2621</v>
      </c>
      <c r="F72" s="2854" t="s">
        <v>2621</v>
      </c>
    </row>
    <row r="73" spans="1:7" ht="13.5">
      <c r="A73" s="2854">
        <v>1</v>
      </c>
      <c r="B73" s="3502" t="s">
        <v>2651</v>
      </c>
      <c r="C73" s="2828" t="s">
        <v>2652</v>
      </c>
      <c r="D73" s="2828" t="s">
        <v>2653</v>
      </c>
      <c r="E73" s="2854">
        <v>0.2</v>
      </c>
      <c r="F73" s="2854">
        <v>25</v>
      </c>
    </row>
    <row r="74" spans="1:7" ht="24">
      <c r="A74" s="2854">
        <v>2</v>
      </c>
      <c r="B74" s="3497"/>
      <c r="C74" s="2828" t="s">
        <v>2654</v>
      </c>
      <c r="D74" s="2828" t="s">
        <v>2655</v>
      </c>
      <c r="E74" s="2854">
        <v>0.2</v>
      </c>
      <c r="F74" s="2854">
        <v>25</v>
      </c>
    </row>
    <row r="75" spans="1:7" ht="24">
      <c r="A75" s="2854">
        <v>3</v>
      </c>
      <c r="B75" s="3497"/>
      <c r="C75" s="2828" t="s">
        <v>2656</v>
      </c>
      <c r="D75" s="2828" t="s">
        <v>2657</v>
      </c>
      <c r="E75" s="2854">
        <v>0.2</v>
      </c>
      <c r="F75" s="2854">
        <v>25</v>
      </c>
    </row>
    <row r="76" spans="1:7" ht="13.5">
      <c r="A76" s="2854">
        <v>4</v>
      </c>
      <c r="B76" s="3497"/>
      <c r="C76" s="2828" t="s">
        <v>2658</v>
      </c>
      <c r="D76" s="2828" t="s">
        <v>2659</v>
      </c>
      <c r="E76" s="2854">
        <v>0.15</v>
      </c>
      <c r="F76" s="2854">
        <v>20</v>
      </c>
    </row>
    <row r="77" spans="1:7" ht="24">
      <c r="A77" s="2854">
        <v>5</v>
      </c>
      <c r="B77" s="3497"/>
      <c r="C77" s="2828" t="s">
        <v>2660</v>
      </c>
      <c r="D77" s="2828" t="s">
        <v>2661</v>
      </c>
      <c r="E77" s="2854">
        <v>0.15</v>
      </c>
      <c r="F77" s="2854">
        <v>20</v>
      </c>
    </row>
    <row r="78" spans="1:7" ht="24">
      <c r="A78" s="2854">
        <v>6</v>
      </c>
      <c r="B78" s="3497"/>
      <c r="C78" s="2828" t="s">
        <v>2662</v>
      </c>
      <c r="D78" s="2828" t="s">
        <v>2663</v>
      </c>
      <c r="E78" s="2854">
        <v>0.15</v>
      </c>
      <c r="F78" s="2854">
        <v>20</v>
      </c>
    </row>
    <row r="79" spans="1:7" ht="24">
      <c r="A79" s="2854">
        <v>7</v>
      </c>
      <c r="B79" s="3497"/>
      <c r="C79" s="2828" t="s">
        <v>2664</v>
      </c>
      <c r="D79" s="2828" t="s">
        <v>2665</v>
      </c>
      <c r="E79" s="2854">
        <v>0.15</v>
      </c>
      <c r="F79" s="2854">
        <v>20</v>
      </c>
    </row>
    <row r="80" spans="1:7" ht="24">
      <c r="A80" s="2854">
        <v>8</v>
      </c>
      <c r="B80" s="3497"/>
      <c r="C80" s="2828" t="s">
        <v>2666</v>
      </c>
      <c r="D80" s="2828" t="s">
        <v>2667</v>
      </c>
      <c r="E80" s="2854">
        <v>0.1</v>
      </c>
      <c r="F80" s="2854">
        <v>15</v>
      </c>
    </row>
    <row r="81" spans="1:6" ht="24">
      <c r="A81" s="2854">
        <v>9</v>
      </c>
      <c r="B81" s="3497"/>
      <c r="C81" s="2828" t="s">
        <v>2668</v>
      </c>
      <c r="D81" s="2828" t="s">
        <v>2669</v>
      </c>
      <c r="E81" s="2854">
        <v>0.1</v>
      </c>
      <c r="F81" s="2854">
        <v>15</v>
      </c>
    </row>
    <row r="82" spans="1:6" ht="24">
      <c r="A82" s="2854">
        <v>10</v>
      </c>
      <c r="B82" s="3497"/>
      <c r="C82" s="2828" t="s">
        <v>2670</v>
      </c>
      <c r="D82" s="2828" t="s">
        <v>2671</v>
      </c>
      <c r="E82" s="2854">
        <v>0.1</v>
      </c>
      <c r="F82" s="2854">
        <v>15</v>
      </c>
    </row>
    <row r="83" spans="1:6" ht="24">
      <c r="A83" s="2854">
        <v>11</v>
      </c>
      <c r="B83" s="3497"/>
      <c r="C83" s="2828" t="s">
        <v>2672</v>
      </c>
      <c r="D83" s="2828" t="s">
        <v>2673</v>
      </c>
      <c r="E83" s="2854">
        <v>0.1</v>
      </c>
      <c r="F83" s="2854">
        <v>15</v>
      </c>
    </row>
    <row r="84" spans="1:6" ht="24">
      <c r="A84" s="2854">
        <v>12</v>
      </c>
      <c r="B84" s="3497"/>
      <c r="C84" s="2828" t="s">
        <v>2674</v>
      </c>
      <c r="D84" s="2828" t="s">
        <v>2675</v>
      </c>
      <c r="E84" s="2854">
        <v>0.1</v>
      </c>
      <c r="F84" s="2854">
        <v>15</v>
      </c>
    </row>
    <row r="85" spans="1:6" ht="13.5">
      <c r="A85" s="2854">
        <v>13</v>
      </c>
      <c r="B85" s="3497"/>
      <c r="C85" s="2828" t="s">
        <v>2676</v>
      </c>
      <c r="D85" s="2828" t="s">
        <v>2677</v>
      </c>
      <c r="E85" s="2854">
        <v>0.1</v>
      </c>
      <c r="F85" s="2854">
        <v>15</v>
      </c>
    </row>
    <row r="86" spans="1:6" ht="13.5">
      <c r="A86" s="2854">
        <v>14</v>
      </c>
      <c r="B86" s="3497"/>
      <c r="C86" s="2828" t="s">
        <v>2678</v>
      </c>
      <c r="D86" s="2828" t="s">
        <v>2679</v>
      </c>
      <c r="E86" s="2854">
        <v>0.1</v>
      </c>
      <c r="F86" s="2854">
        <v>15</v>
      </c>
    </row>
    <row r="87" spans="1:6" ht="13.5">
      <c r="A87" s="2854">
        <v>15</v>
      </c>
      <c r="B87" s="3497"/>
      <c r="C87" s="2828" t="s">
        <v>2680</v>
      </c>
      <c r="D87" s="2828" t="s">
        <v>2681</v>
      </c>
      <c r="E87" s="2854">
        <v>0.1</v>
      </c>
      <c r="F87" s="2854">
        <v>15</v>
      </c>
    </row>
    <row r="88" spans="1:6" ht="24">
      <c r="A88" s="2854">
        <v>16</v>
      </c>
      <c r="B88" s="3497"/>
      <c r="C88" s="2828" t="s">
        <v>2682</v>
      </c>
      <c r="D88" s="2828" t="s">
        <v>2683</v>
      </c>
      <c r="E88" s="2854">
        <v>0.1</v>
      </c>
      <c r="F88" s="2854">
        <v>15</v>
      </c>
    </row>
    <row r="89" spans="1:6" ht="24">
      <c r="A89" s="2854">
        <v>17</v>
      </c>
      <c r="B89" s="3506"/>
      <c r="C89" s="2828" t="s">
        <v>2684</v>
      </c>
      <c r="D89" s="2828" t="s">
        <v>2685</v>
      </c>
      <c r="E89" s="2854">
        <v>0.1</v>
      </c>
      <c r="F89" s="2854">
        <v>15</v>
      </c>
    </row>
    <row r="90" spans="1:6" ht="13.5">
      <c r="A90" s="2854">
        <v>18</v>
      </c>
      <c r="B90" s="3502" t="s">
        <v>2686</v>
      </c>
      <c r="C90" s="2828" t="s">
        <v>2687</v>
      </c>
      <c r="D90" s="2828" t="s">
        <v>2688</v>
      </c>
      <c r="E90" s="2854">
        <v>0.2</v>
      </c>
      <c r="F90" s="2854">
        <v>25</v>
      </c>
    </row>
    <row r="91" spans="1:6" ht="24">
      <c r="A91" s="2854">
        <v>19</v>
      </c>
      <c r="B91" s="3497"/>
      <c r="C91" s="2828" t="s">
        <v>2689</v>
      </c>
      <c r="D91" s="2828" t="s">
        <v>2690</v>
      </c>
      <c r="E91" s="2854">
        <v>0.2</v>
      </c>
      <c r="F91" s="2854">
        <v>25</v>
      </c>
    </row>
    <row r="92" spans="1:6" ht="13.5">
      <c r="A92" s="2854">
        <v>20</v>
      </c>
      <c r="B92" s="3497"/>
      <c r="C92" s="2828" t="s">
        <v>2691</v>
      </c>
      <c r="D92" s="2828" t="s">
        <v>2692</v>
      </c>
      <c r="E92" s="2854">
        <v>0.15</v>
      </c>
      <c r="F92" s="2854">
        <v>20</v>
      </c>
    </row>
    <row r="93" spans="1:6" ht="13.5">
      <c r="A93" s="2854">
        <v>21</v>
      </c>
      <c r="B93" s="3497"/>
      <c r="C93" s="2828" t="s">
        <v>2693</v>
      </c>
      <c r="D93" s="2828" t="s">
        <v>2694</v>
      </c>
      <c r="E93" s="2854">
        <v>0.15</v>
      </c>
      <c r="F93" s="2854">
        <v>20</v>
      </c>
    </row>
    <row r="94" spans="1:6" ht="13.5">
      <c r="A94" s="2854">
        <v>22</v>
      </c>
      <c r="B94" s="3497"/>
      <c r="C94" s="2828" t="s">
        <v>2695</v>
      </c>
      <c r="D94" s="2828" t="s">
        <v>2696</v>
      </c>
      <c r="E94" s="2854">
        <v>0.15</v>
      </c>
      <c r="F94" s="2854">
        <v>20</v>
      </c>
    </row>
    <row r="95" spans="1:6" ht="36">
      <c r="A95" s="2854">
        <v>23</v>
      </c>
      <c r="B95" s="3497"/>
      <c r="C95" s="2828" t="s">
        <v>2697</v>
      </c>
      <c r="D95" s="2828" t="s">
        <v>2698</v>
      </c>
      <c r="E95" s="2854">
        <v>0.15</v>
      </c>
      <c r="F95" s="2854">
        <v>20</v>
      </c>
    </row>
    <row r="96" spans="1:6" ht="13.5">
      <c r="A96" s="2854">
        <v>24</v>
      </c>
      <c r="B96" s="3497"/>
      <c r="C96" s="2828" t="s">
        <v>2699</v>
      </c>
      <c r="D96" s="2828" t="s">
        <v>2700</v>
      </c>
      <c r="E96" s="2854">
        <v>0.1</v>
      </c>
      <c r="F96" s="2854">
        <v>15</v>
      </c>
    </row>
    <row r="97" spans="1:6" ht="13.5">
      <c r="A97" s="2854">
        <v>25</v>
      </c>
      <c r="B97" s="3497"/>
      <c r="C97" s="2828" t="s">
        <v>2701</v>
      </c>
      <c r="D97" s="2828" t="s">
        <v>2702</v>
      </c>
      <c r="E97" s="2854">
        <v>0.1</v>
      </c>
      <c r="F97" s="2854">
        <v>15</v>
      </c>
    </row>
    <row r="98" spans="1:6" ht="24">
      <c r="A98" s="2854">
        <v>26</v>
      </c>
      <c r="B98" s="3497"/>
      <c r="C98" s="2828" t="s">
        <v>2703</v>
      </c>
      <c r="D98" s="2828" t="s">
        <v>2704</v>
      </c>
      <c r="E98" s="2854">
        <v>0.1</v>
      </c>
      <c r="F98" s="2854">
        <v>15</v>
      </c>
    </row>
    <row r="99" spans="1:6" ht="24">
      <c r="A99" s="2854">
        <v>27</v>
      </c>
      <c r="B99" s="3497"/>
      <c r="C99" s="2828" t="s">
        <v>2705</v>
      </c>
      <c r="D99" s="2828" t="s">
        <v>2706</v>
      </c>
      <c r="E99" s="2854">
        <v>0.1</v>
      </c>
      <c r="F99" s="2854">
        <v>15</v>
      </c>
    </row>
    <row r="100" spans="1:6" ht="13.5">
      <c r="A100" s="2854">
        <v>28</v>
      </c>
      <c r="B100" s="3497"/>
      <c r="C100" s="2828" t="s">
        <v>2707</v>
      </c>
      <c r="D100" s="2828" t="s">
        <v>2708</v>
      </c>
      <c r="E100" s="2854">
        <v>0.1</v>
      </c>
      <c r="F100" s="2854">
        <v>15</v>
      </c>
    </row>
    <row r="101" spans="1:6" ht="13.5">
      <c r="A101" s="2854">
        <v>29</v>
      </c>
      <c r="B101" s="3497"/>
      <c r="C101" s="2828" t="s">
        <v>2709</v>
      </c>
      <c r="D101" s="2828" t="s">
        <v>2710</v>
      </c>
      <c r="E101" s="2854">
        <v>0.1</v>
      </c>
      <c r="F101" s="2854">
        <v>15</v>
      </c>
    </row>
    <row r="102" spans="1:6" ht="13.5">
      <c r="A102" s="2854">
        <v>30</v>
      </c>
      <c r="B102" s="3497"/>
      <c r="C102" s="2828" t="s">
        <v>2711</v>
      </c>
      <c r="D102" s="2828" t="s">
        <v>2712</v>
      </c>
      <c r="E102" s="2854">
        <v>0.1</v>
      </c>
      <c r="F102" s="2854">
        <v>15</v>
      </c>
    </row>
    <row r="103" spans="1:6" ht="24">
      <c r="A103" s="2854">
        <v>31</v>
      </c>
      <c r="B103" s="3497"/>
      <c r="C103" s="2828" t="s">
        <v>2713</v>
      </c>
      <c r="D103" s="2828" t="s">
        <v>2714</v>
      </c>
      <c r="E103" s="2854">
        <v>0.1</v>
      </c>
      <c r="F103" s="2854">
        <v>15</v>
      </c>
    </row>
    <row r="104" spans="1:6" ht="24">
      <c r="A104" s="2854">
        <v>32</v>
      </c>
      <c r="B104" s="3497"/>
      <c r="C104" s="2828" t="s">
        <v>2715</v>
      </c>
      <c r="D104" s="2828" t="s">
        <v>2716</v>
      </c>
      <c r="E104" s="2854">
        <v>0.1</v>
      </c>
      <c r="F104" s="2854">
        <v>15</v>
      </c>
    </row>
    <row r="105" spans="1:6" ht="24">
      <c r="A105" s="2854">
        <v>33</v>
      </c>
      <c r="B105" s="3497"/>
      <c r="C105" s="2828" t="s">
        <v>2717</v>
      </c>
      <c r="D105" s="2828" t="s">
        <v>2718</v>
      </c>
      <c r="E105" s="2854">
        <v>0.1</v>
      </c>
      <c r="F105" s="2854">
        <v>15</v>
      </c>
    </row>
    <row r="106" spans="1:6" ht="24">
      <c r="A106" s="2854">
        <v>34</v>
      </c>
      <c r="B106" s="3506"/>
      <c r="C106" s="2828" t="s">
        <v>2719</v>
      </c>
      <c r="D106" s="2828" t="s">
        <v>2720</v>
      </c>
      <c r="E106" s="2854">
        <v>0.1</v>
      </c>
      <c r="F106" s="2854">
        <v>15</v>
      </c>
    </row>
    <row r="107" spans="1:6" ht="24">
      <c r="A107" s="2854">
        <v>35</v>
      </c>
      <c r="B107" s="3502" t="s">
        <v>2721</v>
      </c>
      <c r="C107" s="2854" t="s">
        <v>2722</v>
      </c>
      <c r="D107" s="2828" t="s">
        <v>2723</v>
      </c>
      <c r="E107" s="2854">
        <v>0.15</v>
      </c>
      <c r="F107" s="2854">
        <v>20</v>
      </c>
    </row>
    <row r="108" spans="1:6" ht="13.5">
      <c r="A108" s="2854">
        <v>36</v>
      </c>
      <c r="B108" s="3497"/>
      <c r="C108" s="2854" t="s">
        <v>2724</v>
      </c>
      <c r="D108" s="2828" t="s">
        <v>2725</v>
      </c>
      <c r="E108" s="2854">
        <v>0.15</v>
      </c>
      <c r="F108" s="2854">
        <v>20</v>
      </c>
    </row>
    <row r="109" spans="1:6" ht="13.5">
      <c r="A109" s="2854">
        <v>37</v>
      </c>
      <c r="B109" s="3497"/>
      <c r="C109" s="2854" t="s">
        <v>2726</v>
      </c>
      <c r="D109" s="2828" t="s">
        <v>2727</v>
      </c>
      <c r="E109" s="2854">
        <v>0.15</v>
      </c>
      <c r="F109" s="2854">
        <v>20</v>
      </c>
    </row>
    <row r="110" spans="1:6" ht="13.5">
      <c r="A110" s="2854">
        <v>38</v>
      </c>
      <c r="B110" s="3497"/>
      <c r="C110" s="2854" t="s">
        <v>2728</v>
      </c>
      <c r="D110" s="2828" t="s">
        <v>2729</v>
      </c>
      <c r="E110" s="2854">
        <v>0.1</v>
      </c>
      <c r="F110" s="2854">
        <v>15</v>
      </c>
    </row>
    <row r="111" spans="1:6" ht="24">
      <c r="A111" s="2854">
        <v>39</v>
      </c>
      <c r="B111" s="3497"/>
      <c r="C111" s="2854" t="s">
        <v>2730</v>
      </c>
      <c r="D111" s="2828" t="s">
        <v>2731</v>
      </c>
      <c r="E111" s="2854">
        <v>0.1</v>
      </c>
      <c r="F111" s="2854">
        <v>15</v>
      </c>
    </row>
    <row r="112" spans="1:6" ht="24">
      <c r="A112" s="2854">
        <v>40</v>
      </c>
      <c r="B112" s="3506"/>
      <c r="C112" s="2854" t="s">
        <v>2732</v>
      </c>
      <c r="D112" s="2828" t="s">
        <v>2733</v>
      </c>
      <c r="E112" s="2854">
        <v>0.1</v>
      </c>
      <c r="F112" s="2854">
        <v>15</v>
      </c>
    </row>
    <row r="113" spans="1:6" ht="13.5">
      <c r="A113" s="2854">
        <v>41</v>
      </c>
      <c r="B113" s="3507" t="s">
        <v>2734</v>
      </c>
      <c r="C113" s="2854" t="s">
        <v>2735</v>
      </c>
      <c r="D113" s="2828" t="s">
        <v>2736</v>
      </c>
      <c r="E113" s="2854">
        <v>0.1</v>
      </c>
      <c r="F113" s="2854">
        <v>15</v>
      </c>
    </row>
    <row r="114" spans="1:6" ht="13.5">
      <c r="A114" s="2854">
        <v>42</v>
      </c>
      <c r="B114" s="3507"/>
      <c r="C114" s="2854" t="s">
        <v>2737</v>
      </c>
      <c r="D114" s="2828" t="s">
        <v>2738</v>
      </c>
      <c r="E114" s="2854">
        <v>0.1</v>
      </c>
      <c r="F114" s="2854">
        <v>15</v>
      </c>
    </row>
    <row r="115" spans="1:6" ht="24">
      <c r="A115" s="2854">
        <v>43</v>
      </c>
      <c r="B115" s="3507"/>
      <c r="C115" s="2854" t="s">
        <v>2739</v>
      </c>
      <c r="D115" s="2828" t="s">
        <v>2740</v>
      </c>
      <c r="E115" s="2854">
        <v>0.1</v>
      </c>
      <c r="F115" s="2854">
        <v>15</v>
      </c>
    </row>
    <row r="116" spans="1:6" ht="13.5">
      <c r="A116" s="2854">
        <v>44</v>
      </c>
      <c r="B116" s="3502" t="s">
        <v>2741</v>
      </c>
      <c r="C116" s="2854" t="s">
        <v>2742</v>
      </c>
      <c r="D116" s="2828" t="s">
        <v>2743</v>
      </c>
      <c r="E116" s="2854">
        <v>0.1</v>
      </c>
      <c r="F116" s="2854">
        <v>15</v>
      </c>
    </row>
    <row r="117" spans="1:6" ht="24">
      <c r="A117" s="2854">
        <v>45</v>
      </c>
      <c r="B117" s="3506"/>
      <c r="C117" s="2828" t="s">
        <v>2744</v>
      </c>
      <c r="D117" s="2828" t="s">
        <v>2745</v>
      </c>
      <c r="E117" s="2854">
        <v>0.1</v>
      </c>
      <c r="F117" s="2854">
        <v>15</v>
      </c>
    </row>
    <row r="118" spans="1:6" ht="24">
      <c r="A118" s="2854">
        <v>46</v>
      </c>
      <c r="B118" s="3502" t="s">
        <v>2746</v>
      </c>
      <c r="C118" s="2854" t="s">
        <v>2747</v>
      </c>
      <c r="D118" s="2828" t="s">
        <v>2748</v>
      </c>
      <c r="E118" s="2854">
        <v>0.1</v>
      </c>
      <c r="F118" s="2854">
        <v>15</v>
      </c>
    </row>
    <row r="119" spans="1:6" ht="24">
      <c r="A119" s="2854">
        <v>47</v>
      </c>
      <c r="B119" s="3506"/>
      <c r="C119" s="2854" t="s">
        <v>2749</v>
      </c>
      <c r="D119" s="2828" t="s">
        <v>2750</v>
      </c>
      <c r="E119" s="2854">
        <v>0.1</v>
      </c>
      <c r="F119" s="2854">
        <v>15</v>
      </c>
    </row>
    <row r="120" spans="1:6" ht="13.5">
      <c r="A120" s="2854">
        <v>48</v>
      </c>
      <c r="B120" s="3502" t="s">
        <v>2751</v>
      </c>
      <c r="C120" s="2854" t="s">
        <v>2752</v>
      </c>
      <c r="D120" s="2828" t="s">
        <v>2753</v>
      </c>
      <c r="E120" s="2854">
        <v>0.1</v>
      </c>
      <c r="F120" s="2854">
        <v>15</v>
      </c>
    </row>
    <row r="121" spans="1:6" ht="13.5">
      <c r="A121" s="2854">
        <v>49</v>
      </c>
      <c r="B121" s="3506"/>
      <c r="C121" s="2854" t="s">
        <v>2754</v>
      </c>
      <c r="D121" s="2828" t="s">
        <v>2755</v>
      </c>
      <c r="E121" s="2854">
        <v>0.1</v>
      </c>
      <c r="F121" s="2854">
        <v>15</v>
      </c>
    </row>
    <row r="122" spans="1:6" ht="24">
      <c r="A122" s="2854">
        <v>50</v>
      </c>
      <c r="B122" s="3507" t="s">
        <v>2756</v>
      </c>
      <c r="C122" s="2854" t="s">
        <v>2757</v>
      </c>
      <c r="D122" s="2828" t="s">
        <v>2758</v>
      </c>
      <c r="E122" s="2854">
        <v>0.1</v>
      </c>
      <c r="F122" s="2854">
        <v>15</v>
      </c>
    </row>
    <row r="123" spans="1:6" ht="24">
      <c r="A123" s="2854">
        <v>51</v>
      </c>
      <c r="B123" s="3507"/>
      <c r="C123" s="2854" t="s">
        <v>2759</v>
      </c>
      <c r="D123" s="2828" t="s">
        <v>2760</v>
      </c>
      <c r="E123" s="2854">
        <v>0.1</v>
      </c>
      <c r="F123" s="2854">
        <v>15</v>
      </c>
    </row>
    <row r="124" spans="1:6" ht="24">
      <c r="A124" s="2854">
        <v>52</v>
      </c>
      <c r="B124" s="3507" t="s">
        <v>2761</v>
      </c>
      <c r="C124" s="2854" t="s">
        <v>2762</v>
      </c>
      <c r="D124" s="2828" t="s">
        <v>2763</v>
      </c>
      <c r="E124" s="2854">
        <v>0.1</v>
      </c>
      <c r="F124" s="2854">
        <v>15</v>
      </c>
    </row>
    <row r="125" spans="1:6" ht="24">
      <c r="A125" s="2854">
        <v>53</v>
      </c>
      <c r="B125" s="3507"/>
      <c r="C125" s="2854" t="s">
        <v>2764</v>
      </c>
      <c r="D125" s="2828" t="s">
        <v>2765</v>
      </c>
      <c r="E125" s="2854">
        <v>0.1</v>
      </c>
      <c r="F125" s="2854">
        <v>15</v>
      </c>
    </row>
    <row r="126" spans="1:6" ht="13.5">
      <c r="A126" s="2854">
        <v>54</v>
      </c>
      <c r="B126" s="2854" t="s">
        <v>2766</v>
      </c>
      <c r="C126" s="2854" t="s">
        <v>2767</v>
      </c>
      <c r="D126" s="2828" t="s">
        <v>2768</v>
      </c>
      <c r="E126" s="2854">
        <v>0.1</v>
      </c>
      <c r="F126" s="2854">
        <v>15</v>
      </c>
    </row>
    <row r="127" spans="1:6" ht="13.5">
      <c r="A127" s="2854">
        <v>55</v>
      </c>
      <c r="B127" s="3507" t="s">
        <v>2769</v>
      </c>
      <c r="C127" s="2854" t="s">
        <v>2770</v>
      </c>
      <c r="D127" s="2828" t="s">
        <v>2771</v>
      </c>
      <c r="E127" s="2854">
        <v>0.1</v>
      </c>
      <c r="F127" s="2854">
        <v>15</v>
      </c>
    </row>
    <row r="128" spans="1:6" ht="13.5">
      <c r="A128" s="2854">
        <v>56</v>
      </c>
      <c r="B128" s="3507"/>
      <c r="C128" s="2854" t="s">
        <v>2772</v>
      </c>
      <c r="D128" s="2828" t="s">
        <v>2773</v>
      </c>
      <c r="E128" s="2854">
        <v>0.1</v>
      </c>
      <c r="F128" s="2854">
        <v>15</v>
      </c>
    </row>
    <row r="129" spans="1:6" ht="24">
      <c r="A129" s="2854">
        <v>57</v>
      </c>
      <c r="B129" s="3507"/>
      <c r="C129" s="2854" t="s">
        <v>2774</v>
      </c>
      <c r="D129" s="2828" t="s">
        <v>2775</v>
      </c>
      <c r="E129" s="2854">
        <v>0.1</v>
      </c>
      <c r="F129" s="2854">
        <v>15</v>
      </c>
    </row>
    <row r="130" spans="1:6" ht="24">
      <c r="A130" s="2854">
        <v>58</v>
      </c>
      <c r="B130" s="3507" t="s">
        <v>2776</v>
      </c>
      <c r="C130" s="2854" t="s">
        <v>2777</v>
      </c>
      <c r="D130" s="2828" t="s">
        <v>2778</v>
      </c>
      <c r="E130" s="2854">
        <v>0.1</v>
      </c>
      <c r="F130" s="2854">
        <v>15</v>
      </c>
    </row>
    <row r="131" spans="1:6" ht="13.5">
      <c r="A131" s="2854">
        <v>59</v>
      </c>
      <c r="B131" s="3507"/>
      <c r="C131" s="2854" t="s">
        <v>2779</v>
      </c>
      <c r="D131" s="2828" t="s">
        <v>2780</v>
      </c>
      <c r="E131" s="2854">
        <v>0.1</v>
      </c>
      <c r="F131" s="2854">
        <v>15</v>
      </c>
    </row>
    <row r="132" spans="1:6" ht="13.5">
      <c r="A132" s="2854">
        <v>60</v>
      </c>
      <c r="B132" s="3502" t="s">
        <v>2781</v>
      </c>
      <c r="C132" s="2854" t="s">
        <v>2782</v>
      </c>
      <c r="D132" s="2828" t="s">
        <v>2783</v>
      </c>
      <c r="E132" s="2854">
        <v>0.1</v>
      </c>
      <c r="F132" s="2854">
        <v>15</v>
      </c>
    </row>
    <row r="133" spans="1:6" ht="13.5">
      <c r="A133" s="2854">
        <v>61</v>
      </c>
      <c r="B133" s="3506"/>
      <c r="C133" s="2854" t="s">
        <v>2784</v>
      </c>
      <c r="D133" s="2828" t="s">
        <v>2785</v>
      </c>
      <c r="E133" s="2854">
        <v>0.1</v>
      </c>
      <c r="F133" s="2854">
        <v>15</v>
      </c>
    </row>
    <row r="134" spans="1:6" ht="24">
      <c r="A134" s="2854">
        <v>62</v>
      </c>
      <c r="B134" s="2854" t="s">
        <v>2786</v>
      </c>
      <c r="C134" s="2854" t="s">
        <v>2787</v>
      </c>
      <c r="D134" s="2828" t="s">
        <v>2788</v>
      </c>
      <c r="E134" s="2854">
        <v>0.1</v>
      </c>
      <c r="F134" s="2854">
        <v>15</v>
      </c>
    </row>
    <row r="135" spans="1:6" ht="13.5">
      <c r="A135" s="2854">
        <v>63</v>
      </c>
      <c r="B135" s="3507" t="s">
        <v>2789</v>
      </c>
      <c r="C135" s="2854" t="s">
        <v>2790</v>
      </c>
      <c r="D135" s="2828" t="s">
        <v>2791</v>
      </c>
      <c r="E135" s="2854">
        <v>0.1</v>
      </c>
      <c r="F135" s="2854">
        <v>15</v>
      </c>
    </row>
    <row r="136" spans="1:6" ht="13.5">
      <c r="A136" s="2854">
        <v>64</v>
      </c>
      <c r="B136" s="3507"/>
      <c r="C136" s="2854" t="s">
        <v>2792</v>
      </c>
      <c r="D136" s="2828" t="s">
        <v>2793</v>
      </c>
      <c r="E136" s="2854">
        <v>0.1</v>
      </c>
      <c r="F136" s="2854">
        <v>15</v>
      </c>
    </row>
    <row r="137" spans="1:6" ht="13.5">
      <c r="A137" s="2854">
        <v>65</v>
      </c>
      <c r="B137" s="2854" t="s">
        <v>2794</v>
      </c>
      <c r="C137" s="2854" t="s">
        <v>2795</v>
      </c>
      <c r="D137" s="2828" t="s">
        <v>2796</v>
      </c>
      <c r="E137" s="2854">
        <v>0.1</v>
      </c>
      <c r="F137" s="2854">
        <v>15</v>
      </c>
    </row>
    <row r="138" spans="1:6" ht="13.5">
      <c r="A138" s="2854"/>
      <c r="B138" s="2854"/>
      <c r="C138" s="2854"/>
      <c r="D138" s="2854"/>
      <c r="E138" s="2854" t="s">
        <v>2797</v>
      </c>
      <c r="F138" s="285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2798</v>
      </c>
      <c r="B1" s="2862"/>
      <c r="C1" s="2862"/>
      <c r="D1" s="2862"/>
      <c r="E1" s="2862"/>
      <c r="F1" s="2862"/>
      <c r="G1" s="2862"/>
      <c r="H1" s="2862"/>
      <c r="I1" s="2862"/>
      <c r="J1" s="2862"/>
      <c r="K1" s="2862"/>
      <c r="L1" s="2862"/>
      <c r="M1" s="2862"/>
      <c r="N1" s="706"/>
    </row>
    <row r="2" spans="1:20">
      <c r="A2" s="2863" t="s">
        <v>2799</v>
      </c>
      <c r="B2" s="2864" t="s">
        <v>2595</v>
      </c>
      <c r="C2" s="2864" t="s">
        <v>2596</v>
      </c>
      <c r="D2" s="2864" t="s">
        <v>2597</v>
      </c>
      <c r="E2" s="2864" t="s">
        <v>2598</v>
      </c>
      <c r="F2" s="2864" t="s">
        <v>2599</v>
      </c>
      <c r="G2" s="2864" t="s">
        <v>2600</v>
      </c>
      <c r="H2" s="2865" t="s">
        <v>2601</v>
      </c>
      <c r="I2" s="2865" t="s">
        <v>2602</v>
      </c>
      <c r="J2" s="2866" t="s">
        <v>2603</v>
      </c>
      <c r="K2" s="2866" t="s">
        <v>2604</v>
      </c>
      <c r="L2" s="2866" t="s">
        <v>2605</v>
      </c>
      <c r="M2" s="2867" t="s">
        <v>2606</v>
      </c>
      <c r="Q2" s="2877" t="s">
        <v>2804</v>
      </c>
      <c r="R2" s="2877" t="s">
        <v>2805</v>
      </c>
      <c r="S2" s="2877" t="s">
        <v>2806</v>
      </c>
      <c r="T2" s="2877" t="s">
        <v>2807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2800</v>
      </c>
      <c r="B93" s="2862"/>
      <c r="C93" s="2862"/>
      <c r="D93" s="2862"/>
      <c r="E93" s="2862"/>
      <c r="F93" s="2862"/>
      <c r="G93" s="2862"/>
      <c r="H93" s="2862"/>
      <c r="I93" s="2862"/>
      <c r="J93" s="2862"/>
      <c r="K93" s="2862"/>
      <c r="L93" s="2862"/>
      <c r="M93" s="2862"/>
    </row>
    <row r="94" spans="1:20">
      <c r="A94" s="2863" t="s">
        <v>2799</v>
      </c>
      <c r="B94" s="2864" t="s">
        <v>2595</v>
      </c>
      <c r="C94" s="2864" t="s">
        <v>2596</v>
      </c>
      <c r="D94" s="2864" t="s">
        <v>2597</v>
      </c>
      <c r="E94" s="2864" t="s">
        <v>2598</v>
      </c>
      <c r="F94" s="2864" t="s">
        <v>2599</v>
      </c>
      <c r="G94" s="2864" t="s">
        <v>2600</v>
      </c>
      <c r="H94" s="2865" t="s">
        <v>2601</v>
      </c>
      <c r="I94" s="2865" t="s">
        <v>2602</v>
      </c>
      <c r="J94" s="2866" t="s">
        <v>2603</v>
      </c>
      <c r="K94" s="2866" t="s">
        <v>2604</v>
      </c>
      <c r="L94" s="2866" t="s">
        <v>2605</v>
      </c>
      <c r="M94" s="2867" t="s">
        <v>2606</v>
      </c>
      <c r="N94">
        <f>SUMPRODUCT((A95:A184=ROUNDDOWN(基准地价修正!G3,1))*(B94:M94=基准地价修正!G2)*(B95:M184))</f>
        <v>1.2302</v>
      </c>
      <c r="Q94" s="2877" t="s">
        <v>2804</v>
      </c>
      <c r="R94" s="2877" t="s">
        <v>2805</v>
      </c>
      <c r="S94" s="2877" t="s">
        <v>2806</v>
      </c>
      <c r="T94" s="2877" t="s">
        <v>2807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2801</v>
      </c>
      <c r="B185" s="2862"/>
      <c r="C185" s="2862"/>
      <c r="D185" s="2862"/>
      <c r="E185" s="2862"/>
      <c r="F185" s="2862"/>
      <c r="G185" s="2862"/>
      <c r="H185" s="2862"/>
      <c r="I185" s="2862"/>
      <c r="J185" s="2862"/>
      <c r="K185" s="2862"/>
      <c r="L185" s="2862"/>
      <c r="M185" s="2862"/>
    </row>
    <row r="186" spans="1:20">
      <c r="A186" s="2863" t="s">
        <v>2799</v>
      </c>
      <c r="B186" s="2864" t="s">
        <v>2595</v>
      </c>
      <c r="C186" s="2864" t="s">
        <v>2596</v>
      </c>
      <c r="D186" s="2864" t="s">
        <v>2597</v>
      </c>
      <c r="E186" s="2864" t="s">
        <v>2598</v>
      </c>
      <c r="F186" s="2864" t="s">
        <v>2599</v>
      </c>
      <c r="G186" s="2864" t="s">
        <v>2600</v>
      </c>
      <c r="H186" s="2865" t="s">
        <v>2601</v>
      </c>
      <c r="I186" s="2865" t="s">
        <v>2602</v>
      </c>
      <c r="J186" s="2866" t="s">
        <v>2603</v>
      </c>
      <c r="K186" s="2866" t="s">
        <v>2604</v>
      </c>
      <c r="L186" s="2866" t="s">
        <v>2605</v>
      </c>
      <c r="M186" s="2867" t="s">
        <v>2606</v>
      </c>
      <c r="Q186" s="2877" t="s">
        <v>2804</v>
      </c>
      <c r="R186" s="2877" t="s">
        <v>2805</v>
      </c>
      <c r="S186" s="2877" t="s">
        <v>2806</v>
      </c>
      <c r="T186" s="2877" t="s">
        <v>2807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2802</v>
      </c>
      <c r="B277" s="2862"/>
      <c r="C277" s="2862"/>
      <c r="D277" s="2862"/>
      <c r="E277" s="2862"/>
      <c r="F277" s="2862"/>
      <c r="G277" s="2862"/>
      <c r="H277" s="2862"/>
      <c r="I277" s="2862"/>
      <c r="J277" s="2862"/>
      <c r="K277" s="2862"/>
      <c r="L277" s="2862"/>
      <c r="M277" s="2862"/>
    </row>
    <row r="278" spans="1:21">
      <c r="A278" s="2863" t="s">
        <v>2799</v>
      </c>
      <c r="B278" s="2864" t="s">
        <v>2595</v>
      </c>
      <c r="C278" s="2864" t="s">
        <v>2596</v>
      </c>
      <c r="D278" s="2864" t="s">
        <v>2597</v>
      </c>
      <c r="E278" s="2864" t="s">
        <v>2598</v>
      </c>
      <c r="F278" s="2864" t="s">
        <v>2599</v>
      </c>
      <c r="G278" s="2864" t="s">
        <v>2600</v>
      </c>
      <c r="H278" s="2865" t="s">
        <v>2601</v>
      </c>
      <c r="I278" s="2865" t="s">
        <v>2602</v>
      </c>
      <c r="J278" s="2866" t="s">
        <v>2603</v>
      </c>
      <c r="K278" s="2866" t="s">
        <v>2604</v>
      </c>
      <c r="L278" s="2866" t="s">
        <v>2605</v>
      </c>
      <c r="M278" s="2867" t="s">
        <v>2606</v>
      </c>
      <c r="Q278" s="2877" t="s">
        <v>2804</v>
      </c>
      <c r="R278" s="2877" t="s">
        <v>2805</v>
      </c>
      <c r="S278" s="2877" t="s">
        <v>2808</v>
      </c>
      <c r="T278" s="2877" t="s">
        <v>2809</v>
      </c>
      <c r="U278" s="2877" t="s">
        <v>2807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2803</v>
      </c>
      <c r="B369" s="2875"/>
      <c r="C369" s="2875"/>
      <c r="D369" s="2875"/>
      <c r="E369" s="2875"/>
      <c r="F369" s="2875"/>
      <c r="G369" s="2875"/>
      <c r="H369" s="2875"/>
      <c r="I369" s="2875"/>
      <c r="J369" s="2875"/>
      <c r="K369" s="2875"/>
      <c r="L369" s="2875"/>
      <c r="M369" s="2875"/>
    </row>
    <row r="370" spans="1:20">
      <c r="A370" s="2863" t="s">
        <v>2799</v>
      </c>
      <c r="B370" s="2864" t="s">
        <v>2595</v>
      </c>
      <c r="C370" s="2864" t="s">
        <v>2596</v>
      </c>
      <c r="D370" s="2864" t="s">
        <v>2597</v>
      </c>
      <c r="E370" s="2864" t="s">
        <v>2598</v>
      </c>
      <c r="F370" s="2864" t="s">
        <v>2599</v>
      </c>
      <c r="G370" s="2864" t="s">
        <v>2600</v>
      </c>
      <c r="H370" s="2865" t="s">
        <v>2601</v>
      </c>
      <c r="I370" s="2865" t="s">
        <v>2602</v>
      </c>
      <c r="J370" s="2866" t="s">
        <v>2603</v>
      </c>
      <c r="K370" s="2866" t="s">
        <v>2604</v>
      </c>
      <c r="L370" s="2866" t="s">
        <v>2605</v>
      </c>
      <c r="M370" s="2867" t="s">
        <v>2606</v>
      </c>
      <c r="N370">
        <f>SUMPRODUCT((A371:A460=ROUNDDOWN(基准地价修正!G3,1))*(B370:M370=基准地价修正!G2)*(B371:M460))</f>
        <v>1.1198999999999999</v>
      </c>
      <c r="Q370" s="2877" t="s">
        <v>2804</v>
      </c>
      <c r="R370" s="2877" t="s">
        <v>2805</v>
      </c>
      <c r="S370" s="2877" t="s">
        <v>2806</v>
      </c>
      <c r="T370" s="2877" t="s">
        <v>2807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26237</v>
      </c>
      <c r="C2" s="2" t="s">
        <v>106</v>
      </c>
      <c r="D2" s="190"/>
      <c r="E2" s="190"/>
      <c r="F2" s="190"/>
      <c r="G2" s="190"/>
    </row>
    <row r="3" spans="1:7" s="191" customFormat="1" ht="18" customHeight="1" thickBot="1">
      <c r="A3" s="194" t="s">
        <v>58</v>
      </c>
      <c r="B3" s="195">
        <f ca="1">ROUND(B2*10000/'数据-汇总表'!E3,0)</f>
        <v>36591</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100</v>
      </c>
      <c r="F9" s="212"/>
      <c r="G9" s="217"/>
    </row>
    <row r="10" spans="1:7" s="205" customFormat="1" ht="13.5" customHeight="1">
      <c r="A10" s="732" t="s">
        <v>356</v>
      </c>
      <c r="B10" s="215" t="s">
        <v>67</v>
      </c>
      <c r="C10" s="216">
        <f>ROUND(D10*E10/10000,0)</f>
        <v>108</v>
      </c>
      <c r="D10" s="794">
        <f>'数据-汇总表'!E6</f>
        <v>7170.4100000000008</v>
      </c>
      <c r="E10" s="216">
        <f>'数据-取费表'!B28</f>
        <v>150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143</v>
      </c>
      <c r="D19" s="203">
        <f>'数据-汇总表'!E3</f>
        <v>7170.4100000000008</v>
      </c>
      <c r="E19" s="202">
        <f>'数据-取费表'!B31</f>
        <v>200</v>
      </c>
      <c r="F19" s="222"/>
      <c r="G19" s="1" t="s">
        <v>436</v>
      </c>
    </row>
    <row r="20" spans="1:7" s="205" customFormat="1" ht="13.5" customHeight="1">
      <c r="A20" s="730" t="s">
        <v>419</v>
      </c>
      <c r="B20" s="201" t="s">
        <v>77</v>
      </c>
      <c r="C20" s="223">
        <f>ROUND((C5+C19)*F20,0)</f>
        <v>415</v>
      </c>
      <c r="D20" s="223"/>
      <c r="E20" s="223"/>
      <c r="F20" s="224">
        <f>'数据-取费表'!B37</f>
        <v>0.02</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40">
        <f ca="1">ROUND(SUM(C23:C25),0)</f>
        <v>723</v>
      </c>
      <c r="D22" s="226">
        <f ca="1">C26</f>
        <v>2.0000000000000001E-4</v>
      </c>
      <c r="E22" s="227" t="s">
        <v>99</v>
      </c>
      <c r="F22" s="228">
        <f ca="1">'数据-取费表'!B40</f>
        <v>3.4500000000000003E-2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711</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5</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2.0000000000000001E-4</v>
      </c>
      <c r="D26" s="229"/>
      <c r="E26" s="232"/>
      <c r="F26" s="230"/>
      <c r="G26" s="234"/>
    </row>
    <row r="27" spans="1:7" s="205" customFormat="1" ht="24.75">
      <c r="A27" s="730" t="s">
        <v>342</v>
      </c>
      <c r="B27" s="235" t="s">
        <v>85</v>
      </c>
      <c r="C27" s="236">
        <f>C28</f>
        <v>1058</v>
      </c>
      <c r="D27" s="226">
        <f>C29</f>
        <v>5.0000000000000001E-4</v>
      </c>
      <c r="E27" s="227" t="s">
        <v>99</v>
      </c>
      <c r="F27" s="237">
        <f>'数据-取费表'!Q16</f>
        <v>0.05</v>
      </c>
      <c r="G27" s="238" t="s">
        <v>431</v>
      </c>
    </row>
    <row r="28" spans="1:7" s="205" customFormat="1" ht="13.5" customHeight="1">
      <c r="A28" s="733" t="s">
        <v>349</v>
      </c>
      <c r="B28" s="239" t="s">
        <v>424</v>
      </c>
      <c r="C28" s="240">
        <f>ROUND((C5+C19+C20)*F27*'数据-取费表'!B21/'数据-取费表'!B20,0)</f>
        <v>1058</v>
      </c>
      <c r="D28" s="226"/>
      <c r="E28" s="227"/>
      <c r="F28" s="237"/>
      <c r="G28" s="238"/>
    </row>
    <row r="29" spans="1:7" s="205" customFormat="1" ht="13.5" customHeight="1">
      <c r="A29" s="733" t="s">
        <v>347</v>
      </c>
      <c r="B29" s="239" t="s">
        <v>425</v>
      </c>
      <c r="C29" s="229">
        <f>ROUND(C21*F27*'数据-取费表'!B21/'数据-取费表'!B20,4)</f>
        <v>5.0000000000000001E-4</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24494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1974</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1752</v>
      </c>
      <c r="D34" s="208"/>
      <c r="E34" s="211"/>
      <c r="F34" s="248">
        <f>IF('数据-取费表'!B24=0,1,'数据-取费表'!N16)</f>
        <v>1</v>
      </c>
      <c r="G34" s="210" t="s">
        <v>89</v>
      </c>
    </row>
    <row r="35" spans="1:7" ht="13.5" customHeight="1">
      <c r="A35" s="733" t="s">
        <v>351</v>
      </c>
      <c r="B35" s="206" t="s">
        <v>33</v>
      </c>
      <c r="C35" s="211">
        <f>ROUND(C34*F35,0)</f>
        <v>53</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143</v>
      </c>
      <c r="D37" s="208">
        <f>'数据-汇总表'!E3</f>
        <v>7170.4100000000008</v>
      </c>
      <c r="E37" s="240">
        <f>'数据-取费表'!B35</f>
        <v>200</v>
      </c>
      <c r="F37" s="250"/>
      <c r="G37" s="252" t="s">
        <v>92</v>
      </c>
    </row>
    <row r="38" spans="1:7" ht="13.5" customHeight="1">
      <c r="A38" s="733" t="s">
        <v>354</v>
      </c>
      <c r="B38" s="206" t="s">
        <v>36</v>
      </c>
      <c r="C38" s="211">
        <f>ROUND(C34*F38,0)</f>
        <v>26</v>
      </c>
      <c r="D38" s="211"/>
      <c r="E38" s="211"/>
      <c r="F38" s="250">
        <f>'数据-取费表'!B36</f>
        <v>1.4999999999999999E-2</v>
      </c>
      <c r="G38" s="210" t="s">
        <v>90</v>
      </c>
    </row>
    <row r="39" spans="1:7" s="205" customFormat="1" ht="13.5" customHeight="1">
      <c r="A39" s="730" t="s">
        <v>338</v>
      </c>
      <c r="B39" s="201" t="s">
        <v>77</v>
      </c>
      <c r="C39" s="223">
        <f>ROUND(C33*F20,0)</f>
        <v>39</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 ca="1">ROUND(SUM(C42:C43),0)</f>
        <v>35</v>
      </c>
      <c r="D41" s="226">
        <f ca="1">C44</f>
        <v>2.0000000000000001E-4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34</v>
      </c>
      <c r="D42" s="229"/>
      <c r="E42" s="229"/>
      <c r="F42" s="230"/>
      <c r="G42" s="3371" t="s">
        <v>94</v>
      </c>
    </row>
    <row r="43" spans="1:7" ht="13.5" customHeight="1">
      <c r="A43" s="733" t="s">
        <v>347</v>
      </c>
      <c r="B43" s="206" t="s">
        <v>426</v>
      </c>
      <c r="C43" s="229">
        <f ca="1">ROUND(IF('数据-取费表'!B22&lt;=1,C39*F22*'数据-取费表'!B21/2,C39*(POWER((1+F22),'数据-取费表'!B21/2)-1)),0)</f>
        <v>1</v>
      </c>
      <c r="D43" s="229"/>
      <c r="E43" s="229"/>
      <c r="F43" s="230"/>
      <c r="G43" s="3372"/>
    </row>
    <row r="44" spans="1:7" ht="13.5" customHeight="1">
      <c r="A44" s="733" t="s">
        <v>348</v>
      </c>
      <c r="B44" s="206" t="s">
        <v>428</v>
      </c>
      <c r="C44" s="229">
        <f ca="1">ROUND(IF('数据-取费表'!B22&lt;=1,C40*F22*'数据-取费表'!B21/2,C40*(POWER((1+F22),'数据-取费表'!B21/2)-1)),4)</f>
        <v>2.0000000000000001E-4</v>
      </c>
      <c r="D44" s="229"/>
      <c r="E44" s="229"/>
      <c r="F44" s="230"/>
      <c r="G44" s="3373"/>
    </row>
    <row r="45" spans="1:7" s="205" customFormat="1" ht="13.5" customHeight="1">
      <c r="A45" s="730" t="s">
        <v>341</v>
      </c>
      <c r="B45" s="235" t="s">
        <v>85</v>
      </c>
      <c r="C45" s="236">
        <f>C46</f>
        <v>101</v>
      </c>
      <c r="D45" s="226">
        <f>C47</f>
        <v>5.0000000000000001E-4</v>
      </c>
      <c r="E45" s="227" t="s">
        <v>102</v>
      </c>
      <c r="F45" s="237"/>
      <c r="G45" s="238" t="s">
        <v>434</v>
      </c>
    </row>
    <row r="46" spans="1:7" s="205" customFormat="1" ht="13.5" customHeight="1">
      <c r="A46" s="733" t="s">
        <v>349</v>
      </c>
      <c r="B46" s="239" t="s">
        <v>427</v>
      </c>
      <c r="C46" s="240">
        <f>ROUND((C33+C39)*F27,0)</f>
        <v>101</v>
      </c>
      <c r="D46" s="254"/>
      <c r="E46" s="227"/>
      <c r="F46" s="237"/>
      <c r="G46" s="238"/>
    </row>
    <row r="47" spans="1:7" s="205" customFormat="1" ht="13.5" customHeight="1">
      <c r="A47" s="733" t="s">
        <v>347</v>
      </c>
      <c r="B47" s="239" t="s">
        <v>429</v>
      </c>
      <c r="C47" s="229">
        <f>ROUND(C40*F27,4)</f>
        <v>5.0000000000000001E-4</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2294</v>
      </c>
      <c r="D49" s="223"/>
      <c r="E49" s="223"/>
      <c r="F49" s="255"/>
      <c r="G49" s="225" t="s">
        <v>435</v>
      </c>
    </row>
    <row r="50" spans="1:7" s="249" customFormat="1" ht="24">
      <c r="A50" s="730" t="s">
        <v>344</v>
      </c>
      <c r="B50" s="201" t="s">
        <v>97</v>
      </c>
      <c r="C50" s="223"/>
      <c r="D50" s="223"/>
      <c r="E50" s="223"/>
      <c r="F50" s="255">
        <f>IF('数据-取费表'!B24=0,'数据-取费表'!N16,1)</f>
        <v>0.76</v>
      </c>
      <c r="G50" s="238" t="s">
        <v>98</v>
      </c>
    </row>
    <row r="51" spans="1:7" ht="16.5" customHeight="1">
      <c r="A51" s="730" t="s">
        <v>345</v>
      </c>
      <c r="B51" s="201" t="s">
        <v>105</v>
      </c>
      <c r="C51" s="223">
        <f ca="1">ROUND(C49*F50,0)</f>
        <v>1743</v>
      </c>
      <c r="D51" s="223"/>
      <c r="E51" s="223"/>
      <c r="F51" s="255"/>
      <c r="G51" s="225" t="s">
        <v>37</v>
      </c>
    </row>
    <row r="52" spans="1:7" s="199" customFormat="1" ht="16.5" thickBot="1">
      <c r="A52" s="256" t="s">
        <v>38</v>
      </c>
      <c r="B52" s="257"/>
      <c r="C52" s="258">
        <f ca="1">C31+C51</f>
        <v>26237</v>
      </c>
      <c r="D52" s="257"/>
      <c r="E52" s="257"/>
      <c r="F52" s="257"/>
      <c r="G52" s="259"/>
    </row>
    <row r="55" spans="1:7" ht="15">
      <c r="B55" s="261" t="s">
        <v>39</v>
      </c>
      <c r="C55" s="262"/>
    </row>
    <row r="56" spans="1:7">
      <c r="B56" s="264" t="s">
        <v>40</v>
      </c>
      <c r="C56" s="265">
        <f ca="1">ROUND(C51/C52,3)</f>
        <v>6.6000000000000003E-2</v>
      </c>
    </row>
    <row r="57" spans="1:7">
      <c r="B57" s="264" t="s">
        <v>41</v>
      </c>
      <c r="C57" s="266">
        <f ca="1">1-C56</f>
        <v>0.93399999999999994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339" zoomScale="80" zoomScaleNormal="80" workbookViewId="0">
      <selection activeCell="C327" sqref="C327:G357"/>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10" t="s">
        <v>2839</v>
      </c>
      <c r="B1" s="3510"/>
      <c r="C1" s="3510"/>
      <c r="D1" s="3510"/>
      <c r="E1" s="3510"/>
      <c r="F1" s="3510"/>
      <c r="G1" s="3511"/>
      <c r="I1" s="2935" t="s">
        <v>2840</v>
      </c>
      <c r="J1" s="2936" t="s">
        <v>2841</v>
      </c>
      <c r="K1" s="2936" t="s">
        <v>2842</v>
      </c>
      <c r="L1" s="2936" t="s">
        <v>2843</v>
      </c>
      <c r="M1" s="2936" t="s">
        <v>2844</v>
      </c>
      <c r="N1" s="2936" t="s">
        <v>2845</v>
      </c>
      <c r="O1" s="2936" t="s">
        <v>2846</v>
      </c>
      <c r="P1" s="2936" t="s">
        <v>2847</v>
      </c>
      <c r="Q1" s="2936" t="s">
        <v>2848</v>
      </c>
      <c r="R1" s="2936" t="s">
        <v>2849</v>
      </c>
      <c r="S1" s="2936" t="s">
        <v>2850</v>
      </c>
      <c r="T1" s="2937" t="s">
        <v>2851</v>
      </c>
    </row>
    <row r="2" spans="1:20" ht="12" thickBot="1">
      <c r="A2" s="2938" t="s">
        <v>2852</v>
      </c>
      <c r="B2" s="2938"/>
      <c r="C2" s="2938"/>
      <c r="D2" s="2938"/>
      <c r="E2" s="2938"/>
      <c r="F2" s="2938"/>
      <c r="G2" s="2939" t="s">
        <v>2853</v>
      </c>
      <c r="I2" s="2940" t="s">
        <v>2854</v>
      </c>
      <c r="J2" s="2940" t="s">
        <v>2855</v>
      </c>
      <c r="K2" s="2940" t="s">
        <v>2856</v>
      </c>
      <c r="L2" s="2940" t="s">
        <v>2857</v>
      </c>
      <c r="M2" s="2940" t="s">
        <v>2858</v>
      </c>
      <c r="N2" s="2940" t="s">
        <v>2859</v>
      </c>
      <c r="O2" s="2940" t="s">
        <v>2860</v>
      </c>
      <c r="P2" s="2940" t="s">
        <v>2861</v>
      </c>
      <c r="Q2" s="2940" t="s">
        <v>2862</v>
      </c>
      <c r="R2" s="2940" t="s">
        <v>2863</v>
      </c>
      <c r="S2" s="2940" t="s">
        <v>2864</v>
      </c>
      <c r="T2" s="2940" t="s">
        <v>2865</v>
      </c>
    </row>
    <row r="3" spans="1:20" s="2946" customFormat="1">
      <c r="A3" s="3508" t="s">
        <v>2866</v>
      </c>
      <c r="B3" s="2941"/>
      <c r="C3" s="2942" t="s">
        <v>2811</v>
      </c>
      <c r="D3" s="2942" t="s">
        <v>2867</v>
      </c>
      <c r="E3" s="2942" t="s">
        <v>2813</v>
      </c>
      <c r="F3" s="2942" t="s">
        <v>2868</v>
      </c>
      <c r="G3" s="2942" t="s">
        <v>2631</v>
      </c>
      <c r="H3" s="2943"/>
      <c r="I3" s="2944" t="s">
        <v>2869</v>
      </c>
      <c r="J3" s="2945" t="s">
        <v>128</v>
      </c>
      <c r="K3" s="2945" t="s">
        <v>129</v>
      </c>
      <c r="L3" s="2944" t="s">
        <v>130</v>
      </c>
      <c r="M3" s="2944" t="s">
        <v>131</v>
      </c>
      <c r="N3" s="2944" t="s">
        <v>132</v>
      </c>
      <c r="O3" s="2944" t="s">
        <v>133</v>
      </c>
      <c r="P3" s="2944" t="s">
        <v>134</v>
      </c>
      <c r="Q3" s="2944" t="s">
        <v>135</v>
      </c>
      <c r="R3" s="2944" t="s">
        <v>136</v>
      </c>
      <c r="S3" s="2944" t="s">
        <v>2870</v>
      </c>
      <c r="T3" s="2944" t="s">
        <v>2871</v>
      </c>
    </row>
    <row r="4" spans="1:20" s="2946" customFormat="1" ht="12" thickBot="1">
      <c r="A4" s="3509"/>
      <c r="B4" s="2947" t="s">
        <v>2872</v>
      </c>
      <c r="C4" s="2947" t="s">
        <v>2873</v>
      </c>
      <c r="D4" s="2947" t="s">
        <v>2873</v>
      </c>
      <c r="E4" s="2947" t="s">
        <v>2873</v>
      </c>
      <c r="F4" s="2948" t="s">
        <v>2873</v>
      </c>
      <c r="G4" s="2948" t="s">
        <v>2873</v>
      </c>
      <c r="H4" s="2943"/>
      <c r="I4" s="2945" t="s">
        <v>137</v>
      </c>
      <c r="J4" s="2945" t="s">
        <v>111</v>
      </c>
      <c r="K4" s="2945" t="s">
        <v>138</v>
      </c>
      <c r="L4" s="2944" t="s">
        <v>139</v>
      </c>
      <c r="M4" s="2944" t="s">
        <v>140</v>
      </c>
      <c r="N4" s="2944" t="s">
        <v>141</v>
      </c>
      <c r="O4" s="2944" t="s">
        <v>142</v>
      </c>
      <c r="P4" s="2944" t="s">
        <v>143</v>
      </c>
      <c r="Q4" s="2944" t="s">
        <v>2874</v>
      </c>
      <c r="R4" s="2944" t="s">
        <v>2875</v>
      </c>
      <c r="S4" s="2944" t="s">
        <v>2876</v>
      </c>
      <c r="T4" s="2944" t="s">
        <v>2877</v>
      </c>
    </row>
    <row r="5" spans="1:20">
      <c r="A5" s="2949" t="s">
        <v>2840</v>
      </c>
      <c r="B5" s="2940" t="s">
        <v>2854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2878</v>
      </c>
      <c r="R5" s="2944" t="s">
        <v>2879</v>
      </c>
      <c r="S5" s="2944" t="s">
        <v>153</v>
      </c>
      <c r="T5" s="2944" t="s">
        <v>2880</v>
      </c>
    </row>
    <row r="6" spans="1:20" ht="12" thickBot="1">
      <c r="A6" s="2944" t="s">
        <v>144</v>
      </c>
      <c r="B6" s="2944" t="s">
        <v>2869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2881</v>
      </c>
      <c r="Q6" s="2944" t="s">
        <v>2882</v>
      </c>
      <c r="R6" s="2944" t="s">
        <v>161</v>
      </c>
      <c r="S6" s="2944" t="s">
        <v>2883</v>
      </c>
      <c r="T6" s="2944" t="s">
        <v>2884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2885</v>
      </c>
      <c r="Q7" s="2944" t="s">
        <v>2886</v>
      </c>
      <c r="R7" s="2944" t="s">
        <v>2887</v>
      </c>
      <c r="S7" s="2944" t="s">
        <v>2888</v>
      </c>
      <c r="T7" s="2944" t="s">
        <v>2889</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2890</v>
      </c>
      <c r="Q8" s="2944" t="s">
        <v>174</v>
      </c>
      <c r="R8" s="2944" t="s">
        <v>2891</v>
      </c>
      <c r="S8" s="2944" t="s">
        <v>2892</v>
      </c>
      <c r="T8" s="2951" t="s">
        <v>2893</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2894</v>
      </c>
      <c r="Q9" s="2944" t="s">
        <v>182</v>
      </c>
      <c r="R9" s="2944" t="s">
        <v>183</v>
      </c>
      <c r="S9" s="2944" t="s">
        <v>200</v>
      </c>
    </row>
    <row r="10" spans="1:20">
      <c r="A10" s="2949" t="s">
        <v>184</v>
      </c>
      <c r="B10" s="2940" t="s">
        <v>2855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2896</v>
      </c>
      <c r="P11" s="2944" t="s">
        <v>191</v>
      </c>
      <c r="Q11" s="2944" t="s">
        <v>199</v>
      </c>
      <c r="R11" s="2944" t="s">
        <v>2897</v>
      </c>
      <c r="S11" s="2944" t="s">
        <v>2898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2899</v>
      </c>
      <c r="P12" s="2944" t="s">
        <v>2900</v>
      </c>
      <c r="Q12" s="2944" t="s">
        <v>2901</v>
      </c>
      <c r="R12" s="2944" t="s">
        <v>2902</v>
      </c>
      <c r="S12" s="2944" t="s">
        <v>2903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2905</v>
      </c>
      <c r="K14" s="2945" t="s">
        <v>215</v>
      </c>
      <c r="L14" s="2944" t="s">
        <v>216</v>
      </c>
      <c r="M14" s="2944" t="s">
        <v>217</v>
      </c>
      <c r="N14" s="2944" t="s">
        <v>218</v>
      </c>
      <c r="O14" s="2944" t="s">
        <v>240</v>
      </c>
      <c r="P14" s="2944" t="s">
        <v>213</v>
      </c>
      <c r="Q14" s="2944" t="s">
        <v>2906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2907</v>
      </c>
      <c r="P15" s="2944" t="s">
        <v>2908</v>
      </c>
      <c r="Q15" s="2944" t="s">
        <v>242</v>
      </c>
      <c r="R15" s="2944" t="s">
        <v>2909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2910</v>
      </c>
      <c r="P16" s="2944" t="s">
        <v>227</v>
      </c>
      <c r="Q16" s="2944" t="s">
        <v>250</v>
      </c>
      <c r="R16" s="2944" t="s">
        <v>207</v>
      </c>
      <c r="S16" s="2944" t="s">
        <v>2911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2912</v>
      </c>
      <c r="P17" s="2944" t="s">
        <v>2913</v>
      </c>
      <c r="Q17" s="2944" t="s">
        <v>256</v>
      </c>
      <c r="R17" s="2944" t="s">
        <v>2914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2915</v>
      </c>
      <c r="P18" s="2944" t="s">
        <v>241</v>
      </c>
      <c r="Q18" s="2944" t="s">
        <v>2916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2917</v>
      </c>
      <c r="P19" s="2944" t="s">
        <v>249</v>
      </c>
      <c r="Q19" s="2944" t="s">
        <v>2918</v>
      </c>
      <c r="R19" s="2944" t="s">
        <v>265</v>
      </c>
      <c r="S19" s="2944" t="s">
        <v>2919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2920</v>
      </c>
      <c r="P20" s="2944" t="s">
        <v>2921</v>
      </c>
      <c r="Q20" s="2944" t="s">
        <v>290</v>
      </c>
      <c r="R20" s="2944" t="s">
        <v>2922</v>
      </c>
      <c r="S20" s="2944" t="s">
        <v>277</v>
      </c>
    </row>
    <row r="21" spans="1:19" ht="14.25" customHeight="1" thickBot="1">
      <c r="A21" s="2944" t="s">
        <v>184</v>
      </c>
      <c r="B21" s="2945" t="s">
        <v>208</v>
      </c>
      <c r="C21" s="2944">
        <v>32370</v>
      </c>
      <c r="D21" s="2944">
        <v>26730</v>
      </c>
      <c r="E21" s="2944">
        <v>26640</v>
      </c>
      <c r="F21" s="2944"/>
      <c r="G21" s="2944">
        <v>19440</v>
      </c>
      <c r="J21" s="2951" t="s">
        <v>2923</v>
      </c>
      <c r="K21" s="2945" t="s">
        <v>267</v>
      </c>
      <c r="L21" s="2944" t="s">
        <v>268</v>
      </c>
      <c r="M21" s="2944" t="s">
        <v>269</v>
      </c>
      <c r="N21" s="2944" t="s">
        <v>270</v>
      </c>
      <c r="O21" s="2944" t="s">
        <v>264</v>
      </c>
      <c r="P21" s="2944" t="s">
        <v>283</v>
      </c>
      <c r="Q21" s="2944" t="s">
        <v>293</v>
      </c>
      <c r="R21" s="2944" t="s">
        <v>2924</v>
      </c>
      <c r="S21" s="2951" t="s">
        <v>2925</v>
      </c>
    </row>
    <row r="22" spans="1:19" ht="14.25" customHeight="1">
      <c r="A22" s="2944" t="s">
        <v>184</v>
      </c>
      <c r="B22" s="2945" t="s">
        <v>2905</v>
      </c>
      <c r="C22" s="2944">
        <v>29830</v>
      </c>
      <c r="D22" s="2944">
        <v>27600</v>
      </c>
      <c r="E22" s="2944">
        <v>28150</v>
      </c>
      <c r="F22" s="2944"/>
      <c r="G22" s="2944">
        <v>20080</v>
      </c>
      <c r="K22" s="2945" t="s">
        <v>2926</v>
      </c>
      <c r="L22" s="2944" t="s">
        <v>272</v>
      </c>
      <c r="M22" s="2944" t="s">
        <v>273</v>
      </c>
      <c r="N22" s="2944" t="s">
        <v>274</v>
      </c>
      <c r="O22" s="2944" t="s">
        <v>2927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2928</v>
      </c>
      <c r="L23" s="2944" t="s">
        <v>278</v>
      </c>
      <c r="M23" s="2944" t="s">
        <v>279</v>
      </c>
      <c r="N23" s="2944" t="s">
        <v>2929</v>
      </c>
      <c r="O23" s="2944" t="s">
        <v>2930</v>
      </c>
      <c r="P23" s="2944" t="s">
        <v>289</v>
      </c>
      <c r="Q23" s="2944" t="s">
        <v>298</v>
      </c>
      <c r="R23" s="2944" t="s">
        <v>2931</v>
      </c>
    </row>
    <row r="24" spans="1:19" ht="14.25" customHeight="1">
      <c r="A24" s="2944" t="s">
        <v>184</v>
      </c>
      <c r="B24" s="2945" t="s">
        <v>230</v>
      </c>
      <c r="C24" s="2944">
        <v>27930</v>
      </c>
      <c r="D24" s="2944">
        <v>32260</v>
      </c>
      <c r="E24" s="2944">
        <v>32120</v>
      </c>
      <c r="F24" s="2944"/>
      <c r="G24" s="2944">
        <v>23470</v>
      </c>
      <c r="K24" s="2945" t="s">
        <v>2932</v>
      </c>
      <c r="L24" s="2944" t="s">
        <v>281</v>
      </c>
      <c r="M24" s="2944" t="s">
        <v>282</v>
      </c>
      <c r="N24" s="2944" t="s">
        <v>2933</v>
      </c>
      <c r="O24" s="2944" t="s">
        <v>285</v>
      </c>
      <c r="P24" s="2944" t="s">
        <v>2934</v>
      </c>
      <c r="Q24" s="2953" t="s">
        <v>2935</v>
      </c>
      <c r="R24" s="2944" t="s">
        <v>2936</v>
      </c>
    </row>
    <row r="25" spans="1:19" ht="14.25" customHeight="1">
      <c r="A25" s="2944" t="s">
        <v>184</v>
      </c>
      <c r="B25" s="2945" t="s">
        <v>235</v>
      </c>
      <c r="C25" s="2944">
        <v>32230</v>
      </c>
      <c r="D25" s="2944">
        <v>29640</v>
      </c>
      <c r="E25" s="2944">
        <v>29510</v>
      </c>
      <c r="F25" s="2944"/>
      <c r="G25" s="2944">
        <v>21560</v>
      </c>
      <c r="K25" s="2945" t="s">
        <v>2937</v>
      </c>
      <c r="L25" s="2944" t="s">
        <v>2938</v>
      </c>
      <c r="M25" s="2944" t="s">
        <v>284</v>
      </c>
      <c r="N25" s="2944" t="s">
        <v>292</v>
      </c>
      <c r="O25" s="2944" t="s">
        <v>288</v>
      </c>
      <c r="P25" s="2944" t="s">
        <v>275</v>
      </c>
      <c r="Q25" s="2953" t="s">
        <v>271</v>
      </c>
      <c r="R25" s="2944" t="s">
        <v>2939</v>
      </c>
    </row>
    <row r="26" spans="1:19" ht="14.25" customHeight="1" thickBot="1">
      <c r="A26" s="2944" t="s">
        <v>184</v>
      </c>
      <c r="B26" s="2945" t="s">
        <v>244</v>
      </c>
      <c r="C26" s="2944">
        <v>31690</v>
      </c>
      <c r="D26" s="2944">
        <v>27650</v>
      </c>
      <c r="E26" s="2944">
        <v>28200</v>
      </c>
      <c r="F26" s="2944"/>
      <c r="G26" s="2944">
        <v>20110</v>
      </c>
      <c r="K26" s="2950" t="s">
        <v>2940</v>
      </c>
      <c r="L26" s="2944" t="s">
        <v>2941</v>
      </c>
      <c r="M26" s="2944" t="s">
        <v>287</v>
      </c>
      <c r="N26" s="2944" t="s">
        <v>294</v>
      </c>
      <c r="O26" s="2944" t="s">
        <v>2942</v>
      </c>
      <c r="P26" s="2944" t="s">
        <v>2943</v>
      </c>
      <c r="Q26" s="2953" t="s">
        <v>276</v>
      </c>
      <c r="R26" s="2944" t="s">
        <v>2944</v>
      </c>
    </row>
    <row r="27" spans="1:19" ht="14.25" customHeight="1">
      <c r="A27" s="2944" t="s">
        <v>184</v>
      </c>
      <c r="B27" s="2945" t="s">
        <v>251</v>
      </c>
      <c r="C27" s="2944">
        <v>29610</v>
      </c>
      <c r="D27" s="2944">
        <v>27770</v>
      </c>
      <c r="E27" s="2944">
        <v>28300</v>
      </c>
      <c r="F27" s="2944"/>
      <c r="G27" s="2944">
        <v>20210</v>
      </c>
      <c r="L27" s="2944" t="s">
        <v>2945</v>
      </c>
      <c r="M27" s="2944" t="s">
        <v>291</v>
      </c>
      <c r="N27" s="2944" t="s">
        <v>297</v>
      </c>
      <c r="O27" s="2944" t="s">
        <v>2946</v>
      </c>
      <c r="P27" s="2944" t="s">
        <v>2947</v>
      </c>
      <c r="Q27" s="2944" t="s">
        <v>2948</v>
      </c>
      <c r="R27" s="2944" t="s">
        <v>2949</v>
      </c>
    </row>
    <row r="28" spans="1:19" ht="14.25" customHeight="1">
      <c r="A28" s="2944" t="s">
        <v>184</v>
      </c>
      <c r="B28" s="2945" t="s">
        <v>259</v>
      </c>
      <c r="C28" s="2944"/>
      <c r="D28" s="2944">
        <v>31520</v>
      </c>
      <c r="E28" s="2944">
        <v>31410</v>
      </c>
      <c r="F28" s="2944"/>
      <c r="G28" s="2944">
        <v>22940</v>
      </c>
      <c r="L28" s="2944" t="s">
        <v>2950</v>
      </c>
      <c r="M28" s="2944" t="s">
        <v>2951</v>
      </c>
      <c r="N28" s="2944" t="s">
        <v>2952</v>
      </c>
      <c r="O28" s="2944" t="s">
        <v>2953</v>
      </c>
      <c r="P28" s="2944" t="s">
        <v>2954</v>
      </c>
      <c r="Q28" s="2944" t="s">
        <v>2955</v>
      </c>
      <c r="R28" s="2944" t="s">
        <v>2956</v>
      </c>
    </row>
    <row r="29" spans="1:19" ht="14.25" customHeight="1" thickBot="1">
      <c r="A29" s="2952" t="s">
        <v>184</v>
      </c>
      <c r="B29" s="2954" t="s">
        <v>2923</v>
      </c>
      <c r="C29" s="2955"/>
      <c r="D29" s="2955">
        <v>29460</v>
      </c>
      <c r="E29" s="2955">
        <v>28640</v>
      </c>
      <c r="F29" s="2955"/>
      <c r="G29" s="2955">
        <v>21430</v>
      </c>
      <c r="L29" s="2944" t="s">
        <v>2957</v>
      </c>
      <c r="M29" s="2944" t="s">
        <v>2958</v>
      </c>
      <c r="N29" s="2944" t="s">
        <v>2959</v>
      </c>
      <c r="O29" s="2944" t="s">
        <v>2960</v>
      </c>
      <c r="P29" s="2944" t="s">
        <v>2961</v>
      </c>
      <c r="Q29" s="2944" t="s">
        <v>2962</v>
      </c>
      <c r="R29" s="2944" t="s">
        <v>280</v>
      </c>
    </row>
    <row r="30" spans="1:19" ht="14.25" customHeight="1">
      <c r="A30" s="2949" t="s">
        <v>296</v>
      </c>
      <c r="B30" s="2940" t="s">
        <v>2856</v>
      </c>
      <c r="C30" s="2940">
        <v>26890</v>
      </c>
      <c r="D30" s="2940">
        <v>26770</v>
      </c>
      <c r="E30" s="2940">
        <v>25700</v>
      </c>
      <c r="F30" s="2940">
        <v>8180</v>
      </c>
      <c r="G30" s="2956">
        <v>18740</v>
      </c>
      <c r="L30" s="2944" t="s">
        <v>2963</v>
      </c>
      <c r="M30" s="2944" t="s">
        <v>2964</v>
      </c>
      <c r="N30" s="2944" t="s">
        <v>2965</v>
      </c>
      <c r="O30" s="2944" t="s">
        <v>2966</v>
      </c>
      <c r="P30" s="2944" t="s">
        <v>2967</v>
      </c>
      <c r="Q30" s="2944" t="s">
        <v>2968</v>
      </c>
      <c r="R30" s="2944" t="s">
        <v>2969</v>
      </c>
    </row>
    <row r="31" spans="1:19" ht="14.25" customHeight="1">
      <c r="A31" s="2944" t="s">
        <v>296</v>
      </c>
      <c r="B31" s="2945" t="s">
        <v>129</v>
      </c>
      <c r="C31" s="2944">
        <v>24550</v>
      </c>
      <c r="D31" s="2944">
        <v>23990</v>
      </c>
      <c r="E31" s="2944">
        <v>22930</v>
      </c>
      <c r="F31" s="2944">
        <v>7470</v>
      </c>
      <c r="G31" s="2957">
        <v>16790</v>
      </c>
      <c r="L31" s="2944" t="s">
        <v>2970</v>
      </c>
      <c r="M31" s="2944" t="s">
        <v>2971</v>
      </c>
      <c r="N31" s="2944" t="s">
        <v>2972</v>
      </c>
      <c r="O31" s="2944" t="s">
        <v>2973</v>
      </c>
      <c r="P31" s="2944" t="s">
        <v>2974</v>
      </c>
      <c r="Q31" s="2944" t="s">
        <v>2975</v>
      </c>
      <c r="R31" s="2944" t="s">
        <v>2976</v>
      </c>
    </row>
    <row r="32" spans="1:19" ht="14.25" customHeight="1" thickBot="1">
      <c r="A32" s="2944" t="s">
        <v>296</v>
      </c>
      <c r="B32" s="2945" t="s">
        <v>138</v>
      </c>
      <c r="C32" s="2944">
        <v>27210</v>
      </c>
      <c r="D32" s="2944">
        <v>23240</v>
      </c>
      <c r="E32" s="2944">
        <v>23260</v>
      </c>
      <c r="F32" s="2944">
        <v>7130</v>
      </c>
      <c r="G32" s="2957">
        <v>16270</v>
      </c>
      <c r="L32" s="2944" t="s">
        <v>2977</v>
      </c>
      <c r="M32" s="2944" t="s">
        <v>2978</v>
      </c>
      <c r="N32" s="2944" t="s">
        <v>300</v>
      </c>
      <c r="O32" s="2944" t="s">
        <v>2979</v>
      </c>
      <c r="P32" s="2944" t="s">
        <v>299</v>
      </c>
      <c r="Q32" s="2944" t="s">
        <v>2980</v>
      </c>
      <c r="R32" s="2951" t="s">
        <v>2981</v>
      </c>
    </row>
    <row r="33" spans="1:17" ht="14.25" customHeight="1" thickBot="1">
      <c r="A33" s="2944" t="s">
        <v>296</v>
      </c>
      <c r="B33" s="2945" t="s">
        <v>147</v>
      </c>
      <c r="C33" s="2944">
        <v>27300</v>
      </c>
      <c r="D33" s="2944">
        <v>22980</v>
      </c>
      <c r="E33" s="2944">
        <v>24260</v>
      </c>
      <c r="F33" s="2944">
        <v>5860</v>
      </c>
      <c r="G33" s="2957">
        <v>16090</v>
      </c>
      <c r="L33" s="2951" t="s">
        <v>2982</v>
      </c>
      <c r="M33" s="2944" t="s">
        <v>2983</v>
      </c>
      <c r="N33" s="2944" t="s">
        <v>301</v>
      </c>
      <c r="O33" s="2944" t="s">
        <v>2984</v>
      </c>
      <c r="P33" s="2944" t="s">
        <v>2985</v>
      </c>
      <c r="Q33" s="2944" t="s">
        <v>2986</v>
      </c>
    </row>
    <row r="34" spans="1:17" ht="14.25" customHeight="1">
      <c r="A34" s="2944" t="s">
        <v>296</v>
      </c>
      <c r="B34" s="2945" t="s">
        <v>156</v>
      </c>
      <c r="C34" s="2944">
        <v>23090</v>
      </c>
      <c r="D34" s="2944">
        <v>23390</v>
      </c>
      <c r="E34" s="2944">
        <v>23510</v>
      </c>
      <c r="F34" s="2944">
        <v>6700</v>
      </c>
      <c r="G34" s="2957">
        <v>16370</v>
      </c>
      <c r="M34" s="2944" t="s">
        <v>2987</v>
      </c>
      <c r="N34" s="2944" t="s">
        <v>302</v>
      </c>
      <c r="O34" s="2944" t="s">
        <v>2988</v>
      </c>
      <c r="P34" s="2944" t="s">
        <v>2989</v>
      </c>
      <c r="Q34" s="2944" t="s">
        <v>2990</v>
      </c>
    </row>
    <row r="35" spans="1:17" ht="14.25" customHeight="1">
      <c r="A35" s="2944" t="s">
        <v>296</v>
      </c>
      <c r="B35" s="2945" t="s">
        <v>163</v>
      </c>
      <c r="C35" s="2944">
        <v>27270</v>
      </c>
      <c r="D35" s="2944">
        <v>24270</v>
      </c>
      <c r="E35" s="2944">
        <v>24950</v>
      </c>
      <c r="F35" s="2944">
        <v>6600</v>
      </c>
      <c r="G35" s="2957">
        <v>16990</v>
      </c>
      <c r="M35" s="2944" t="s">
        <v>2991</v>
      </c>
      <c r="N35" s="2944" t="s">
        <v>2992</v>
      </c>
      <c r="O35" s="2944" t="s">
        <v>2993</v>
      </c>
      <c r="P35" s="2944" t="s">
        <v>2994</v>
      </c>
      <c r="Q35" s="2944" t="s">
        <v>2995</v>
      </c>
    </row>
    <row r="36" spans="1:17" ht="14.25" customHeight="1">
      <c r="A36" s="2944" t="s">
        <v>296</v>
      </c>
      <c r="B36" s="2945" t="s">
        <v>169</v>
      </c>
      <c r="C36" s="2944">
        <v>23490</v>
      </c>
      <c r="D36" s="2944">
        <v>23020</v>
      </c>
      <c r="E36" s="2944">
        <v>25230</v>
      </c>
      <c r="F36" s="2944">
        <v>6780</v>
      </c>
      <c r="G36" s="2957">
        <v>16120</v>
      </c>
      <c r="M36" s="2944" t="s">
        <v>2996</v>
      </c>
      <c r="N36" s="2944" t="s">
        <v>2997</v>
      </c>
      <c r="O36" s="2944" t="s">
        <v>2998</v>
      </c>
      <c r="P36" s="2944" t="s">
        <v>2999</v>
      </c>
      <c r="Q36" s="2944" t="s">
        <v>3000</v>
      </c>
    </row>
    <row r="37" spans="1:17" ht="14.25" customHeight="1">
      <c r="A37" s="2944" t="s">
        <v>296</v>
      </c>
      <c r="B37" s="2945" t="s">
        <v>176</v>
      </c>
      <c r="C37" s="2944">
        <v>24380</v>
      </c>
      <c r="D37" s="2944">
        <v>22240</v>
      </c>
      <c r="E37" s="2944">
        <v>25980</v>
      </c>
      <c r="F37" s="2944">
        <v>8160</v>
      </c>
      <c r="G37" s="2957">
        <v>15570</v>
      </c>
      <c r="M37" s="2944" t="s">
        <v>3001</v>
      </c>
      <c r="N37" s="2944" t="s">
        <v>3002</v>
      </c>
      <c r="O37" s="2944" t="s">
        <v>3003</v>
      </c>
      <c r="P37" s="2944" t="s">
        <v>3004</v>
      </c>
      <c r="Q37" s="2944" t="s">
        <v>3005</v>
      </c>
    </row>
    <row r="38" spans="1:17" ht="14.25" customHeight="1">
      <c r="A38" s="2944" t="s">
        <v>296</v>
      </c>
      <c r="B38" s="2945" t="s">
        <v>186</v>
      </c>
      <c r="C38" s="2944">
        <v>23120</v>
      </c>
      <c r="D38" s="2944">
        <v>24630</v>
      </c>
      <c r="E38" s="2944">
        <v>25030</v>
      </c>
      <c r="F38" s="2944">
        <v>7710</v>
      </c>
      <c r="G38" s="2957">
        <v>17240</v>
      </c>
      <c r="M38" s="2944" t="s">
        <v>3006</v>
      </c>
      <c r="N38" s="2944" t="s">
        <v>3007</v>
      </c>
      <c r="O38" s="2944" t="s">
        <v>3008</v>
      </c>
      <c r="P38" s="2944" t="s">
        <v>3009</v>
      </c>
      <c r="Q38" s="2944" t="s">
        <v>3010</v>
      </c>
    </row>
    <row r="39" spans="1:17" ht="14.25" customHeight="1">
      <c r="A39" s="2944" t="s">
        <v>296</v>
      </c>
      <c r="B39" s="2945" t="s">
        <v>195</v>
      </c>
      <c r="C39" s="2944">
        <v>22330</v>
      </c>
      <c r="D39" s="2944">
        <v>21140</v>
      </c>
      <c r="E39" s="2944">
        <v>23970</v>
      </c>
      <c r="F39" s="2944">
        <v>7940</v>
      </c>
      <c r="G39" s="2957">
        <v>14790</v>
      </c>
      <c r="M39" s="2944" t="s">
        <v>3011</v>
      </c>
      <c r="N39" s="2944" t="s">
        <v>3012</v>
      </c>
      <c r="O39" s="2944" t="s">
        <v>3013</v>
      </c>
      <c r="P39" s="2944" t="s">
        <v>3014</v>
      </c>
      <c r="Q39" s="2944" t="s">
        <v>3015</v>
      </c>
    </row>
    <row r="40" spans="1:17" ht="14.25" customHeight="1">
      <c r="A40" s="2944" t="s">
        <v>296</v>
      </c>
      <c r="B40" s="2945" t="s">
        <v>202</v>
      </c>
      <c r="C40" s="2944">
        <v>24740</v>
      </c>
      <c r="D40" s="2944">
        <v>24690</v>
      </c>
      <c r="E40" s="2944">
        <v>22610</v>
      </c>
      <c r="F40" s="2944"/>
      <c r="G40" s="2957">
        <v>17280</v>
      </c>
      <c r="M40" s="2944" t="s">
        <v>3016</v>
      </c>
      <c r="N40" s="2944" t="s">
        <v>3017</v>
      </c>
      <c r="O40" s="2944" t="s">
        <v>3018</v>
      </c>
      <c r="P40" s="2944" t="s">
        <v>3019</v>
      </c>
      <c r="Q40" s="2944" t="s">
        <v>3020</v>
      </c>
    </row>
    <row r="41" spans="1:17" ht="14.25" customHeight="1" thickBot="1">
      <c r="A41" s="2944" t="s">
        <v>296</v>
      </c>
      <c r="B41" s="2945" t="s">
        <v>209</v>
      </c>
      <c r="C41" s="2944">
        <v>21220</v>
      </c>
      <c r="D41" s="2944">
        <v>21120</v>
      </c>
      <c r="E41" s="2944">
        <v>22590</v>
      </c>
      <c r="F41" s="2944"/>
      <c r="G41" s="2957">
        <v>14780</v>
      </c>
      <c r="M41" s="2951" t="s">
        <v>3021</v>
      </c>
      <c r="N41" s="2944" t="s">
        <v>3022</v>
      </c>
      <c r="O41" s="2944" t="s">
        <v>3023</v>
      </c>
      <c r="P41" s="2944" t="s">
        <v>3024</v>
      </c>
      <c r="Q41" s="2944" t="s">
        <v>3025</v>
      </c>
    </row>
    <row r="42" spans="1:17" ht="14.25" customHeight="1">
      <c r="A42" s="2944" t="s">
        <v>296</v>
      </c>
      <c r="B42" s="2945" t="s">
        <v>215</v>
      </c>
      <c r="C42" s="2944">
        <v>24800</v>
      </c>
      <c r="D42" s="2944">
        <v>22280</v>
      </c>
      <c r="E42" s="2944">
        <v>24350</v>
      </c>
      <c r="F42" s="2944"/>
      <c r="G42" s="2957">
        <v>15590</v>
      </c>
      <c r="N42" s="2944" t="s">
        <v>3026</v>
      </c>
      <c r="O42" s="2944" t="s">
        <v>3027</v>
      </c>
      <c r="P42" s="2944" t="s">
        <v>3028</v>
      </c>
      <c r="Q42" s="2944" t="s">
        <v>3029</v>
      </c>
    </row>
    <row r="43" spans="1:17" ht="14.25" customHeight="1">
      <c r="A43" s="2944" t="s">
        <v>3030</v>
      </c>
      <c r="B43" s="2945" t="s">
        <v>223</v>
      </c>
      <c r="C43" s="2944">
        <v>21210</v>
      </c>
      <c r="D43" s="2944">
        <v>21160</v>
      </c>
      <c r="E43" s="2944">
        <v>22650</v>
      </c>
      <c r="F43" s="2944"/>
      <c r="G43" s="2957">
        <v>14800</v>
      </c>
      <c r="N43" s="2944" t="s">
        <v>3031</v>
      </c>
      <c r="O43" s="2944" t="s">
        <v>3032</v>
      </c>
      <c r="P43" s="2944" t="s">
        <v>3033</v>
      </c>
      <c r="Q43" s="2944" t="s">
        <v>3034</v>
      </c>
    </row>
    <row r="44" spans="1:17" ht="14.25" customHeight="1" thickBot="1">
      <c r="A44" s="2944" t="s">
        <v>296</v>
      </c>
      <c r="B44" s="2945" t="s">
        <v>231</v>
      </c>
      <c r="C44" s="2944">
        <v>22370</v>
      </c>
      <c r="D44" s="2944">
        <v>23140</v>
      </c>
      <c r="E44" s="2944">
        <v>25090</v>
      </c>
      <c r="F44" s="2944"/>
      <c r="G44" s="2957">
        <v>16190</v>
      </c>
      <c r="N44" s="2944" t="s">
        <v>3035</v>
      </c>
      <c r="O44" s="2944" t="s">
        <v>3036</v>
      </c>
      <c r="P44" s="2951" t="s">
        <v>3037</v>
      </c>
      <c r="Q44" s="2944" t="s">
        <v>3038</v>
      </c>
    </row>
    <row r="45" spans="1:17" ht="14.25" customHeight="1" thickBot="1">
      <c r="A45" s="2944" t="s">
        <v>296</v>
      </c>
      <c r="B45" s="2945" t="s">
        <v>236</v>
      </c>
      <c r="C45" s="2944">
        <v>21240</v>
      </c>
      <c r="D45" s="2944">
        <v>27050</v>
      </c>
      <c r="E45" s="2944">
        <v>28000</v>
      </c>
      <c r="F45" s="2944"/>
      <c r="G45" s="2957">
        <v>18940</v>
      </c>
      <c r="N45" s="2944" t="s">
        <v>3039</v>
      </c>
      <c r="O45" s="2951" t="s">
        <v>3040</v>
      </c>
      <c r="Q45" s="2944" t="s">
        <v>3041</v>
      </c>
    </row>
    <row r="46" spans="1:17" ht="14.25" customHeight="1">
      <c r="A46" s="2944" t="s">
        <v>296</v>
      </c>
      <c r="B46" s="2945" t="s">
        <v>245</v>
      </c>
      <c r="C46" s="2944">
        <v>23240</v>
      </c>
      <c r="D46" s="2944">
        <v>23000</v>
      </c>
      <c r="E46" s="2944">
        <v>24980</v>
      </c>
      <c r="F46" s="2944"/>
      <c r="G46" s="2957">
        <v>16100</v>
      </c>
      <c r="N46" s="2944" t="s">
        <v>3042</v>
      </c>
      <c r="Q46" s="2944" t="s">
        <v>3043</v>
      </c>
    </row>
    <row r="47" spans="1:17" ht="14.25" customHeight="1">
      <c r="A47" s="2944" t="s">
        <v>296</v>
      </c>
      <c r="B47" s="2945" t="s">
        <v>252</v>
      </c>
      <c r="C47" s="2944">
        <v>27150</v>
      </c>
      <c r="D47" s="2944">
        <v>23310</v>
      </c>
      <c r="E47" s="2944">
        <v>25150</v>
      </c>
      <c r="F47" s="2944"/>
      <c r="G47" s="2957">
        <v>16310</v>
      </c>
      <c r="N47" s="2944" t="s">
        <v>3044</v>
      </c>
      <c r="Q47" s="2944" t="s">
        <v>3045</v>
      </c>
    </row>
    <row r="48" spans="1:17" ht="14.25" customHeight="1">
      <c r="A48" s="2944" t="s">
        <v>296</v>
      </c>
      <c r="B48" s="2945" t="s">
        <v>260</v>
      </c>
      <c r="C48" s="2944">
        <v>23100</v>
      </c>
      <c r="D48" s="2944">
        <v>21110</v>
      </c>
      <c r="E48" s="2944">
        <v>23080</v>
      </c>
      <c r="F48" s="2944"/>
      <c r="G48" s="2957">
        <v>14780</v>
      </c>
      <c r="N48" s="2944" t="s">
        <v>3046</v>
      </c>
      <c r="Q48" s="2944" t="s">
        <v>3047</v>
      </c>
    </row>
    <row r="49" spans="1:17" ht="14.25" customHeight="1">
      <c r="A49" s="2944" t="s">
        <v>296</v>
      </c>
      <c r="B49" s="2945" t="s">
        <v>267</v>
      </c>
      <c r="C49" s="2944">
        <v>23400</v>
      </c>
      <c r="D49" s="2944">
        <v>22920</v>
      </c>
      <c r="E49" s="2944">
        <v>24900</v>
      </c>
      <c r="F49" s="2944"/>
      <c r="G49" s="2957">
        <v>16040</v>
      </c>
      <c r="N49" s="2944" t="s">
        <v>3048</v>
      </c>
      <c r="Q49" s="2944" t="s">
        <v>3049</v>
      </c>
    </row>
    <row r="50" spans="1:17" ht="14.25" customHeight="1">
      <c r="A50" s="2944" t="s">
        <v>296</v>
      </c>
      <c r="B50" s="2945" t="s">
        <v>2926</v>
      </c>
      <c r="C50" s="2944">
        <v>21200</v>
      </c>
      <c r="D50" s="2944">
        <v>26540</v>
      </c>
      <c r="E50" s="2944">
        <v>23200</v>
      </c>
      <c r="F50" s="2944"/>
      <c r="G50" s="2957">
        <v>18580</v>
      </c>
      <c r="N50" s="2944" t="s">
        <v>3050</v>
      </c>
      <c r="Q50" s="2945" t="s">
        <v>3051</v>
      </c>
    </row>
    <row r="51" spans="1:17" ht="14.25" customHeight="1" thickBot="1">
      <c r="A51" s="2944" t="s">
        <v>296</v>
      </c>
      <c r="B51" s="2945" t="s">
        <v>2928</v>
      </c>
      <c r="C51" s="2944">
        <v>23000</v>
      </c>
      <c r="D51" s="2944">
        <v>23460</v>
      </c>
      <c r="E51" s="2944">
        <v>25290</v>
      </c>
      <c r="F51" s="2944"/>
      <c r="G51" s="2957">
        <v>16420</v>
      </c>
      <c r="N51" s="2944" t="s">
        <v>3052</v>
      </c>
      <c r="Q51" s="2951" t="s">
        <v>3053</v>
      </c>
    </row>
    <row r="52" spans="1:17" ht="14.25" customHeight="1">
      <c r="A52" s="2944" t="s">
        <v>296</v>
      </c>
      <c r="B52" s="2945" t="s">
        <v>2932</v>
      </c>
      <c r="C52" s="2944">
        <v>26660</v>
      </c>
      <c r="D52" s="2944">
        <v>22350</v>
      </c>
      <c r="E52" s="2944">
        <v>22920</v>
      </c>
      <c r="F52" s="2944"/>
      <c r="G52" s="2957">
        <v>15640</v>
      </c>
      <c r="N52" s="2944" t="s">
        <v>3054</v>
      </c>
    </row>
    <row r="53" spans="1:17" ht="14.25" customHeight="1">
      <c r="A53" s="2944" t="s">
        <v>296</v>
      </c>
      <c r="B53" s="2945" t="s">
        <v>2937</v>
      </c>
      <c r="C53" s="2944">
        <v>23580</v>
      </c>
      <c r="D53" s="2944"/>
      <c r="E53" s="2944">
        <v>24280</v>
      </c>
      <c r="F53" s="2944"/>
      <c r="G53" s="2957"/>
      <c r="N53" s="2944" t="s">
        <v>3055</v>
      </c>
    </row>
    <row r="54" spans="1:17" ht="14.25" customHeight="1" thickBot="1">
      <c r="A54" s="2958" t="s">
        <v>296</v>
      </c>
      <c r="B54" s="2950" t="s">
        <v>2940</v>
      </c>
      <c r="C54" s="2951">
        <v>22460</v>
      </c>
      <c r="D54" s="2951"/>
      <c r="E54" s="2951"/>
      <c r="F54" s="2951"/>
      <c r="G54" s="2959"/>
      <c r="N54" s="2944" t="s">
        <v>3056</v>
      </c>
    </row>
    <row r="55" spans="1:17" ht="14.25" customHeight="1">
      <c r="A55" s="2949" t="s">
        <v>110</v>
      </c>
      <c r="B55" s="2940" t="s">
        <v>3057</v>
      </c>
      <c r="C55" s="2944">
        <v>21970</v>
      </c>
      <c r="D55" s="2944">
        <v>20370</v>
      </c>
      <c r="E55" s="2944">
        <v>20180</v>
      </c>
      <c r="F55" s="2944">
        <v>5730</v>
      </c>
      <c r="G55" s="2944">
        <v>13820</v>
      </c>
      <c r="N55" s="2944" t="s">
        <v>3058</v>
      </c>
    </row>
    <row r="56" spans="1:17" ht="14.25" customHeight="1">
      <c r="A56" s="2944" t="s">
        <v>110</v>
      </c>
      <c r="B56" s="2944" t="s">
        <v>130</v>
      </c>
      <c r="C56" s="2944">
        <v>20470</v>
      </c>
      <c r="D56" s="2944">
        <v>20700</v>
      </c>
      <c r="E56" s="2944">
        <v>20380</v>
      </c>
      <c r="F56" s="2944">
        <v>4760</v>
      </c>
      <c r="G56" s="2944">
        <v>14050</v>
      </c>
      <c r="N56" s="2944" t="s">
        <v>3059</v>
      </c>
    </row>
    <row r="57" spans="1:17" ht="14.25" customHeight="1">
      <c r="A57" s="2944" t="s">
        <v>110</v>
      </c>
      <c r="B57" s="2944" t="s">
        <v>139</v>
      </c>
      <c r="C57" s="2944">
        <v>20790</v>
      </c>
      <c r="D57" s="2944">
        <v>21370</v>
      </c>
      <c r="E57" s="2944">
        <v>20890</v>
      </c>
      <c r="F57" s="2944">
        <v>4910</v>
      </c>
      <c r="G57" s="2944">
        <v>14510</v>
      </c>
      <c r="N57" s="2944" t="s">
        <v>3060</v>
      </c>
    </row>
    <row r="58" spans="1:17" ht="14.25" customHeight="1">
      <c r="A58" s="2944" t="s">
        <v>110</v>
      </c>
      <c r="B58" s="2944" t="s">
        <v>148</v>
      </c>
      <c r="C58" s="2944">
        <v>21460</v>
      </c>
      <c r="D58" s="2944">
        <v>20920</v>
      </c>
      <c r="E58" s="2944">
        <v>23410</v>
      </c>
      <c r="F58" s="2944">
        <v>5100</v>
      </c>
      <c r="G58" s="2944">
        <v>14200</v>
      </c>
      <c r="N58" s="2944" t="s">
        <v>3061</v>
      </c>
    </row>
    <row r="59" spans="1:17" ht="14.25" customHeight="1">
      <c r="A59" s="2944" t="s">
        <v>110</v>
      </c>
      <c r="B59" s="2944" t="s">
        <v>157</v>
      </c>
      <c r="C59" s="2944">
        <v>21000</v>
      </c>
      <c r="D59" s="2944">
        <v>21550</v>
      </c>
      <c r="E59" s="2944">
        <v>21150</v>
      </c>
      <c r="F59" s="2944">
        <v>5250</v>
      </c>
      <c r="G59" s="2944">
        <v>14630</v>
      </c>
      <c r="N59" s="2944" t="s">
        <v>3062</v>
      </c>
    </row>
    <row r="60" spans="1:17" ht="14.25" customHeight="1">
      <c r="A60" s="2944" t="s">
        <v>110</v>
      </c>
      <c r="B60" s="2944" t="s">
        <v>164</v>
      </c>
      <c r="C60" s="2944">
        <v>21640</v>
      </c>
      <c r="D60" s="2944">
        <v>21260</v>
      </c>
      <c r="E60" s="2944">
        <v>24040</v>
      </c>
      <c r="F60" s="2944">
        <v>4470</v>
      </c>
      <c r="G60" s="2944">
        <v>14430</v>
      </c>
      <c r="N60" s="2944" t="s">
        <v>3063</v>
      </c>
    </row>
    <row r="61" spans="1:17" ht="14.25" customHeight="1">
      <c r="A61" s="2944" t="s">
        <v>110</v>
      </c>
      <c r="B61" s="2944" t="s">
        <v>170</v>
      </c>
      <c r="C61" s="2944">
        <v>21330</v>
      </c>
      <c r="D61" s="2944">
        <v>18640</v>
      </c>
      <c r="E61" s="2944">
        <v>21190</v>
      </c>
      <c r="F61" s="2944">
        <v>4180</v>
      </c>
      <c r="G61" s="2944">
        <v>12650</v>
      </c>
      <c r="N61" s="2944" t="s">
        <v>3064</v>
      </c>
    </row>
    <row r="62" spans="1:17" ht="14.25" customHeight="1">
      <c r="A62" s="2944" t="s">
        <v>110</v>
      </c>
      <c r="B62" s="2944" t="s">
        <v>177</v>
      </c>
      <c r="C62" s="2944">
        <v>18710</v>
      </c>
      <c r="D62" s="2944">
        <v>19400</v>
      </c>
      <c r="E62" s="2944">
        <v>23750</v>
      </c>
      <c r="F62" s="2944">
        <v>4860</v>
      </c>
      <c r="G62" s="2944">
        <v>13170</v>
      </c>
      <c r="N62" s="2944" t="s">
        <v>3065</v>
      </c>
    </row>
    <row r="63" spans="1:17" ht="14.25" customHeight="1">
      <c r="A63" s="2944" t="s">
        <v>110</v>
      </c>
      <c r="B63" s="2944" t="s">
        <v>187</v>
      </c>
      <c r="C63" s="2944">
        <v>19480</v>
      </c>
      <c r="D63" s="2944">
        <v>16830</v>
      </c>
      <c r="E63" s="2944">
        <v>21590</v>
      </c>
      <c r="F63" s="2944">
        <v>4560</v>
      </c>
      <c r="G63" s="2944">
        <v>11420</v>
      </c>
      <c r="N63" s="2944" t="s">
        <v>3066</v>
      </c>
    </row>
    <row r="64" spans="1:17" ht="14.25" customHeight="1" thickBot="1">
      <c r="A64" s="2944" t="s">
        <v>110</v>
      </c>
      <c r="B64" s="2944" t="s">
        <v>196</v>
      </c>
      <c r="C64" s="2944">
        <v>16920</v>
      </c>
      <c r="D64" s="2944">
        <v>19190</v>
      </c>
      <c r="E64" s="2944">
        <v>22200</v>
      </c>
      <c r="F64" s="2944">
        <v>4390</v>
      </c>
      <c r="G64" s="2944">
        <v>13030</v>
      </c>
      <c r="N64" s="2951" t="s">
        <v>3067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2938</v>
      </c>
      <c r="C78" s="2944">
        <v>19820</v>
      </c>
      <c r="D78" s="2944">
        <v>19780</v>
      </c>
      <c r="E78" s="2944">
        <v>18560</v>
      </c>
      <c r="F78" s="2944"/>
      <c r="G78" s="2944">
        <v>13430</v>
      </c>
    </row>
    <row r="79" spans="1:7" s="2778" customFormat="1" ht="14.25" customHeight="1">
      <c r="A79" s="2944" t="s">
        <v>110</v>
      </c>
      <c r="B79" s="2944" t="s">
        <v>2941</v>
      </c>
      <c r="C79" s="2944">
        <v>21660</v>
      </c>
      <c r="D79" s="2944">
        <v>18000</v>
      </c>
      <c r="E79" s="2944">
        <v>22570</v>
      </c>
      <c r="F79" s="2944"/>
      <c r="G79" s="2944">
        <v>12220</v>
      </c>
    </row>
    <row r="80" spans="1:7" s="2778" customFormat="1" ht="14.25" customHeight="1">
      <c r="A80" s="2944" t="s">
        <v>110</v>
      </c>
      <c r="B80" s="2944" t="s">
        <v>2945</v>
      </c>
      <c r="C80" s="2944">
        <v>19850</v>
      </c>
      <c r="D80" s="2944"/>
      <c r="E80" s="2944">
        <v>21700</v>
      </c>
      <c r="F80" s="2944"/>
      <c r="G80" s="2944"/>
    </row>
    <row r="81" spans="1:7" s="2778" customFormat="1" ht="14.25" customHeight="1">
      <c r="A81" s="2944" t="s">
        <v>110</v>
      </c>
      <c r="B81" s="2944" t="s">
        <v>2950</v>
      </c>
      <c r="C81" s="2944">
        <v>18080</v>
      </c>
      <c r="D81" s="2944"/>
      <c r="E81" s="2944">
        <v>20900</v>
      </c>
      <c r="F81" s="2944"/>
      <c r="G81" s="2944"/>
    </row>
    <row r="82" spans="1:7" s="2778" customFormat="1" ht="14.25" customHeight="1">
      <c r="A82" s="2944" t="s">
        <v>110</v>
      </c>
      <c r="B82" s="2944" t="s">
        <v>2957</v>
      </c>
      <c r="C82" s="2944"/>
      <c r="D82" s="2944"/>
      <c r="E82" s="2944">
        <v>20840</v>
      </c>
      <c r="F82" s="2944"/>
      <c r="G82" s="2944"/>
    </row>
    <row r="83" spans="1:7" s="2778" customFormat="1" ht="14.25" customHeight="1">
      <c r="A83" s="2944" t="s">
        <v>110</v>
      </c>
      <c r="B83" s="2944" t="s">
        <v>3068</v>
      </c>
      <c r="C83" s="2944"/>
      <c r="D83" s="2944"/>
      <c r="E83" s="2944"/>
      <c r="F83" s="2944">
        <v>4770</v>
      </c>
      <c r="G83" s="2944"/>
    </row>
    <row r="84" spans="1:7" s="2778" customFormat="1" ht="14.25" customHeight="1">
      <c r="A84" s="2944" t="s">
        <v>110</v>
      </c>
      <c r="B84" s="2944" t="s">
        <v>3069</v>
      </c>
      <c r="C84" s="2944"/>
      <c r="D84" s="2944"/>
      <c r="E84" s="2944"/>
      <c r="F84" s="2944">
        <v>4600</v>
      </c>
      <c r="G84" s="2944"/>
    </row>
    <row r="85" spans="1:7" s="2778" customFormat="1" ht="14.25" customHeight="1">
      <c r="A85" s="2944" t="s">
        <v>110</v>
      </c>
      <c r="B85" s="2944" t="s">
        <v>3070</v>
      </c>
      <c r="C85" s="2944"/>
      <c r="D85" s="2944"/>
      <c r="E85" s="2944"/>
      <c r="F85" s="2944">
        <v>4680</v>
      </c>
      <c r="G85" s="2944"/>
    </row>
    <row r="86" spans="1:7" s="2778" customFormat="1" ht="14.25" customHeight="1" thickBot="1">
      <c r="A86" s="2952" t="s">
        <v>110</v>
      </c>
      <c r="B86" s="2954" t="s">
        <v>3071</v>
      </c>
      <c r="C86" s="2955">
        <v>16610</v>
      </c>
      <c r="D86" s="2955">
        <v>16540</v>
      </c>
      <c r="E86" s="2955">
        <v>18850</v>
      </c>
      <c r="F86" s="2955"/>
      <c r="G86" s="2955">
        <v>11220</v>
      </c>
    </row>
    <row r="87" spans="1:7" s="2778" customFormat="1" ht="14.25" customHeight="1">
      <c r="A87" s="2949" t="s">
        <v>303</v>
      </c>
      <c r="B87" s="2940" t="s">
        <v>3072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2951</v>
      </c>
      <c r="C113" s="2944">
        <v>15520</v>
      </c>
      <c r="D113" s="2944">
        <v>15450</v>
      </c>
      <c r="E113" s="2944"/>
      <c r="F113" s="2944"/>
      <c r="G113" s="2957">
        <v>10210</v>
      </c>
    </row>
    <row r="114" spans="1:7" s="2778" customFormat="1" ht="14.25" customHeight="1">
      <c r="A114" s="2944" t="s">
        <v>303</v>
      </c>
      <c r="B114" s="2944" t="s">
        <v>2958</v>
      </c>
      <c r="C114" s="2944">
        <v>13110</v>
      </c>
      <c r="D114" s="2944">
        <v>13050</v>
      </c>
      <c r="E114" s="2944"/>
      <c r="F114" s="2944"/>
      <c r="G114" s="2957">
        <v>8620</v>
      </c>
    </row>
    <row r="115" spans="1:7" s="2778" customFormat="1" ht="14.25" customHeight="1">
      <c r="A115" s="2944" t="s">
        <v>303</v>
      </c>
      <c r="B115" s="2944" t="s">
        <v>2964</v>
      </c>
      <c r="C115" s="2944">
        <v>12460</v>
      </c>
      <c r="D115" s="2944">
        <v>12390</v>
      </c>
      <c r="E115" s="2944"/>
      <c r="F115" s="2944"/>
      <c r="G115" s="2957">
        <v>8190</v>
      </c>
    </row>
    <row r="116" spans="1:7" s="2778" customFormat="1" ht="14.25" customHeight="1">
      <c r="A116" s="2944" t="s">
        <v>303</v>
      </c>
      <c r="B116" s="2944" t="s">
        <v>2971</v>
      </c>
      <c r="C116" s="2944">
        <v>13580</v>
      </c>
      <c r="D116" s="2944">
        <v>13520</v>
      </c>
      <c r="E116" s="2944"/>
      <c r="F116" s="2944"/>
      <c r="G116" s="2957">
        <v>8930</v>
      </c>
    </row>
    <row r="117" spans="1:7" s="2778" customFormat="1" ht="14.25" customHeight="1">
      <c r="A117" s="2944" t="s">
        <v>303</v>
      </c>
      <c r="B117" s="2944" t="s">
        <v>2978</v>
      </c>
      <c r="C117" s="2944">
        <v>17120</v>
      </c>
      <c r="D117" s="2944">
        <v>17040</v>
      </c>
      <c r="E117" s="2944"/>
      <c r="F117" s="2944"/>
      <c r="G117" s="2957">
        <v>11260</v>
      </c>
    </row>
    <row r="118" spans="1:7" s="2778" customFormat="1" ht="14.25" customHeight="1">
      <c r="A118" s="2944" t="s">
        <v>303</v>
      </c>
      <c r="B118" s="2944" t="s">
        <v>2983</v>
      </c>
      <c r="C118" s="2944">
        <v>14860</v>
      </c>
      <c r="D118" s="2944">
        <v>14790</v>
      </c>
      <c r="E118" s="2944"/>
      <c r="F118" s="2944"/>
      <c r="G118" s="2957">
        <v>9780</v>
      </c>
    </row>
    <row r="119" spans="1:7" s="2778" customFormat="1" ht="14.25" customHeight="1">
      <c r="A119" s="2944" t="s">
        <v>303</v>
      </c>
      <c r="B119" s="2944" t="s">
        <v>2987</v>
      </c>
      <c r="C119" s="2944">
        <v>16470</v>
      </c>
      <c r="D119" s="2944">
        <v>16400</v>
      </c>
      <c r="E119" s="2944"/>
      <c r="F119" s="2944"/>
      <c r="G119" s="2957">
        <v>10840</v>
      </c>
    </row>
    <row r="120" spans="1:7" s="2778" customFormat="1" ht="14.25" customHeight="1">
      <c r="A120" s="2944" t="s">
        <v>303</v>
      </c>
      <c r="B120" s="2944" t="s">
        <v>3073</v>
      </c>
      <c r="C120" s="2944"/>
      <c r="D120" s="2944"/>
      <c r="E120" s="2944"/>
      <c r="F120" s="2944">
        <v>4160</v>
      </c>
      <c r="G120" s="2957"/>
    </row>
    <row r="121" spans="1:7" s="2778" customFormat="1" ht="14.25" customHeight="1">
      <c r="A121" s="2944" t="s">
        <v>303</v>
      </c>
      <c r="B121" s="2944" t="s">
        <v>3074</v>
      </c>
      <c r="C121" s="2944"/>
      <c r="D121" s="2944"/>
      <c r="E121" s="2944"/>
      <c r="F121" s="2944">
        <v>3880</v>
      </c>
      <c r="G121" s="2957"/>
    </row>
    <row r="122" spans="1:7" s="2778" customFormat="1" ht="14.25" customHeight="1">
      <c r="A122" s="2944" t="s">
        <v>303</v>
      </c>
      <c r="B122" s="2944" t="s">
        <v>3075</v>
      </c>
      <c r="C122" s="2944">
        <v>13750</v>
      </c>
      <c r="D122" s="2944">
        <v>13680</v>
      </c>
      <c r="E122" s="2944">
        <v>16460</v>
      </c>
      <c r="F122" s="2944">
        <v>2880</v>
      </c>
      <c r="G122" s="2957">
        <v>9040</v>
      </c>
    </row>
    <row r="123" spans="1:7" s="2778" customFormat="1" ht="14.25" customHeight="1">
      <c r="A123" s="2944" t="s">
        <v>303</v>
      </c>
      <c r="B123" s="2944" t="s">
        <v>3006</v>
      </c>
      <c r="C123" s="2944">
        <v>13590</v>
      </c>
      <c r="D123" s="2944">
        <v>13520</v>
      </c>
      <c r="E123" s="2944">
        <v>16290</v>
      </c>
      <c r="F123" s="2944">
        <v>2790</v>
      </c>
      <c r="G123" s="2957">
        <v>8930</v>
      </c>
    </row>
    <row r="124" spans="1:7" s="2778" customFormat="1" ht="14.25" customHeight="1">
      <c r="A124" s="2944" t="s">
        <v>303</v>
      </c>
      <c r="B124" s="2944" t="s">
        <v>3011</v>
      </c>
      <c r="C124" s="2944">
        <v>13400</v>
      </c>
      <c r="D124" s="2944">
        <v>13320</v>
      </c>
      <c r="E124" s="2944">
        <v>16100</v>
      </c>
      <c r="F124" s="2944">
        <v>2320</v>
      </c>
      <c r="G124" s="2957">
        <v>8800</v>
      </c>
    </row>
    <row r="125" spans="1:7" s="2778" customFormat="1" ht="14.25" customHeight="1">
      <c r="A125" s="2944" t="s">
        <v>303</v>
      </c>
      <c r="B125" s="2944" t="s">
        <v>3016</v>
      </c>
      <c r="C125" s="2944">
        <v>12860</v>
      </c>
      <c r="D125" s="2944">
        <v>12790</v>
      </c>
      <c r="E125" s="2944">
        <v>15370</v>
      </c>
      <c r="F125" s="2944">
        <v>2280</v>
      </c>
      <c r="G125" s="2957">
        <v>8450</v>
      </c>
    </row>
    <row r="126" spans="1:7" s="2778" customFormat="1" ht="14.25" customHeight="1" thickBot="1">
      <c r="A126" s="2958" t="s">
        <v>303</v>
      </c>
      <c r="B126" s="2951" t="s">
        <v>3021</v>
      </c>
      <c r="C126" s="2951">
        <v>12960</v>
      </c>
      <c r="D126" s="2951">
        <v>12890</v>
      </c>
      <c r="E126" s="2951">
        <v>15530</v>
      </c>
      <c r="F126" s="2951">
        <v>2910</v>
      </c>
      <c r="G126" s="2959">
        <v>8520</v>
      </c>
    </row>
    <row r="127" spans="1:7" s="2778" customFormat="1" ht="14.25" customHeight="1">
      <c r="A127" s="2949" t="s">
        <v>29</v>
      </c>
      <c r="B127" s="2940" t="s">
        <v>3076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3077</v>
      </c>
      <c r="C148" s="2944">
        <v>10370</v>
      </c>
      <c r="D148" s="2944">
        <v>10310</v>
      </c>
      <c r="E148" s="2944">
        <v>12970</v>
      </c>
      <c r="F148" s="2944"/>
      <c r="G148" s="2944">
        <v>6630</v>
      </c>
    </row>
    <row r="149" spans="1:7" s="2778" customFormat="1" ht="14.25" customHeight="1">
      <c r="A149" s="2944" t="s">
        <v>29</v>
      </c>
      <c r="B149" s="2944" t="s">
        <v>3078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2952</v>
      </c>
      <c r="C153" s="2944">
        <v>10880</v>
      </c>
      <c r="D153" s="2944">
        <v>10820</v>
      </c>
      <c r="E153" s="2944">
        <v>13660</v>
      </c>
      <c r="F153" s="2944">
        <v>2260</v>
      </c>
      <c r="G153" s="2944">
        <v>6970</v>
      </c>
    </row>
    <row r="154" spans="1:7" s="2778" customFormat="1" ht="14.25" customHeight="1">
      <c r="A154" s="2944" t="s">
        <v>29</v>
      </c>
      <c r="B154" s="2944" t="s">
        <v>3079</v>
      </c>
      <c r="C154" s="2944">
        <v>11220</v>
      </c>
      <c r="D154" s="2944">
        <v>11160</v>
      </c>
      <c r="E154" s="2944">
        <v>14130</v>
      </c>
      <c r="F154" s="2944">
        <v>2230</v>
      </c>
      <c r="G154" s="2944">
        <v>7180</v>
      </c>
    </row>
    <row r="155" spans="1:7" s="2778" customFormat="1" ht="14.25" customHeight="1">
      <c r="A155" s="2944" t="s">
        <v>29</v>
      </c>
      <c r="B155" s="2944" t="s">
        <v>2965</v>
      </c>
      <c r="C155" s="2944">
        <v>10430</v>
      </c>
      <c r="D155" s="2944">
        <v>10380</v>
      </c>
      <c r="E155" s="2944">
        <v>13140</v>
      </c>
      <c r="F155" s="2944">
        <v>2080</v>
      </c>
      <c r="G155" s="2944">
        <v>6650</v>
      </c>
    </row>
    <row r="156" spans="1:7" s="2778" customFormat="1" ht="14.25" customHeight="1">
      <c r="A156" s="2944" t="s">
        <v>29</v>
      </c>
      <c r="B156" s="2944" t="s">
        <v>3080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3081</v>
      </c>
      <c r="C160" s="2944">
        <v>11180</v>
      </c>
      <c r="D160" s="2944">
        <v>11140</v>
      </c>
      <c r="E160" s="2944">
        <v>14050</v>
      </c>
      <c r="F160" s="2944">
        <v>2270</v>
      </c>
      <c r="G160" s="2944">
        <v>7170</v>
      </c>
    </row>
    <row r="161" spans="1:7" s="2778" customFormat="1" ht="14.25" customHeight="1">
      <c r="A161" s="2944" t="s">
        <v>29</v>
      </c>
      <c r="B161" s="2944" t="s">
        <v>2997</v>
      </c>
      <c r="C161" s="2944">
        <v>11160</v>
      </c>
      <c r="D161" s="2944">
        <v>11120</v>
      </c>
      <c r="E161" s="2944">
        <v>14020</v>
      </c>
      <c r="F161" s="2944">
        <v>2150</v>
      </c>
      <c r="G161" s="2944">
        <v>7160</v>
      </c>
    </row>
    <row r="162" spans="1:7" s="2778" customFormat="1" ht="14.25" customHeight="1">
      <c r="A162" s="2944" t="s">
        <v>29</v>
      </c>
      <c r="B162" s="2944" t="s">
        <v>3002</v>
      </c>
      <c r="C162" s="2944">
        <v>9620</v>
      </c>
      <c r="D162" s="2944">
        <v>9570</v>
      </c>
      <c r="E162" s="2944">
        <v>12320</v>
      </c>
      <c r="F162" s="2944">
        <v>2010</v>
      </c>
      <c r="G162" s="2944">
        <v>6160</v>
      </c>
    </row>
    <row r="163" spans="1:7" s="2778" customFormat="1" ht="14.25" customHeight="1">
      <c r="A163" s="2944" t="s">
        <v>29</v>
      </c>
      <c r="B163" s="2944" t="s">
        <v>3007</v>
      </c>
      <c r="C163" s="2944">
        <v>9320</v>
      </c>
      <c r="D163" s="2944">
        <v>9270</v>
      </c>
      <c r="E163" s="2944">
        <v>11790</v>
      </c>
      <c r="F163" s="2944">
        <v>1920</v>
      </c>
      <c r="G163" s="2944">
        <v>5960</v>
      </c>
    </row>
    <row r="164" spans="1:7" s="2778" customFormat="1" ht="14.25" customHeight="1">
      <c r="A164" s="2944" t="s">
        <v>29</v>
      </c>
      <c r="B164" s="2944" t="s">
        <v>3012</v>
      </c>
      <c r="C164" s="2944"/>
      <c r="D164" s="2944"/>
      <c r="E164" s="2944"/>
      <c r="F164" s="2944">
        <v>1980</v>
      </c>
      <c r="G164" s="2944"/>
    </row>
    <row r="165" spans="1:7" s="2778" customFormat="1" ht="14.25" customHeight="1">
      <c r="A165" s="2944" t="s">
        <v>29</v>
      </c>
      <c r="B165" s="2944" t="s">
        <v>3082</v>
      </c>
      <c r="C165" s="2944">
        <v>11060</v>
      </c>
      <c r="D165" s="2944">
        <v>11030</v>
      </c>
      <c r="E165" s="2944">
        <v>13850</v>
      </c>
      <c r="F165" s="2944">
        <v>2170</v>
      </c>
      <c r="G165" s="2944">
        <v>7090</v>
      </c>
    </row>
    <row r="166" spans="1:7" s="2778" customFormat="1" ht="14.25" customHeight="1">
      <c r="A166" s="2944" t="s">
        <v>29</v>
      </c>
      <c r="B166" s="2944" t="s">
        <v>3022</v>
      </c>
      <c r="C166" s="2944">
        <v>11050</v>
      </c>
      <c r="D166" s="2944">
        <v>11010</v>
      </c>
      <c r="E166" s="2944">
        <v>13920</v>
      </c>
      <c r="F166" s="2944">
        <v>2140</v>
      </c>
      <c r="G166" s="2944">
        <v>7080</v>
      </c>
    </row>
    <row r="167" spans="1:7" s="2778" customFormat="1" ht="14.25" customHeight="1">
      <c r="A167" s="2944" t="s">
        <v>29</v>
      </c>
      <c r="B167" s="2944" t="s">
        <v>3026</v>
      </c>
      <c r="C167" s="2944">
        <v>10930</v>
      </c>
      <c r="D167" s="2944">
        <v>10890</v>
      </c>
      <c r="E167" s="2944">
        <v>13790</v>
      </c>
      <c r="F167" s="2944">
        <v>2010</v>
      </c>
      <c r="G167" s="2944">
        <v>7000</v>
      </c>
    </row>
    <row r="168" spans="1:7" s="2778" customFormat="1" ht="14.25" customHeight="1">
      <c r="A168" s="2944" t="s">
        <v>29</v>
      </c>
      <c r="B168" s="2944" t="s">
        <v>3031</v>
      </c>
      <c r="C168" s="2944">
        <v>9420</v>
      </c>
      <c r="D168" s="2944">
        <v>9380</v>
      </c>
      <c r="E168" s="2944">
        <v>11970</v>
      </c>
      <c r="F168" s="2944"/>
      <c r="G168" s="2944">
        <v>6040</v>
      </c>
    </row>
    <row r="169" spans="1:7" s="2778" customFormat="1" ht="14.25" customHeight="1">
      <c r="A169" s="2944" t="s">
        <v>29</v>
      </c>
      <c r="B169" s="2944" t="s">
        <v>3083</v>
      </c>
      <c r="C169" s="2944"/>
      <c r="D169" s="2944"/>
      <c r="E169" s="2944"/>
      <c r="F169" s="2944">
        <v>2880</v>
      </c>
      <c r="G169" s="2944"/>
    </row>
    <row r="170" spans="1:7" s="2778" customFormat="1" ht="14.25" customHeight="1">
      <c r="A170" s="2944" t="s">
        <v>29</v>
      </c>
      <c r="B170" s="2944" t="s">
        <v>3039</v>
      </c>
      <c r="C170" s="2944"/>
      <c r="D170" s="2944"/>
      <c r="E170" s="2944"/>
      <c r="F170" s="2944">
        <v>2880</v>
      </c>
      <c r="G170" s="2944"/>
    </row>
    <row r="171" spans="1:7" s="2778" customFormat="1" ht="14.25" customHeight="1">
      <c r="A171" s="2944" t="s">
        <v>29</v>
      </c>
      <c r="B171" s="2944" t="s">
        <v>3042</v>
      </c>
      <c r="C171" s="2944"/>
      <c r="D171" s="2944"/>
      <c r="E171" s="2944"/>
      <c r="F171" s="2944">
        <v>2880</v>
      </c>
      <c r="G171" s="2944"/>
    </row>
    <row r="172" spans="1:7" s="2778" customFormat="1" ht="14.25" customHeight="1">
      <c r="A172" s="2944" t="s">
        <v>29</v>
      </c>
      <c r="B172" s="2944" t="s">
        <v>3044</v>
      </c>
      <c r="C172" s="2944"/>
      <c r="D172" s="2944"/>
      <c r="E172" s="2944"/>
      <c r="F172" s="2944">
        <v>2880</v>
      </c>
      <c r="G172" s="2944"/>
    </row>
    <row r="173" spans="1:7" s="2778" customFormat="1" ht="14.25" customHeight="1">
      <c r="A173" s="2944" t="s">
        <v>29</v>
      </c>
      <c r="B173" s="2944" t="s">
        <v>3046</v>
      </c>
      <c r="C173" s="2944"/>
      <c r="D173" s="2944"/>
      <c r="E173" s="2944"/>
      <c r="F173" s="2944">
        <v>2150</v>
      </c>
      <c r="G173" s="2944"/>
    </row>
    <row r="174" spans="1:7" s="2778" customFormat="1" ht="14.25" customHeight="1">
      <c r="A174" s="2944" t="s">
        <v>29</v>
      </c>
      <c r="B174" s="2944" t="s">
        <v>3048</v>
      </c>
      <c r="C174" s="2944"/>
      <c r="D174" s="2944"/>
      <c r="E174" s="2944"/>
      <c r="F174" s="2944">
        <v>2030</v>
      </c>
      <c r="G174" s="2944"/>
    </row>
    <row r="175" spans="1:7" s="2778" customFormat="1" ht="14.25" customHeight="1">
      <c r="A175" s="2944" t="s">
        <v>29</v>
      </c>
      <c r="B175" s="2944" t="s">
        <v>3050</v>
      </c>
      <c r="C175" s="2944"/>
      <c r="D175" s="2944"/>
      <c r="E175" s="2944"/>
      <c r="F175" s="2944">
        <v>2780</v>
      </c>
      <c r="G175" s="2944"/>
    </row>
    <row r="176" spans="1:7" s="2778" customFormat="1" ht="14.25" customHeight="1">
      <c r="A176" s="2944" t="s">
        <v>29</v>
      </c>
      <c r="B176" s="2944" t="s">
        <v>3052</v>
      </c>
      <c r="C176" s="2944"/>
      <c r="D176" s="2944"/>
      <c r="E176" s="2944"/>
      <c r="F176" s="2944">
        <v>2780</v>
      </c>
      <c r="G176" s="2944"/>
    </row>
    <row r="177" spans="1:7" s="2778" customFormat="1" ht="14.25" customHeight="1">
      <c r="A177" s="2944" t="s">
        <v>29</v>
      </c>
      <c r="B177" s="2944" t="s">
        <v>3084</v>
      </c>
      <c r="C177" s="2944"/>
      <c r="D177" s="2944"/>
      <c r="E177" s="2944"/>
      <c r="F177" s="2944">
        <v>2780</v>
      </c>
      <c r="G177" s="2944"/>
    </row>
    <row r="178" spans="1:7" s="2778" customFormat="1" ht="14.25" customHeight="1">
      <c r="A178" s="2944" t="s">
        <v>29</v>
      </c>
      <c r="B178" s="2944" t="s">
        <v>3085</v>
      </c>
      <c r="C178" s="2944"/>
      <c r="D178" s="2944"/>
      <c r="E178" s="2944"/>
      <c r="F178" s="2944">
        <v>2060</v>
      </c>
      <c r="G178" s="2944"/>
    </row>
    <row r="179" spans="1:7" s="2778" customFormat="1" ht="14.25" customHeight="1">
      <c r="A179" s="2944" t="s">
        <v>29</v>
      </c>
      <c r="B179" s="2944" t="s">
        <v>3086</v>
      </c>
      <c r="C179" s="2944"/>
      <c r="D179" s="2944"/>
      <c r="E179" s="2944"/>
      <c r="F179" s="2944">
        <v>2120</v>
      </c>
      <c r="G179" s="2944"/>
    </row>
    <row r="180" spans="1:7" s="2778" customFormat="1" ht="14.25" customHeight="1">
      <c r="A180" s="2944" t="s">
        <v>29</v>
      </c>
      <c r="B180" s="2944" t="s">
        <v>3058</v>
      </c>
      <c r="C180" s="2944"/>
      <c r="D180" s="2944"/>
      <c r="E180" s="2944"/>
      <c r="F180" s="2944">
        <v>2340</v>
      </c>
      <c r="G180" s="2944"/>
    </row>
    <row r="181" spans="1:7" s="2778" customFormat="1" ht="14.25" customHeight="1">
      <c r="A181" s="2944" t="s">
        <v>29</v>
      </c>
      <c r="B181" s="2944" t="s">
        <v>3059</v>
      </c>
      <c r="C181" s="2944"/>
      <c r="D181" s="2944"/>
      <c r="E181" s="2944"/>
      <c r="F181" s="2944">
        <v>2340</v>
      </c>
      <c r="G181" s="2944"/>
    </row>
    <row r="182" spans="1:7" s="2778" customFormat="1" ht="14.25" customHeight="1">
      <c r="A182" s="2944" t="s">
        <v>29</v>
      </c>
      <c r="B182" s="2944" t="s">
        <v>3060</v>
      </c>
      <c r="C182" s="2944"/>
      <c r="D182" s="2944"/>
      <c r="E182" s="2944"/>
      <c r="F182" s="2944">
        <v>2340</v>
      </c>
      <c r="G182" s="2944"/>
    </row>
    <row r="183" spans="1:7" s="2778" customFormat="1" ht="14.25" customHeight="1">
      <c r="A183" s="2944" t="s">
        <v>29</v>
      </c>
      <c r="B183" s="2944" t="s">
        <v>3061</v>
      </c>
      <c r="C183" s="2944"/>
      <c r="D183" s="2944"/>
      <c r="E183" s="2944"/>
      <c r="F183" s="2944">
        <v>2340</v>
      </c>
      <c r="G183" s="2944"/>
    </row>
    <row r="184" spans="1:7" s="2778" customFormat="1" ht="14.25" customHeight="1">
      <c r="A184" s="2944" t="s">
        <v>29</v>
      </c>
      <c r="B184" s="2944" t="s">
        <v>3062</v>
      </c>
      <c r="C184" s="2944"/>
      <c r="D184" s="2944"/>
      <c r="E184" s="2944"/>
      <c r="F184" s="2944">
        <v>2340</v>
      </c>
      <c r="G184" s="2944"/>
    </row>
    <row r="185" spans="1:7" s="2778" customFormat="1" ht="14.25" customHeight="1">
      <c r="A185" s="2944" t="s">
        <v>29</v>
      </c>
      <c r="B185" s="2944" t="s">
        <v>3063</v>
      </c>
      <c r="C185" s="2944"/>
      <c r="D185" s="2944"/>
      <c r="E185" s="2944"/>
      <c r="F185" s="2944">
        <v>2530</v>
      </c>
      <c r="G185" s="2944"/>
    </row>
    <row r="186" spans="1:7" s="2778" customFormat="1" ht="14.25" customHeight="1">
      <c r="A186" s="2944" t="s">
        <v>29</v>
      </c>
      <c r="B186" s="2944" t="s">
        <v>3064</v>
      </c>
      <c r="C186" s="2944"/>
      <c r="D186" s="2944"/>
      <c r="E186" s="2944"/>
      <c r="F186" s="2944">
        <v>2550</v>
      </c>
      <c r="G186" s="2944"/>
    </row>
    <row r="187" spans="1:7" s="2778" customFormat="1" ht="14.25" customHeight="1">
      <c r="A187" s="2944" t="s">
        <v>29</v>
      </c>
      <c r="B187" s="2944" t="s">
        <v>3065</v>
      </c>
      <c r="C187" s="2944"/>
      <c r="D187" s="2944"/>
      <c r="E187" s="2944"/>
      <c r="F187" s="2944">
        <v>2070</v>
      </c>
      <c r="G187" s="2944"/>
    </row>
    <row r="188" spans="1:7" s="2778" customFormat="1" ht="14.25" customHeight="1">
      <c r="A188" s="2944" t="s">
        <v>29</v>
      </c>
      <c r="B188" s="2944" t="s">
        <v>3066</v>
      </c>
      <c r="C188" s="2944"/>
      <c r="D188" s="2944"/>
      <c r="E188" s="2944"/>
      <c r="F188" s="2944">
        <v>2340</v>
      </c>
      <c r="G188" s="2944"/>
    </row>
    <row r="189" spans="1:7" s="2778" customFormat="1" ht="14.25" customHeight="1" thickBot="1">
      <c r="A189" s="2952" t="s">
        <v>29</v>
      </c>
      <c r="B189" s="2955" t="s">
        <v>3067</v>
      </c>
      <c r="C189" s="2955"/>
      <c r="D189" s="2955"/>
      <c r="E189" s="2955"/>
      <c r="F189" s="2955">
        <v>2050</v>
      </c>
      <c r="G189" s="2955"/>
    </row>
    <row r="190" spans="1:7" s="2778" customFormat="1" ht="14.25" customHeight="1">
      <c r="A190" s="2949" t="s">
        <v>304</v>
      </c>
      <c r="B190" s="2940" t="s">
        <v>3087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3088</v>
      </c>
      <c r="C199" s="2944">
        <v>8690</v>
      </c>
      <c r="D199" s="2944">
        <v>8630</v>
      </c>
      <c r="E199" s="2944">
        <v>11350</v>
      </c>
      <c r="F199" s="2944">
        <v>1600</v>
      </c>
      <c r="G199" s="2957">
        <v>5450</v>
      </c>
    </row>
    <row r="200" spans="1:7" s="2778" customFormat="1" ht="14.25" customHeight="1">
      <c r="A200" s="2944" t="s">
        <v>304</v>
      </c>
      <c r="B200" s="2944" t="s">
        <v>2899</v>
      </c>
      <c r="C200" s="2944"/>
      <c r="D200" s="2944"/>
      <c r="E200" s="2944"/>
      <c r="F200" s="2944">
        <v>1510</v>
      </c>
      <c r="G200" s="2957"/>
    </row>
    <row r="201" spans="1:7" s="2778" customFormat="1" ht="14.25" customHeight="1">
      <c r="A201" s="2944" t="s">
        <v>304</v>
      </c>
      <c r="B201" s="2944" t="s">
        <v>3089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3090</v>
      </c>
      <c r="C203" s="2944">
        <v>8130</v>
      </c>
      <c r="D203" s="2944">
        <v>8070</v>
      </c>
      <c r="E203" s="2944">
        <v>10820</v>
      </c>
      <c r="F203" s="2944">
        <v>1690</v>
      </c>
      <c r="G203" s="2957">
        <v>5100</v>
      </c>
    </row>
    <row r="204" spans="1:7" s="2778" customFormat="1" ht="14.25" customHeight="1">
      <c r="A204" s="2944" t="s">
        <v>304</v>
      </c>
      <c r="B204" s="2944" t="s">
        <v>2910</v>
      </c>
      <c r="C204" s="2944">
        <v>8350</v>
      </c>
      <c r="D204" s="2944">
        <v>8290</v>
      </c>
      <c r="E204" s="2944">
        <v>11080</v>
      </c>
      <c r="F204" s="2944">
        <v>1450</v>
      </c>
      <c r="G204" s="2957">
        <v>5240</v>
      </c>
    </row>
    <row r="205" spans="1:7" s="2778" customFormat="1" ht="14.25" customHeight="1">
      <c r="A205" s="2944" t="s">
        <v>304</v>
      </c>
      <c r="B205" s="2944" t="s">
        <v>2912</v>
      </c>
      <c r="C205" s="2944">
        <v>7190</v>
      </c>
      <c r="D205" s="2944">
        <v>7130</v>
      </c>
      <c r="E205" s="2944">
        <v>9490</v>
      </c>
      <c r="F205" s="2944">
        <v>1470</v>
      </c>
      <c r="G205" s="2957">
        <v>4510</v>
      </c>
    </row>
    <row r="206" spans="1:7" s="2778" customFormat="1" ht="14.25" customHeight="1">
      <c r="A206" s="2944" t="s">
        <v>304</v>
      </c>
      <c r="B206" s="2944" t="s">
        <v>2915</v>
      </c>
      <c r="C206" s="2944">
        <v>7000</v>
      </c>
      <c r="D206" s="2944">
        <v>6950</v>
      </c>
      <c r="E206" s="2944">
        <v>9170</v>
      </c>
      <c r="F206" s="2944">
        <v>1400</v>
      </c>
      <c r="G206" s="2957">
        <v>4380</v>
      </c>
    </row>
    <row r="207" spans="1:7" s="2778" customFormat="1" ht="14.25" customHeight="1">
      <c r="A207" s="2944" t="s">
        <v>304</v>
      </c>
      <c r="B207" s="2944" t="s">
        <v>2917</v>
      </c>
      <c r="C207" s="2944">
        <v>6950</v>
      </c>
      <c r="D207" s="2944">
        <v>6900</v>
      </c>
      <c r="E207" s="2944">
        <v>9110</v>
      </c>
      <c r="F207" s="2944">
        <v>1790</v>
      </c>
      <c r="G207" s="2957">
        <v>4360</v>
      </c>
    </row>
    <row r="208" spans="1:7" s="2778" customFormat="1" ht="14.25" customHeight="1">
      <c r="A208" s="2944" t="s">
        <v>304</v>
      </c>
      <c r="B208" s="2944" t="s">
        <v>3091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2927</v>
      </c>
      <c r="C210" s="2944">
        <v>8710</v>
      </c>
      <c r="D210" s="2944">
        <v>8660</v>
      </c>
      <c r="E210" s="2944">
        <v>11440</v>
      </c>
      <c r="F210" s="2944">
        <v>1740</v>
      </c>
      <c r="G210" s="2957">
        <v>5470</v>
      </c>
    </row>
    <row r="211" spans="1:7" s="2778" customFormat="1" ht="14.25" customHeight="1">
      <c r="A211" s="2944" t="s">
        <v>304</v>
      </c>
      <c r="B211" s="2944" t="s">
        <v>3092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3093</v>
      </c>
      <c r="C214" s="2944">
        <v>8090</v>
      </c>
      <c r="D214" s="2944">
        <v>8030</v>
      </c>
      <c r="E214" s="2944">
        <v>10780</v>
      </c>
      <c r="F214" s="2944">
        <v>1570</v>
      </c>
      <c r="G214" s="2957">
        <v>5070</v>
      </c>
    </row>
    <row r="215" spans="1:7" s="2778" customFormat="1" ht="14.25" customHeight="1">
      <c r="A215" s="2944" t="s">
        <v>304</v>
      </c>
      <c r="B215" s="2944" t="s">
        <v>3094</v>
      </c>
      <c r="C215" s="2944">
        <v>7950</v>
      </c>
      <c r="D215" s="2944">
        <v>7900</v>
      </c>
      <c r="E215" s="2944">
        <v>10560</v>
      </c>
      <c r="F215" s="2944">
        <v>1630</v>
      </c>
      <c r="G215" s="2957">
        <v>4990</v>
      </c>
    </row>
    <row r="216" spans="1:7" s="2778" customFormat="1" ht="14.25" customHeight="1">
      <c r="A216" s="2944" t="s">
        <v>304</v>
      </c>
      <c r="B216" s="2944" t="s">
        <v>3095</v>
      </c>
      <c r="C216" s="2944">
        <v>8490</v>
      </c>
      <c r="D216" s="2944">
        <v>8440</v>
      </c>
      <c r="E216" s="2944">
        <v>11260</v>
      </c>
      <c r="F216" s="2944">
        <v>1690</v>
      </c>
      <c r="G216" s="2957">
        <v>5330</v>
      </c>
    </row>
    <row r="217" spans="1:7" s="2778" customFormat="1" ht="14.25" customHeight="1">
      <c r="A217" s="2944" t="s">
        <v>304</v>
      </c>
      <c r="B217" s="2944" t="s">
        <v>2960</v>
      </c>
      <c r="C217" s="2944">
        <v>8200</v>
      </c>
      <c r="D217" s="2944">
        <v>8150</v>
      </c>
      <c r="E217" s="2944">
        <v>10910</v>
      </c>
      <c r="F217" s="2944">
        <v>1670</v>
      </c>
      <c r="G217" s="2957">
        <v>5150</v>
      </c>
    </row>
    <row r="218" spans="1:7" s="2778" customFormat="1" ht="14.25" customHeight="1">
      <c r="A218" s="2944" t="s">
        <v>304</v>
      </c>
      <c r="B218" s="2944" t="s">
        <v>3096</v>
      </c>
      <c r="C218" s="2944"/>
      <c r="D218" s="2944"/>
      <c r="E218" s="2944"/>
      <c r="F218" s="2944">
        <v>2040</v>
      </c>
      <c r="G218" s="2957"/>
    </row>
    <row r="219" spans="1:7" s="2778" customFormat="1" ht="14.25" customHeight="1">
      <c r="A219" s="2944" t="s">
        <v>304</v>
      </c>
      <c r="B219" s="2944" t="s">
        <v>3097</v>
      </c>
      <c r="C219" s="2944"/>
      <c r="D219" s="2944"/>
      <c r="E219" s="2944"/>
      <c r="F219" s="2944">
        <v>2040</v>
      </c>
      <c r="G219" s="2957"/>
    </row>
    <row r="220" spans="1:7" s="2778" customFormat="1" ht="14.25" customHeight="1">
      <c r="A220" s="2944" t="s">
        <v>304</v>
      </c>
      <c r="B220" s="2944" t="s">
        <v>3098</v>
      </c>
      <c r="C220" s="2944"/>
      <c r="D220" s="2944"/>
      <c r="E220" s="2944"/>
      <c r="F220" s="2944">
        <v>2040</v>
      </c>
      <c r="G220" s="2957"/>
    </row>
    <row r="221" spans="1:7" s="2778" customFormat="1" ht="14.25" customHeight="1">
      <c r="A221" s="2944" t="s">
        <v>304</v>
      </c>
      <c r="B221" s="2944" t="s">
        <v>3099</v>
      </c>
      <c r="C221" s="2944"/>
      <c r="D221" s="2944"/>
      <c r="E221" s="2944"/>
      <c r="F221" s="2944">
        <v>2040</v>
      </c>
      <c r="G221" s="2957"/>
    </row>
    <row r="222" spans="1:7" s="2778" customFormat="1" ht="14.25" customHeight="1">
      <c r="A222" s="2944" t="s">
        <v>304</v>
      </c>
      <c r="B222" s="2944" t="s">
        <v>3100</v>
      </c>
      <c r="C222" s="2944"/>
      <c r="D222" s="2944"/>
      <c r="E222" s="2944"/>
      <c r="F222" s="2944">
        <v>2040</v>
      </c>
      <c r="G222" s="2957"/>
    </row>
    <row r="223" spans="1:7" s="2778" customFormat="1" ht="14.25" customHeight="1">
      <c r="A223" s="2944" t="s">
        <v>304</v>
      </c>
      <c r="B223" s="2944" t="s">
        <v>3101</v>
      </c>
      <c r="C223" s="2944"/>
      <c r="D223" s="2944"/>
      <c r="E223" s="2944"/>
      <c r="F223" s="2944">
        <v>1930</v>
      </c>
      <c r="G223" s="2957"/>
    </row>
    <row r="224" spans="1:7" s="2778" customFormat="1" ht="14.25" customHeight="1">
      <c r="A224" s="2944" t="s">
        <v>304</v>
      </c>
      <c r="B224" s="2944" t="s">
        <v>3102</v>
      </c>
      <c r="C224" s="2944"/>
      <c r="D224" s="2944"/>
      <c r="E224" s="2944"/>
      <c r="F224" s="2944">
        <v>1930</v>
      </c>
      <c r="G224" s="2957"/>
    </row>
    <row r="225" spans="1:7" s="2778" customFormat="1" ht="14.25" customHeight="1">
      <c r="A225" s="2944" t="s">
        <v>304</v>
      </c>
      <c r="B225" s="2944" t="s">
        <v>3103</v>
      </c>
      <c r="C225" s="2944"/>
      <c r="D225" s="2944"/>
      <c r="E225" s="2944"/>
      <c r="F225" s="2944">
        <v>1930</v>
      </c>
      <c r="G225" s="2957"/>
    </row>
    <row r="226" spans="1:7" s="2778" customFormat="1" ht="14.25" customHeight="1">
      <c r="A226" s="2944" t="s">
        <v>304</v>
      </c>
      <c r="B226" s="2944" t="s">
        <v>3104</v>
      </c>
      <c r="C226" s="2944"/>
      <c r="D226" s="2944"/>
      <c r="E226" s="2944"/>
      <c r="F226" s="2944">
        <v>1700</v>
      </c>
      <c r="G226" s="2957"/>
    </row>
    <row r="227" spans="1:7" s="2778" customFormat="1" ht="14.25" customHeight="1">
      <c r="A227" s="2944" t="s">
        <v>304</v>
      </c>
      <c r="B227" s="2944" t="s">
        <v>3105</v>
      </c>
      <c r="C227" s="2944"/>
      <c r="D227" s="2944"/>
      <c r="E227" s="2944"/>
      <c r="F227" s="2944">
        <v>1520</v>
      </c>
      <c r="G227" s="2957"/>
    </row>
    <row r="228" spans="1:7" s="2778" customFormat="1" ht="14.25" customHeight="1">
      <c r="A228" s="2944" t="s">
        <v>304</v>
      </c>
      <c r="B228" s="2944" t="s">
        <v>3106</v>
      </c>
      <c r="C228" s="2944"/>
      <c r="D228" s="2944"/>
      <c r="E228" s="2944"/>
      <c r="F228" s="2944">
        <v>1520</v>
      </c>
      <c r="G228" s="2957"/>
    </row>
    <row r="229" spans="1:7" s="2778" customFormat="1" ht="14.25" customHeight="1">
      <c r="A229" s="2944" t="s">
        <v>304</v>
      </c>
      <c r="B229" s="2944" t="s">
        <v>3023</v>
      </c>
      <c r="C229" s="2944"/>
      <c r="D229" s="2944"/>
      <c r="E229" s="2944"/>
      <c r="F229" s="2944">
        <v>1520</v>
      </c>
      <c r="G229" s="2957"/>
    </row>
    <row r="230" spans="1:7" s="2778" customFormat="1" ht="14.25" customHeight="1">
      <c r="A230" s="2944" t="s">
        <v>304</v>
      </c>
      <c r="B230" s="2944" t="s">
        <v>3107</v>
      </c>
      <c r="C230" s="2944"/>
      <c r="D230" s="2944"/>
      <c r="E230" s="2944"/>
      <c r="F230" s="2944">
        <v>1820</v>
      </c>
      <c r="G230" s="2957"/>
    </row>
    <row r="231" spans="1:7" s="2778" customFormat="1" ht="14.25" customHeight="1">
      <c r="A231" s="2944" t="s">
        <v>304</v>
      </c>
      <c r="B231" s="2944" t="s">
        <v>3108</v>
      </c>
      <c r="C231" s="2944"/>
      <c r="D231" s="2944"/>
      <c r="E231" s="2944"/>
      <c r="F231" s="2944">
        <v>1760</v>
      </c>
      <c r="G231" s="2957"/>
    </row>
    <row r="232" spans="1:7" s="2778" customFormat="1" ht="14.25" customHeight="1">
      <c r="A232" s="2944" t="s">
        <v>304</v>
      </c>
      <c r="B232" s="2944" t="s">
        <v>3109</v>
      </c>
      <c r="C232" s="2944"/>
      <c r="D232" s="2944"/>
      <c r="E232" s="2944"/>
      <c r="F232" s="2944">
        <v>1840</v>
      </c>
      <c r="G232" s="2957"/>
    </row>
    <row r="233" spans="1:7" s="2778" customFormat="1" ht="14.25" customHeight="1" thickBot="1">
      <c r="A233" s="2958" t="s">
        <v>304</v>
      </c>
      <c r="B233" s="2951" t="s">
        <v>3040</v>
      </c>
      <c r="C233" s="2951"/>
      <c r="D233" s="2951"/>
      <c r="E233" s="2951"/>
      <c r="F233" s="2951">
        <v>1770</v>
      </c>
      <c r="G233" s="2959"/>
    </row>
    <row r="234" spans="1:7" s="2778" customFormat="1" ht="14.25" customHeight="1">
      <c r="A234" s="2949" t="s">
        <v>305</v>
      </c>
      <c r="B234" s="2940" t="s">
        <v>3110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2881</v>
      </c>
      <c r="C238" s="2944">
        <v>6920</v>
      </c>
      <c r="D238" s="2944">
        <v>6890</v>
      </c>
      <c r="E238" s="2944">
        <v>8640</v>
      </c>
      <c r="F238" s="2944">
        <v>1310</v>
      </c>
      <c r="G238" s="2944">
        <v>4230</v>
      </c>
    </row>
    <row r="239" spans="1:7" s="2778" customFormat="1" ht="14.25" customHeight="1">
      <c r="A239" s="2944" t="s">
        <v>305</v>
      </c>
      <c r="B239" s="2944" t="s">
        <v>3111</v>
      </c>
      <c r="C239" s="2944">
        <v>6780</v>
      </c>
      <c r="D239" s="2944">
        <v>6750</v>
      </c>
      <c r="E239" s="2944">
        <v>8440</v>
      </c>
      <c r="F239" s="2944">
        <v>1160</v>
      </c>
      <c r="G239" s="2944">
        <v>4140</v>
      </c>
    </row>
    <row r="240" spans="1:7" s="2778" customFormat="1" ht="14.25" customHeight="1">
      <c r="A240" s="2944" t="s">
        <v>305</v>
      </c>
      <c r="B240" s="2944" t="s">
        <v>3112</v>
      </c>
      <c r="C240" s="2944">
        <v>5420</v>
      </c>
      <c r="D240" s="2944">
        <v>5380</v>
      </c>
      <c r="E240" s="2944">
        <v>6640</v>
      </c>
      <c r="F240" s="2944">
        <v>1020</v>
      </c>
      <c r="G240" s="2944">
        <v>3300</v>
      </c>
    </row>
    <row r="241" spans="1:7" s="2778" customFormat="1" ht="14.25" customHeight="1">
      <c r="A241" s="2944" t="s">
        <v>305</v>
      </c>
      <c r="B241" s="2944" t="s">
        <v>3113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2943</v>
      </c>
      <c r="C258" s="2944">
        <v>6190</v>
      </c>
      <c r="D258" s="2944">
        <v>6160</v>
      </c>
      <c r="E258" s="2944">
        <v>7680</v>
      </c>
      <c r="F258" s="2944">
        <v>1170</v>
      </c>
      <c r="G258" s="2944">
        <v>3780</v>
      </c>
    </row>
    <row r="259" spans="1:7" s="2778" customFormat="1" ht="14.25" customHeight="1">
      <c r="A259" s="2944" t="s">
        <v>305</v>
      </c>
      <c r="B259" s="2944" t="s">
        <v>3119</v>
      </c>
      <c r="C259" s="2944">
        <v>7610</v>
      </c>
      <c r="D259" s="2944">
        <v>7570</v>
      </c>
      <c r="E259" s="2944">
        <v>9350</v>
      </c>
      <c r="F259" s="2944">
        <v>1350</v>
      </c>
      <c r="G259" s="2944">
        <v>4650</v>
      </c>
    </row>
    <row r="260" spans="1:7" s="2778" customFormat="1" ht="14.25" customHeight="1">
      <c r="A260" s="2944" t="s">
        <v>305</v>
      </c>
      <c r="B260" s="2944" t="s">
        <v>3120</v>
      </c>
      <c r="C260" s="2944">
        <v>6920</v>
      </c>
      <c r="D260" s="2944">
        <v>6880</v>
      </c>
      <c r="E260" s="2944">
        <v>8380</v>
      </c>
      <c r="F260" s="2944">
        <v>1160</v>
      </c>
      <c r="G260" s="2944">
        <v>4220</v>
      </c>
    </row>
    <row r="261" spans="1:7" s="2778" customFormat="1" ht="14.25" customHeight="1">
      <c r="A261" s="2944" t="s">
        <v>305</v>
      </c>
      <c r="B261" s="2944" t="s">
        <v>3121</v>
      </c>
      <c r="C261" s="2944">
        <v>6850</v>
      </c>
      <c r="D261" s="2944">
        <v>6810</v>
      </c>
      <c r="E261" s="2944">
        <v>8290</v>
      </c>
      <c r="F261" s="2944">
        <v>1130</v>
      </c>
      <c r="G261" s="2944">
        <v>4180</v>
      </c>
    </row>
    <row r="262" spans="1:7" s="2778" customFormat="1" ht="14.25" customHeight="1">
      <c r="A262" s="2944" t="s">
        <v>305</v>
      </c>
      <c r="B262" s="2944" t="s">
        <v>3122</v>
      </c>
      <c r="C262" s="2944">
        <v>5860</v>
      </c>
      <c r="D262" s="2944">
        <v>5820</v>
      </c>
      <c r="E262" s="2944">
        <v>7640</v>
      </c>
      <c r="F262" s="2944">
        <v>1070</v>
      </c>
      <c r="G262" s="2944">
        <v>3570</v>
      </c>
    </row>
    <row r="263" spans="1:7" s="2778" customFormat="1" ht="14.25" customHeight="1">
      <c r="A263" s="2944" t="s">
        <v>305</v>
      </c>
      <c r="B263" s="2944" t="s">
        <v>3123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3124</v>
      </c>
      <c r="C265" s="2944"/>
      <c r="D265" s="2944"/>
      <c r="E265" s="2944"/>
      <c r="F265" s="2944">
        <v>1500</v>
      </c>
      <c r="G265" s="2944"/>
    </row>
    <row r="266" spans="1:7" s="2778" customFormat="1" ht="14.25" customHeight="1">
      <c r="A266" s="2944" t="s">
        <v>305</v>
      </c>
      <c r="B266" s="2944" t="s">
        <v>3125</v>
      </c>
      <c r="C266" s="2944"/>
      <c r="D266" s="2944"/>
      <c r="E266" s="2944"/>
      <c r="F266" s="2944">
        <v>1500</v>
      </c>
      <c r="G266" s="2944"/>
    </row>
    <row r="267" spans="1:7" s="2778" customFormat="1" ht="14.25" customHeight="1">
      <c r="A267" s="2944" t="s">
        <v>305</v>
      </c>
      <c r="B267" s="2944" t="s">
        <v>3126</v>
      </c>
      <c r="C267" s="2944"/>
      <c r="D267" s="2944"/>
      <c r="E267" s="2944"/>
      <c r="F267" s="2944">
        <v>1500</v>
      </c>
      <c r="G267" s="2944"/>
    </row>
    <row r="268" spans="1:7" s="2778" customFormat="1" ht="14.25" customHeight="1">
      <c r="A268" s="2944" t="s">
        <v>305</v>
      </c>
      <c r="B268" s="2944" t="s">
        <v>3127</v>
      </c>
      <c r="C268" s="2944"/>
      <c r="D268" s="2944"/>
      <c r="E268" s="2944"/>
      <c r="F268" s="2944">
        <v>1290</v>
      </c>
      <c r="G268" s="2944"/>
    </row>
    <row r="269" spans="1:7" s="2778" customFormat="1" ht="14.25" customHeight="1">
      <c r="A269" s="2944" t="s">
        <v>305</v>
      </c>
      <c r="B269" s="2944" t="s">
        <v>3128</v>
      </c>
      <c r="C269" s="2944"/>
      <c r="D269" s="2944"/>
      <c r="E269" s="2944"/>
      <c r="F269" s="2944">
        <v>1150</v>
      </c>
      <c r="G269" s="2944"/>
    </row>
    <row r="270" spans="1:7" s="2778" customFormat="1" ht="14.25" customHeight="1">
      <c r="A270" s="2944" t="s">
        <v>305</v>
      </c>
      <c r="B270" s="2944" t="s">
        <v>3129</v>
      </c>
      <c r="C270" s="2944"/>
      <c r="D270" s="2944"/>
      <c r="E270" s="2944"/>
      <c r="F270" s="2944">
        <v>1380</v>
      </c>
      <c r="G270" s="2944"/>
    </row>
    <row r="271" spans="1:7" s="2778" customFormat="1" ht="14.25" customHeight="1">
      <c r="A271" s="2944" t="s">
        <v>305</v>
      </c>
      <c r="B271" s="2944" t="s">
        <v>3130</v>
      </c>
      <c r="C271" s="2944"/>
      <c r="D271" s="2944"/>
      <c r="E271" s="2944"/>
      <c r="F271" s="2944">
        <v>1460</v>
      </c>
      <c r="G271" s="2944"/>
    </row>
    <row r="272" spans="1:7" s="2778" customFormat="1" ht="14.25" customHeight="1">
      <c r="A272" s="2944" t="s">
        <v>305</v>
      </c>
      <c r="B272" s="2944" t="s">
        <v>3131</v>
      </c>
      <c r="C272" s="2944"/>
      <c r="D272" s="2944"/>
      <c r="E272" s="2944"/>
      <c r="F272" s="2944">
        <v>1460</v>
      </c>
      <c r="G272" s="2944"/>
    </row>
    <row r="273" spans="1:7" s="2778" customFormat="1" ht="14.25" customHeight="1">
      <c r="A273" s="2944" t="s">
        <v>305</v>
      </c>
      <c r="B273" s="2944" t="s">
        <v>3024</v>
      </c>
      <c r="C273" s="2944"/>
      <c r="D273" s="2944"/>
      <c r="E273" s="2944"/>
      <c r="F273" s="2944">
        <v>1490</v>
      </c>
      <c r="G273" s="2944"/>
    </row>
    <row r="274" spans="1:7" s="2778" customFormat="1" ht="14.25" customHeight="1">
      <c r="A274" s="2944" t="s">
        <v>305</v>
      </c>
      <c r="B274" s="2944" t="s">
        <v>3132</v>
      </c>
      <c r="C274" s="2944"/>
      <c r="D274" s="2944"/>
      <c r="E274" s="2944"/>
      <c r="F274" s="2944">
        <v>1490</v>
      </c>
      <c r="G274" s="2944"/>
    </row>
    <row r="275" spans="1:7" s="2778" customFormat="1" ht="14.25" customHeight="1">
      <c r="A275" s="2944" t="s">
        <v>305</v>
      </c>
      <c r="B275" s="2944" t="s">
        <v>3133</v>
      </c>
      <c r="C275" s="2944"/>
      <c r="D275" s="2944"/>
      <c r="E275" s="2944"/>
      <c r="F275" s="2944">
        <v>1220</v>
      </c>
      <c r="G275" s="2944"/>
    </row>
    <row r="276" spans="1:7" s="2778" customFormat="1" ht="14.25" customHeight="1" thickBot="1">
      <c r="A276" s="2952" t="s">
        <v>305</v>
      </c>
      <c r="B276" s="2954" t="s">
        <v>3134</v>
      </c>
      <c r="C276" s="2955"/>
      <c r="D276" s="2955"/>
      <c r="E276" s="2955"/>
      <c r="F276" s="2955">
        <v>1380</v>
      </c>
      <c r="G276" s="2955"/>
    </row>
    <row r="277" spans="1:7" s="2778" customFormat="1" ht="14.25" customHeight="1">
      <c r="A277" s="2949" t="s">
        <v>306</v>
      </c>
      <c r="B277" s="2940" t="s">
        <v>3135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3136</v>
      </c>
      <c r="C279" s="2944">
        <v>4760</v>
      </c>
      <c r="D279" s="2944">
        <v>4720</v>
      </c>
      <c r="E279" s="2944">
        <v>5540</v>
      </c>
      <c r="F279" s="2944">
        <v>810</v>
      </c>
      <c r="G279" s="2957">
        <v>2850</v>
      </c>
    </row>
    <row r="280" spans="1:7" s="2778" customFormat="1" ht="14.25" customHeight="1">
      <c r="A280" s="2944" t="s">
        <v>306</v>
      </c>
      <c r="B280" s="2944" t="s">
        <v>3137</v>
      </c>
      <c r="C280" s="2944">
        <v>4010</v>
      </c>
      <c r="D280" s="2944">
        <v>3950</v>
      </c>
      <c r="E280" s="2944">
        <v>4710</v>
      </c>
      <c r="F280" s="2944">
        <v>800</v>
      </c>
      <c r="G280" s="2957">
        <v>2390</v>
      </c>
    </row>
    <row r="281" spans="1:7" s="2778" customFormat="1" ht="14.25" customHeight="1">
      <c r="A281" s="2944" t="s">
        <v>306</v>
      </c>
      <c r="B281" s="2944" t="s">
        <v>3138</v>
      </c>
      <c r="C281" s="2944">
        <v>4480</v>
      </c>
      <c r="D281" s="2944">
        <v>4420</v>
      </c>
      <c r="E281" s="2944">
        <v>5230</v>
      </c>
      <c r="F281" s="2944">
        <v>870</v>
      </c>
      <c r="G281" s="2957">
        <v>2660</v>
      </c>
    </row>
    <row r="282" spans="1:7" s="2778" customFormat="1" ht="14.25" customHeight="1">
      <c r="A282" s="2944" t="s">
        <v>306</v>
      </c>
      <c r="B282" s="2944" t="s">
        <v>3139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2916</v>
      </c>
      <c r="C293" s="2944">
        <v>5320</v>
      </c>
      <c r="D293" s="2944">
        <v>5270</v>
      </c>
      <c r="E293" s="2944">
        <v>6160</v>
      </c>
      <c r="F293" s="2944">
        <v>990</v>
      </c>
      <c r="G293" s="2957">
        <v>3170</v>
      </c>
    </row>
    <row r="294" spans="1:7" s="2778" customFormat="1" ht="14.25" customHeight="1">
      <c r="A294" s="2944" t="s">
        <v>306</v>
      </c>
      <c r="B294" s="2944" t="s">
        <v>3142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3143</v>
      </c>
      <c r="C302" s="2944">
        <v>5520</v>
      </c>
      <c r="D302" s="2944">
        <v>5470</v>
      </c>
      <c r="E302" s="2944">
        <v>6410</v>
      </c>
      <c r="F302" s="2944">
        <v>950</v>
      </c>
      <c r="G302" s="2957">
        <v>3300</v>
      </c>
    </row>
    <row r="303" spans="1:7" s="2778" customFormat="1" ht="14.25" customHeight="1">
      <c r="A303" s="2944" t="s">
        <v>306</v>
      </c>
      <c r="B303" s="2944" t="s">
        <v>2955</v>
      </c>
      <c r="C303" s="2944">
        <v>5630</v>
      </c>
      <c r="D303" s="2944">
        <v>5590</v>
      </c>
      <c r="E303" s="2944">
        <v>6550</v>
      </c>
      <c r="F303" s="2944">
        <v>1010</v>
      </c>
      <c r="G303" s="2957">
        <v>3370</v>
      </c>
    </row>
    <row r="304" spans="1:7" s="2778" customFormat="1" ht="14.25" customHeight="1">
      <c r="A304" s="2944" t="s">
        <v>306</v>
      </c>
      <c r="B304" s="2944" t="s">
        <v>2962</v>
      </c>
      <c r="C304" s="2944">
        <v>5680</v>
      </c>
      <c r="D304" s="2944">
        <v>5620</v>
      </c>
      <c r="E304" s="2944">
        <v>6620</v>
      </c>
      <c r="F304" s="2944">
        <v>1050</v>
      </c>
      <c r="G304" s="2957">
        <v>3390</v>
      </c>
    </row>
    <row r="305" spans="1:7" s="2778" customFormat="1" ht="14.25" customHeight="1">
      <c r="A305" s="2944" t="s">
        <v>306</v>
      </c>
      <c r="B305" s="2944" t="s">
        <v>2968</v>
      </c>
      <c r="C305" s="2944">
        <v>5590</v>
      </c>
      <c r="D305" s="2944">
        <v>5530</v>
      </c>
      <c r="E305" s="2944">
        <v>6460</v>
      </c>
      <c r="F305" s="2944">
        <v>900</v>
      </c>
      <c r="G305" s="2957">
        <v>3340</v>
      </c>
    </row>
    <row r="306" spans="1:7" s="2778" customFormat="1" ht="14.25" customHeight="1">
      <c r="A306" s="2944" t="s">
        <v>306</v>
      </c>
      <c r="B306" s="2944" t="s">
        <v>3144</v>
      </c>
      <c r="C306" s="2944">
        <v>5560</v>
      </c>
      <c r="D306" s="2944">
        <v>5510</v>
      </c>
      <c r="E306" s="2944">
        <v>6440</v>
      </c>
      <c r="F306" s="2944">
        <v>900</v>
      </c>
      <c r="G306" s="2957">
        <v>3320</v>
      </c>
    </row>
    <row r="307" spans="1:7" s="2778" customFormat="1" ht="14.25" customHeight="1">
      <c r="A307" s="2944" t="s">
        <v>306</v>
      </c>
      <c r="B307" s="2944" t="s">
        <v>2980</v>
      </c>
      <c r="C307" s="2944">
        <v>5650</v>
      </c>
      <c r="D307" s="2944">
        <v>5600</v>
      </c>
      <c r="E307" s="2944">
        <v>6590</v>
      </c>
      <c r="F307" s="2944">
        <v>930</v>
      </c>
      <c r="G307" s="2957">
        <v>3380</v>
      </c>
    </row>
    <row r="308" spans="1:7" s="2778" customFormat="1" ht="14.25" customHeight="1">
      <c r="A308" s="2944" t="s">
        <v>306</v>
      </c>
      <c r="B308" s="2944" t="s">
        <v>3145</v>
      </c>
      <c r="C308" s="2944">
        <v>5620</v>
      </c>
      <c r="D308" s="2944">
        <v>5580</v>
      </c>
      <c r="E308" s="2944">
        <v>6540</v>
      </c>
      <c r="F308" s="2944">
        <v>910</v>
      </c>
      <c r="G308" s="2957">
        <v>3370</v>
      </c>
    </row>
    <row r="309" spans="1:7" s="2778" customFormat="1" ht="14.25" customHeight="1">
      <c r="A309" s="2944" t="s">
        <v>306</v>
      </c>
      <c r="B309" s="2944" t="s">
        <v>3146</v>
      </c>
      <c r="C309" s="2944">
        <v>5060</v>
      </c>
      <c r="D309" s="2944">
        <v>5020</v>
      </c>
      <c r="E309" s="2944">
        <v>6370</v>
      </c>
      <c r="F309" s="2944">
        <v>800</v>
      </c>
      <c r="G309" s="2957">
        <v>3020</v>
      </c>
    </row>
    <row r="310" spans="1:7" s="2778" customFormat="1" ht="14.25" customHeight="1">
      <c r="A310" s="2944" t="s">
        <v>306</v>
      </c>
      <c r="B310" s="2944" t="s">
        <v>2995</v>
      </c>
      <c r="C310" s="2944">
        <v>5150</v>
      </c>
      <c r="D310" s="2944">
        <v>5110</v>
      </c>
      <c r="E310" s="2944">
        <v>6500</v>
      </c>
      <c r="F310" s="2944">
        <v>880</v>
      </c>
      <c r="G310" s="2957">
        <v>3080</v>
      </c>
    </row>
    <row r="311" spans="1:7" s="2778" customFormat="1" ht="14.25" customHeight="1">
      <c r="A311" s="2944" t="s">
        <v>306</v>
      </c>
      <c r="B311" s="2944" t="s">
        <v>3147</v>
      </c>
      <c r="C311" s="2944">
        <v>4750</v>
      </c>
      <c r="D311" s="2944">
        <v>4710</v>
      </c>
      <c r="E311" s="2944">
        <v>5510</v>
      </c>
      <c r="F311" s="2944">
        <v>880</v>
      </c>
      <c r="G311" s="2957">
        <v>2840</v>
      </c>
    </row>
    <row r="312" spans="1:7" s="2778" customFormat="1" ht="14.25" customHeight="1">
      <c r="A312" s="2944" t="s">
        <v>306</v>
      </c>
      <c r="B312" s="2944" t="s">
        <v>3005</v>
      </c>
      <c r="C312" s="2944">
        <v>4690</v>
      </c>
      <c r="D312" s="2944">
        <v>4640</v>
      </c>
      <c r="E312" s="2944">
        <v>5420</v>
      </c>
      <c r="F312" s="2944">
        <v>800</v>
      </c>
      <c r="G312" s="2957">
        <v>2800</v>
      </c>
    </row>
    <row r="313" spans="1:7" s="2778" customFormat="1" ht="14.25" customHeight="1">
      <c r="A313" s="2944" t="s">
        <v>306</v>
      </c>
      <c r="B313" s="2944" t="s">
        <v>3010</v>
      </c>
      <c r="C313" s="2944">
        <v>4810</v>
      </c>
      <c r="D313" s="2944">
        <v>4760</v>
      </c>
      <c r="E313" s="2944">
        <v>5550</v>
      </c>
      <c r="F313" s="2944">
        <v>920</v>
      </c>
      <c r="G313" s="2957">
        <v>2870</v>
      </c>
    </row>
    <row r="314" spans="1:7" s="2778" customFormat="1" ht="14.25" customHeight="1">
      <c r="A314" s="2944" t="s">
        <v>306</v>
      </c>
      <c r="B314" s="2944" t="s">
        <v>3148</v>
      </c>
      <c r="C314" s="2944"/>
      <c r="D314" s="2944"/>
      <c r="E314" s="2944"/>
      <c r="F314" s="2944">
        <v>1020</v>
      </c>
      <c r="G314" s="2957"/>
    </row>
    <row r="315" spans="1:7" s="2778" customFormat="1" ht="14.25" customHeight="1">
      <c r="A315" s="2944" t="s">
        <v>306</v>
      </c>
      <c r="B315" s="2944" t="s">
        <v>3149</v>
      </c>
      <c r="C315" s="2944"/>
      <c r="D315" s="2944"/>
      <c r="E315" s="2944"/>
      <c r="F315" s="2944">
        <v>1050</v>
      </c>
      <c r="G315" s="2957"/>
    </row>
    <row r="316" spans="1:7" s="2778" customFormat="1" ht="14.25" customHeight="1">
      <c r="A316" s="2944" t="s">
        <v>306</v>
      </c>
      <c r="B316" s="2944" t="s">
        <v>3025</v>
      </c>
      <c r="C316" s="2944"/>
      <c r="D316" s="2944"/>
      <c r="E316" s="2944"/>
      <c r="F316" s="2944">
        <v>900</v>
      </c>
      <c r="G316" s="2957"/>
    </row>
    <row r="317" spans="1:7" s="2778" customFormat="1" ht="14.25" customHeight="1">
      <c r="A317" s="2944" t="s">
        <v>306</v>
      </c>
      <c r="B317" s="2944" t="s">
        <v>3150</v>
      </c>
      <c r="C317" s="2944"/>
      <c r="D317" s="2944"/>
      <c r="E317" s="2944"/>
      <c r="F317" s="2944">
        <v>920</v>
      </c>
      <c r="G317" s="2957"/>
    </row>
    <row r="318" spans="1:7" s="2778" customFormat="1" ht="14.25" customHeight="1">
      <c r="A318" s="2944" t="s">
        <v>306</v>
      </c>
      <c r="B318" s="2944" t="s">
        <v>3151</v>
      </c>
      <c r="C318" s="2944"/>
      <c r="D318" s="2944"/>
      <c r="E318" s="2944"/>
      <c r="F318" s="2944">
        <v>1080</v>
      </c>
      <c r="G318" s="2957"/>
    </row>
    <row r="319" spans="1:7" s="2778" customFormat="1" ht="14.25" customHeight="1">
      <c r="A319" s="2944" t="s">
        <v>306</v>
      </c>
      <c r="B319" s="2944" t="s">
        <v>3038</v>
      </c>
      <c r="C319" s="2944"/>
      <c r="D319" s="2944"/>
      <c r="E319" s="2944"/>
      <c r="F319" s="2944">
        <v>1020</v>
      </c>
      <c r="G319" s="2957"/>
    </row>
    <row r="320" spans="1:7" s="2778" customFormat="1" ht="14.25" customHeight="1">
      <c r="A320" s="2944" t="s">
        <v>306</v>
      </c>
      <c r="B320" s="2944" t="s">
        <v>3041</v>
      </c>
      <c r="C320" s="2944"/>
      <c r="D320" s="2944"/>
      <c r="E320" s="2944"/>
      <c r="F320" s="2944">
        <v>1050</v>
      </c>
      <c r="G320" s="2957"/>
    </row>
    <row r="321" spans="1:7" s="2778" customFormat="1" ht="14.25" customHeight="1">
      <c r="A321" s="2944" t="s">
        <v>306</v>
      </c>
      <c r="B321" s="2944" t="s">
        <v>3043</v>
      </c>
      <c r="C321" s="2944"/>
      <c r="D321" s="2944"/>
      <c r="E321" s="2944"/>
      <c r="F321" s="2944">
        <v>960</v>
      </c>
      <c r="G321" s="2957"/>
    </row>
    <row r="322" spans="1:7" s="2778" customFormat="1" ht="14.25" customHeight="1">
      <c r="A322" s="2944" t="s">
        <v>306</v>
      </c>
      <c r="B322" s="2944" t="s">
        <v>3045</v>
      </c>
      <c r="C322" s="2944"/>
      <c r="D322" s="2944"/>
      <c r="E322" s="2944"/>
      <c r="F322" s="2944">
        <v>960</v>
      </c>
      <c r="G322" s="2957"/>
    </row>
    <row r="323" spans="1:7" s="2778" customFormat="1" ht="14.25" customHeight="1">
      <c r="A323" s="2944" t="s">
        <v>306</v>
      </c>
      <c r="B323" s="2944" t="s">
        <v>3047</v>
      </c>
      <c r="C323" s="2944"/>
      <c r="D323" s="2944"/>
      <c r="E323" s="2944"/>
      <c r="F323" s="2944">
        <v>880</v>
      </c>
      <c r="G323" s="2957"/>
    </row>
    <row r="324" spans="1:7" s="2778" customFormat="1" ht="14.25" customHeight="1">
      <c r="A324" s="2944" t="s">
        <v>306</v>
      </c>
      <c r="B324" s="2944" t="s">
        <v>3049</v>
      </c>
      <c r="C324" s="2944"/>
      <c r="D324" s="2944"/>
      <c r="E324" s="2944"/>
      <c r="F324" s="2944">
        <v>930</v>
      </c>
      <c r="G324" s="2957"/>
    </row>
    <row r="325" spans="1:7" s="2778" customFormat="1" ht="14.25" customHeight="1">
      <c r="A325" s="2944" t="s">
        <v>306</v>
      </c>
      <c r="B325" s="2945" t="s">
        <v>3051</v>
      </c>
      <c r="C325" s="2944"/>
      <c r="D325" s="2944"/>
      <c r="E325" s="2944"/>
      <c r="F325" s="2944">
        <v>900</v>
      </c>
      <c r="G325" s="2957"/>
    </row>
    <row r="326" spans="1:7" s="2778" customFormat="1" ht="14.25" customHeight="1" thickBot="1">
      <c r="A326" s="2958" t="s">
        <v>306</v>
      </c>
      <c r="B326" s="2951" t="s">
        <v>3053</v>
      </c>
      <c r="C326" s="2951"/>
      <c r="D326" s="2951"/>
      <c r="E326" s="2951"/>
      <c r="F326" s="2951">
        <v>790</v>
      </c>
      <c r="G326" s="2959"/>
    </row>
    <row r="327" spans="1:7" s="2778" customFormat="1" ht="14.25" customHeight="1">
      <c r="A327" s="2949" t="s">
        <v>307</v>
      </c>
      <c r="B327" s="2940" t="s">
        <v>3152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3153</v>
      </c>
      <c r="C329" s="2944">
        <v>2730</v>
      </c>
      <c r="D329" s="2944">
        <v>2690</v>
      </c>
      <c r="E329" s="2944">
        <v>3100</v>
      </c>
      <c r="F329" s="2944">
        <v>660</v>
      </c>
      <c r="G329" s="2944">
        <v>1610</v>
      </c>
    </row>
    <row r="330" spans="1:7" s="2778" customFormat="1" ht="14.25" customHeight="1">
      <c r="A330" s="2944" t="s">
        <v>307</v>
      </c>
      <c r="B330" s="2944" t="s">
        <v>3154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2887</v>
      </c>
      <c r="C332" s="2944">
        <v>3520</v>
      </c>
      <c r="D332" s="2944">
        <v>3480</v>
      </c>
      <c r="E332" s="2944">
        <v>3830</v>
      </c>
      <c r="F332" s="2944">
        <v>720</v>
      </c>
      <c r="G332" s="2944">
        <v>2090</v>
      </c>
    </row>
    <row r="333" spans="1:7" s="2778" customFormat="1" ht="14.25" customHeight="1">
      <c r="A333" s="2944" t="s">
        <v>307</v>
      </c>
      <c r="B333" s="2944" t="s">
        <v>3155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2897</v>
      </c>
      <c r="C336" s="2944">
        <v>3570</v>
      </c>
      <c r="D336" s="2944">
        <v>3530</v>
      </c>
      <c r="E336" s="2944">
        <v>3880</v>
      </c>
      <c r="F336" s="2944">
        <v>770</v>
      </c>
      <c r="G336" s="2944">
        <v>2110</v>
      </c>
    </row>
    <row r="337" spans="1:10" s="2778" customFormat="1" ht="14.25" customHeight="1">
      <c r="A337" s="2944" t="s">
        <v>307</v>
      </c>
      <c r="B337" s="2944" t="s">
        <v>3156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2922</v>
      </c>
      <c r="C345" s="2944">
        <v>3190</v>
      </c>
      <c r="D345" s="2944">
        <v>3140</v>
      </c>
      <c r="E345" s="2944">
        <v>3450</v>
      </c>
      <c r="F345" s="2944">
        <v>720</v>
      </c>
      <c r="G345" s="2944">
        <v>1880</v>
      </c>
      <c r="J345" s="2778"/>
    </row>
    <row r="346" spans="1:10">
      <c r="A346" s="2944" t="s">
        <v>307</v>
      </c>
      <c r="B346" s="2944" t="s">
        <v>3159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2931</v>
      </c>
      <c r="C348" s="2944">
        <v>4000</v>
      </c>
      <c r="D348" s="2944">
        <v>3950</v>
      </c>
      <c r="E348" s="2944">
        <v>4430</v>
      </c>
      <c r="F348" s="2944">
        <v>760</v>
      </c>
      <c r="G348" s="2944">
        <v>2360</v>
      </c>
      <c r="J348" s="2778"/>
    </row>
    <row r="349" spans="1:10">
      <c r="A349" s="2944" t="s">
        <v>307</v>
      </c>
      <c r="B349" s="2944" t="s">
        <v>2936</v>
      </c>
      <c r="C349" s="2944">
        <v>3820</v>
      </c>
      <c r="D349" s="2944">
        <v>3780</v>
      </c>
      <c r="E349" s="2944">
        <v>4170</v>
      </c>
      <c r="F349" s="2944">
        <v>710</v>
      </c>
      <c r="G349" s="2944">
        <v>2260</v>
      </c>
      <c r="J349" s="2778"/>
    </row>
    <row r="350" spans="1:10">
      <c r="A350" s="2944" t="s">
        <v>307</v>
      </c>
      <c r="B350" s="2944" t="s">
        <v>3160</v>
      </c>
      <c r="C350" s="2944">
        <v>3760</v>
      </c>
      <c r="D350" s="2944">
        <v>3730</v>
      </c>
      <c r="E350" s="2944">
        <v>4100</v>
      </c>
      <c r="F350" s="2944">
        <v>800</v>
      </c>
      <c r="G350" s="2944">
        <v>2230</v>
      </c>
      <c r="J350" s="2778"/>
    </row>
    <row r="351" spans="1:10">
      <c r="A351" s="2944" t="s">
        <v>307</v>
      </c>
      <c r="B351" s="2944" t="s">
        <v>2944</v>
      </c>
      <c r="C351" s="2944">
        <v>3610</v>
      </c>
      <c r="D351" s="2944">
        <v>3580</v>
      </c>
      <c r="E351" s="2944">
        <v>3930</v>
      </c>
      <c r="F351" s="2944">
        <v>700</v>
      </c>
      <c r="G351" s="2944">
        <v>2140</v>
      </c>
      <c r="J351" s="2778"/>
    </row>
    <row r="352" spans="1:10">
      <c r="A352" s="2944" t="s">
        <v>307</v>
      </c>
      <c r="B352" s="2944" t="s">
        <v>2949</v>
      </c>
      <c r="C352" s="2944">
        <v>3670</v>
      </c>
      <c r="D352" s="2944">
        <v>3630</v>
      </c>
      <c r="E352" s="2944">
        <v>4000</v>
      </c>
      <c r="F352" s="2944">
        <v>750</v>
      </c>
      <c r="G352" s="2944">
        <v>2180</v>
      </c>
    </row>
    <row r="353" spans="1:7" s="2779" customFormat="1">
      <c r="A353" s="2944" t="s">
        <v>307</v>
      </c>
      <c r="B353" s="2944" t="s">
        <v>3161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2969</v>
      </c>
      <c r="C355" s="2944">
        <v>3650</v>
      </c>
      <c r="D355" s="2944">
        <v>3610</v>
      </c>
      <c r="E355" s="2944">
        <v>4200</v>
      </c>
      <c r="F355" s="2944">
        <v>640</v>
      </c>
      <c r="G355" s="2944">
        <v>2160</v>
      </c>
    </row>
    <row r="356" spans="1:7" s="2779" customFormat="1">
      <c r="A356" s="2944" t="s">
        <v>307</v>
      </c>
      <c r="B356" s="2944" t="s">
        <v>2976</v>
      </c>
      <c r="C356" s="2944">
        <v>3260</v>
      </c>
      <c r="D356" s="2944">
        <v>3230</v>
      </c>
      <c r="E356" s="2944">
        <v>3740</v>
      </c>
      <c r="F356" s="2944">
        <v>600</v>
      </c>
      <c r="G356" s="2944">
        <v>1930</v>
      </c>
    </row>
    <row r="357" spans="1:7" s="2779" customFormat="1" ht="12" thickBot="1">
      <c r="A357" s="2952" t="s">
        <v>307</v>
      </c>
      <c r="B357" s="2955" t="s">
        <v>3162</v>
      </c>
      <c r="C357" s="2955">
        <v>3690</v>
      </c>
      <c r="D357" s="2955">
        <v>3650</v>
      </c>
      <c r="E357" s="2955">
        <v>4020</v>
      </c>
      <c r="F357" s="2955">
        <v>700</v>
      </c>
      <c r="G357" s="2955">
        <v>2190</v>
      </c>
    </row>
    <row r="358" spans="1:7" s="2779" customFormat="1">
      <c r="A358" s="2949" t="s">
        <v>3163</v>
      </c>
      <c r="B358" s="2940" t="s">
        <v>3164</v>
      </c>
      <c r="C358" s="2940">
        <v>2080</v>
      </c>
      <c r="D358" s="2940">
        <v>2040</v>
      </c>
      <c r="E358" s="2940">
        <v>2010</v>
      </c>
      <c r="F358" s="2940">
        <v>530</v>
      </c>
      <c r="G358" s="2956">
        <v>1230</v>
      </c>
    </row>
    <row r="359" spans="1:7" s="2779" customFormat="1">
      <c r="A359" s="2944" t="s">
        <v>3163</v>
      </c>
      <c r="B359" s="2944" t="s">
        <v>3165</v>
      </c>
      <c r="C359" s="2944">
        <v>1850</v>
      </c>
      <c r="D359" s="2944">
        <v>1820</v>
      </c>
      <c r="E359" s="2944">
        <v>1780</v>
      </c>
      <c r="F359" s="2944">
        <v>520</v>
      </c>
      <c r="G359" s="2957">
        <v>1100</v>
      </c>
    </row>
    <row r="360" spans="1:7" s="2779" customFormat="1">
      <c r="A360" s="2944" t="s">
        <v>3163</v>
      </c>
      <c r="B360" s="2944" t="s">
        <v>3166</v>
      </c>
      <c r="C360" s="2944">
        <v>2020</v>
      </c>
      <c r="D360" s="2944">
        <v>1990</v>
      </c>
      <c r="E360" s="2944">
        <v>1950</v>
      </c>
      <c r="F360" s="2944">
        <v>500</v>
      </c>
      <c r="G360" s="2957">
        <v>1200</v>
      </c>
    </row>
    <row r="361" spans="1:7" s="2779" customFormat="1">
      <c r="A361" s="2944" t="s">
        <v>3163</v>
      </c>
      <c r="B361" s="2944" t="s">
        <v>153</v>
      </c>
      <c r="C361" s="2944">
        <v>2260</v>
      </c>
      <c r="D361" s="2944">
        <v>2220</v>
      </c>
      <c r="E361" s="2944">
        <v>2180</v>
      </c>
      <c r="F361" s="2944">
        <v>580</v>
      </c>
      <c r="G361" s="2957">
        <v>1340</v>
      </c>
    </row>
    <row r="362" spans="1:7" s="2779" customFormat="1">
      <c r="A362" s="2944" t="s">
        <v>3163</v>
      </c>
      <c r="B362" s="2944" t="s">
        <v>3167</v>
      </c>
      <c r="C362" s="2944">
        <v>2650</v>
      </c>
      <c r="D362" s="2944">
        <v>2610</v>
      </c>
      <c r="E362" s="2944">
        <v>2570</v>
      </c>
      <c r="F362" s="2944">
        <v>630</v>
      </c>
      <c r="G362" s="2957">
        <v>1570</v>
      </c>
    </row>
    <row r="363" spans="1:7" s="2779" customFormat="1">
      <c r="A363" s="2944" t="s">
        <v>3163</v>
      </c>
      <c r="B363" s="2944" t="s">
        <v>2888</v>
      </c>
      <c r="C363" s="2944">
        <v>2390</v>
      </c>
      <c r="D363" s="2944">
        <v>2360</v>
      </c>
      <c r="E363" s="2944">
        <v>2320</v>
      </c>
      <c r="F363" s="2944">
        <v>600</v>
      </c>
      <c r="G363" s="2957">
        <v>1420</v>
      </c>
    </row>
    <row r="364" spans="1:7" s="2779" customFormat="1">
      <c r="A364" s="2944" t="s">
        <v>3163</v>
      </c>
      <c r="B364" s="2944" t="s">
        <v>3168</v>
      </c>
      <c r="C364" s="2944">
        <v>2050</v>
      </c>
      <c r="D364" s="2944">
        <v>2030</v>
      </c>
      <c r="E364" s="2944">
        <v>1990</v>
      </c>
      <c r="F364" s="2944">
        <v>550</v>
      </c>
      <c r="G364" s="2957">
        <v>1220</v>
      </c>
    </row>
    <row r="365" spans="1:7" s="2779" customFormat="1">
      <c r="A365" s="2944" t="s">
        <v>3163</v>
      </c>
      <c r="B365" s="2944" t="s">
        <v>200</v>
      </c>
      <c r="C365" s="2944">
        <v>2140</v>
      </c>
      <c r="D365" s="2944">
        <v>2100</v>
      </c>
      <c r="E365" s="2944">
        <v>2060</v>
      </c>
      <c r="F365" s="2944">
        <v>540</v>
      </c>
      <c r="G365" s="2957">
        <v>1270</v>
      </c>
    </row>
    <row r="366" spans="1:7" s="2779" customFormat="1">
      <c r="A366" s="2944" t="s">
        <v>3163</v>
      </c>
      <c r="B366" s="2944" t="s">
        <v>2895</v>
      </c>
      <c r="C366" s="2944">
        <v>2410</v>
      </c>
      <c r="D366" s="2944">
        <v>2370</v>
      </c>
      <c r="E366" s="2944">
        <v>2330</v>
      </c>
      <c r="F366" s="2944">
        <v>570</v>
      </c>
      <c r="G366" s="2957">
        <v>1440</v>
      </c>
    </row>
    <row r="367" spans="1:7" s="2779" customFormat="1">
      <c r="A367" s="2944" t="s">
        <v>3163</v>
      </c>
      <c r="B367" s="2944" t="s">
        <v>3169</v>
      </c>
      <c r="C367" s="2944">
        <v>2300</v>
      </c>
      <c r="D367" s="2944">
        <v>2260</v>
      </c>
      <c r="E367" s="2944">
        <v>2220</v>
      </c>
      <c r="F367" s="2944">
        <v>560</v>
      </c>
      <c r="G367" s="2957">
        <v>1370</v>
      </c>
    </row>
    <row r="368" spans="1:7" s="2779" customFormat="1">
      <c r="A368" s="2944" t="s">
        <v>3163</v>
      </c>
      <c r="B368" s="2944" t="s">
        <v>3170</v>
      </c>
      <c r="C368" s="2944">
        <v>2430</v>
      </c>
      <c r="D368" s="2944">
        <v>2390</v>
      </c>
      <c r="E368" s="2944">
        <v>2350</v>
      </c>
      <c r="F368" s="2944">
        <v>570</v>
      </c>
      <c r="G368" s="2957">
        <v>1450</v>
      </c>
    </row>
    <row r="369" spans="1:7" s="2779" customFormat="1">
      <c r="A369" s="2944" t="s">
        <v>3163</v>
      </c>
      <c r="B369" s="2944" t="s">
        <v>214</v>
      </c>
      <c r="C369" s="2944">
        <v>2320</v>
      </c>
      <c r="D369" s="2944">
        <v>2290</v>
      </c>
      <c r="E369" s="2944">
        <v>2250</v>
      </c>
      <c r="F369" s="2944">
        <v>550</v>
      </c>
      <c r="G369" s="2957">
        <v>1380</v>
      </c>
    </row>
    <row r="370" spans="1:7" s="2779" customFormat="1">
      <c r="A370" s="2944" t="s">
        <v>3163</v>
      </c>
      <c r="B370" s="2944" t="s">
        <v>221</v>
      </c>
      <c r="C370" s="2944">
        <v>2190</v>
      </c>
      <c r="D370" s="2944">
        <v>2170</v>
      </c>
      <c r="E370" s="2944">
        <v>2130</v>
      </c>
      <c r="F370" s="2944">
        <v>530</v>
      </c>
      <c r="G370" s="2957">
        <v>1310</v>
      </c>
    </row>
    <row r="371" spans="1:7" s="2779" customFormat="1">
      <c r="A371" s="2944" t="s">
        <v>3163</v>
      </c>
      <c r="B371" s="2944" t="s">
        <v>229</v>
      </c>
      <c r="C371" s="2944">
        <v>2460</v>
      </c>
      <c r="D371" s="2944">
        <v>2420</v>
      </c>
      <c r="E371" s="2944">
        <v>2370</v>
      </c>
      <c r="F371" s="2944">
        <v>560</v>
      </c>
      <c r="G371" s="2957">
        <v>1470</v>
      </c>
    </row>
    <row r="372" spans="1:7" s="2779" customFormat="1">
      <c r="A372" s="2944" t="s">
        <v>3163</v>
      </c>
      <c r="B372" s="2944" t="s">
        <v>3171</v>
      </c>
      <c r="C372" s="2944">
        <v>2250</v>
      </c>
      <c r="D372" s="2944">
        <v>2210</v>
      </c>
      <c r="E372" s="2944">
        <v>2180</v>
      </c>
      <c r="F372" s="2944">
        <v>550</v>
      </c>
      <c r="G372" s="2957">
        <v>1340</v>
      </c>
    </row>
    <row r="373" spans="1:7" s="2779" customFormat="1">
      <c r="A373" s="2944" t="s">
        <v>3163</v>
      </c>
      <c r="B373" s="2944" t="s">
        <v>258</v>
      </c>
      <c r="C373" s="2944">
        <v>2210</v>
      </c>
      <c r="D373" s="2944">
        <v>2190</v>
      </c>
      <c r="E373" s="2944">
        <v>2150</v>
      </c>
      <c r="F373" s="2944">
        <v>530</v>
      </c>
      <c r="G373" s="2957">
        <v>1320</v>
      </c>
    </row>
    <row r="374" spans="1:7" s="2779" customFormat="1">
      <c r="A374" s="2944" t="s">
        <v>3163</v>
      </c>
      <c r="B374" s="2944" t="s">
        <v>266</v>
      </c>
      <c r="C374" s="2944">
        <v>2320</v>
      </c>
      <c r="D374" s="2944">
        <v>2280</v>
      </c>
      <c r="E374" s="2944">
        <v>2230</v>
      </c>
      <c r="F374" s="2944">
        <v>580</v>
      </c>
      <c r="G374" s="2957">
        <v>1380</v>
      </c>
    </row>
    <row r="375" spans="1:7" s="2779" customFormat="1">
      <c r="A375" s="2944" t="s">
        <v>3163</v>
      </c>
      <c r="B375" s="2944" t="s">
        <v>3172</v>
      </c>
      <c r="C375" s="2944">
        <v>2090</v>
      </c>
      <c r="D375" s="2944">
        <v>2050</v>
      </c>
      <c r="E375" s="2944">
        <v>2020</v>
      </c>
      <c r="F375" s="2944">
        <v>520</v>
      </c>
      <c r="G375" s="2957">
        <v>1240</v>
      </c>
    </row>
    <row r="376" spans="1:7" s="2779" customFormat="1">
      <c r="A376" s="2944" t="s">
        <v>3163</v>
      </c>
      <c r="B376" s="2944" t="s">
        <v>277</v>
      </c>
      <c r="C376" s="2944">
        <v>2010</v>
      </c>
      <c r="D376" s="2944">
        <v>1980</v>
      </c>
      <c r="E376" s="2944">
        <v>1940</v>
      </c>
      <c r="F376" s="2944">
        <v>540</v>
      </c>
      <c r="G376" s="2957">
        <v>1190</v>
      </c>
    </row>
    <row r="377" spans="1:7" s="2779" customFormat="1" ht="12" thickBot="1">
      <c r="A377" s="2952" t="s">
        <v>3163</v>
      </c>
      <c r="B377" s="2955" t="s">
        <v>2925</v>
      </c>
      <c r="C377" s="2955">
        <v>1930</v>
      </c>
      <c r="D377" s="2955">
        <v>1890</v>
      </c>
      <c r="E377" s="2955">
        <v>1860</v>
      </c>
      <c r="F377" s="2955">
        <v>530</v>
      </c>
      <c r="G377" s="2960">
        <v>1150</v>
      </c>
    </row>
    <row r="378" spans="1:7" s="2779" customFormat="1">
      <c r="A378" s="2961" t="s">
        <v>3173</v>
      </c>
      <c r="B378" s="2940" t="s">
        <v>3174</v>
      </c>
      <c r="C378" s="2940">
        <v>1520</v>
      </c>
      <c r="D378" s="2940">
        <v>1490</v>
      </c>
      <c r="E378" s="2940">
        <v>1460</v>
      </c>
      <c r="F378" s="2940">
        <v>460</v>
      </c>
      <c r="G378" s="2956">
        <v>940</v>
      </c>
    </row>
    <row r="379" spans="1:7" s="2779" customFormat="1">
      <c r="A379" s="2962" t="s">
        <v>3173</v>
      </c>
      <c r="B379" s="2944" t="s">
        <v>3175</v>
      </c>
      <c r="C379" s="2944">
        <v>1500</v>
      </c>
      <c r="D379" s="2944">
        <v>1470</v>
      </c>
      <c r="E379" s="2944">
        <v>1430</v>
      </c>
      <c r="F379" s="2944">
        <v>460</v>
      </c>
      <c r="G379" s="2957">
        <v>920</v>
      </c>
    </row>
    <row r="380" spans="1:7" s="2779" customFormat="1">
      <c r="A380" s="2962" t="s">
        <v>3173</v>
      </c>
      <c r="B380" s="2944" t="s">
        <v>3176</v>
      </c>
      <c r="C380" s="2944">
        <v>1620</v>
      </c>
      <c r="D380" s="2944">
        <v>1590</v>
      </c>
      <c r="E380" s="2944">
        <v>1560</v>
      </c>
      <c r="F380" s="2944">
        <v>480</v>
      </c>
      <c r="G380" s="2957">
        <v>1000</v>
      </c>
    </row>
    <row r="381" spans="1:7" s="2779" customFormat="1">
      <c r="A381" s="2962" t="s">
        <v>3173</v>
      </c>
      <c r="B381" s="2944" t="s">
        <v>3177</v>
      </c>
      <c r="C381" s="2944">
        <v>1460</v>
      </c>
      <c r="D381" s="2944">
        <v>1430</v>
      </c>
      <c r="E381" s="2944">
        <v>1390</v>
      </c>
      <c r="F381" s="2944">
        <v>450</v>
      </c>
      <c r="G381" s="2957">
        <v>900</v>
      </c>
    </row>
    <row r="382" spans="1:7" s="2779" customFormat="1">
      <c r="A382" s="2962" t="s">
        <v>3173</v>
      </c>
      <c r="B382" s="2944" t="s">
        <v>3178</v>
      </c>
      <c r="C382" s="2944">
        <v>1310</v>
      </c>
      <c r="D382" s="2944">
        <v>1280</v>
      </c>
      <c r="E382" s="2944">
        <v>1250</v>
      </c>
      <c r="F382" s="2944">
        <v>440</v>
      </c>
      <c r="G382" s="2957">
        <v>800</v>
      </c>
    </row>
    <row r="383" spans="1:7" s="2779" customFormat="1">
      <c r="A383" s="2962" t="s">
        <v>3173</v>
      </c>
      <c r="B383" s="2944" t="s">
        <v>3179</v>
      </c>
      <c r="C383" s="2944">
        <v>1260</v>
      </c>
      <c r="D383" s="2944">
        <v>1230</v>
      </c>
      <c r="E383" s="2944">
        <v>1200</v>
      </c>
      <c r="F383" s="2944">
        <v>420</v>
      </c>
      <c r="G383" s="2957">
        <v>770</v>
      </c>
    </row>
    <row r="384" spans="1:7" s="2779" customFormat="1" ht="12" thickBot="1">
      <c r="A384" s="2963" t="s">
        <v>3173</v>
      </c>
      <c r="B384" s="2951" t="s">
        <v>3180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16" workbookViewId="0">
      <selection activeCell="C327" sqref="C327:G357"/>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12" t="s">
        <v>3181</v>
      </c>
      <c r="B1" s="3512"/>
    </row>
    <row r="2" spans="1:7" ht="14.25" thickBot="1">
      <c r="A2" s="2965"/>
      <c r="B2" s="2965"/>
    </row>
    <row r="3" spans="1:7" ht="14.25" thickBot="1">
      <c r="A3" s="2965"/>
      <c r="B3" s="2965"/>
      <c r="C3" s="2966" t="s">
        <v>2811</v>
      </c>
      <c r="D3" s="2966" t="s">
        <v>2867</v>
      </c>
      <c r="E3" s="2966" t="s">
        <v>2813</v>
      </c>
      <c r="F3" s="2966" t="s">
        <v>2868</v>
      </c>
      <c r="G3" s="2966" t="s">
        <v>2631</v>
      </c>
    </row>
    <row r="4" spans="1:7" ht="14.25" thickBot="1">
      <c r="A4" s="2967" t="s">
        <v>2866</v>
      </c>
      <c r="B4" s="2968" t="s">
        <v>2872</v>
      </c>
      <c r="C4" s="2966"/>
      <c r="D4" s="2966"/>
      <c r="E4" s="2966"/>
      <c r="F4" s="2966"/>
      <c r="G4" s="2966"/>
    </row>
    <row r="5" spans="1:7">
      <c r="A5" s="2969" t="s">
        <v>2840</v>
      </c>
      <c r="B5" s="2970" t="s">
        <v>2854</v>
      </c>
      <c r="C5" s="2971">
        <v>9.8000000000000004E-2</v>
      </c>
      <c r="D5" s="2971">
        <v>8.6999999999999994E-2</v>
      </c>
      <c r="E5" s="2971">
        <v>8.6999999999999994E-2</v>
      </c>
      <c r="F5" s="2971">
        <v>9.8000000000000004E-2</v>
      </c>
      <c r="G5" s="2972">
        <v>9.5000000000000001E-2</v>
      </c>
    </row>
    <row r="6" spans="1:7">
      <c r="A6" s="2973" t="s">
        <v>144</v>
      </c>
      <c r="B6" s="2974" t="s">
        <v>2869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2923</v>
      </c>
      <c r="C29" s="2983"/>
      <c r="D29" s="2979">
        <v>5.1999999999999998E-2</v>
      </c>
      <c r="E29" s="2979">
        <v>7.0000000000000007E-2</v>
      </c>
      <c r="F29" s="2983"/>
      <c r="G29" s="2981">
        <v>7.0999999999999994E-2</v>
      </c>
    </row>
    <row r="30" spans="1:7">
      <c r="A30" s="2984" t="s">
        <v>296</v>
      </c>
      <c r="B30" s="2970" t="s">
        <v>2856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2926</v>
      </c>
      <c r="C50" s="2975">
        <v>9.8000000000000004E-2</v>
      </c>
      <c r="D50" s="2975">
        <v>7.2999999999999995E-2</v>
      </c>
      <c r="E50" s="2975">
        <v>7.0999999999999994E-2</v>
      </c>
      <c r="F50" s="2986"/>
      <c r="G50" s="2976">
        <v>7.2999999999999995E-2</v>
      </c>
    </row>
    <row r="51" spans="1:7">
      <c r="A51" s="2985" t="s">
        <v>296</v>
      </c>
      <c r="B51" s="2974" t="s">
        <v>2928</v>
      </c>
      <c r="C51" s="2975">
        <v>9.9000000000000005E-2</v>
      </c>
      <c r="D51" s="2975">
        <v>8.5000000000000006E-2</v>
      </c>
      <c r="E51" s="2975">
        <v>6.3E-2</v>
      </c>
      <c r="F51" s="2986"/>
      <c r="G51" s="2976">
        <v>9.6000000000000002E-2</v>
      </c>
    </row>
    <row r="52" spans="1:7">
      <c r="A52" s="2985" t="s">
        <v>296</v>
      </c>
      <c r="B52" s="2974" t="s">
        <v>2932</v>
      </c>
      <c r="C52" s="2975">
        <v>7.3999999999999996E-2</v>
      </c>
      <c r="D52" s="2975">
        <v>9.6000000000000002E-2</v>
      </c>
      <c r="E52" s="2975">
        <v>0.05</v>
      </c>
      <c r="F52" s="2986"/>
      <c r="G52" s="2976">
        <v>9.8000000000000004E-2</v>
      </c>
    </row>
    <row r="53" spans="1:7">
      <c r="A53" s="2985" t="s">
        <v>296</v>
      </c>
      <c r="B53" s="2974" t="s">
        <v>2937</v>
      </c>
      <c r="C53" s="2975">
        <v>8.5999999999999993E-2</v>
      </c>
      <c r="D53" s="2986"/>
      <c r="E53" s="2975">
        <v>9.1999999999999998E-2</v>
      </c>
      <c r="F53" s="2986"/>
      <c r="G53" s="2987"/>
    </row>
    <row r="54" spans="1:7" ht="14.25" thickBot="1">
      <c r="A54" s="2988" t="s">
        <v>296</v>
      </c>
      <c r="B54" s="2978" t="s">
        <v>2940</v>
      </c>
      <c r="C54" s="2979">
        <v>9.6000000000000002E-2</v>
      </c>
      <c r="D54" s="2980"/>
      <c r="E54" s="2989"/>
      <c r="F54" s="2980"/>
      <c r="G54" s="2990"/>
    </row>
    <row r="55" spans="1:7">
      <c r="A55" s="2984" t="s">
        <v>110</v>
      </c>
      <c r="B55" s="2970" t="s">
        <v>2857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2938</v>
      </c>
      <c r="C78" s="2975">
        <v>0.1</v>
      </c>
      <c r="D78" s="2975">
        <v>8.5000000000000006E-2</v>
      </c>
      <c r="E78" s="2975">
        <v>9.6000000000000002E-2</v>
      </c>
      <c r="F78" s="2986"/>
      <c r="G78" s="2976">
        <v>9.6000000000000002E-2</v>
      </c>
    </row>
    <row r="79" spans="1:7">
      <c r="A79" s="2985" t="s">
        <v>110</v>
      </c>
      <c r="B79" s="2974" t="s">
        <v>2941</v>
      </c>
      <c r="C79" s="2975">
        <v>0.05</v>
      </c>
      <c r="D79" s="2975">
        <v>9.6000000000000002E-2</v>
      </c>
      <c r="E79" s="2975">
        <v>9.5000000000000001E-2</v>
      </c>
      <c r="F79" s="2986"/>
      <c r="G79" s="2976">
        <v>9.8000000000000004E-2</v>
      </c>
    </row>
    <row r="80" spans="1:7">
      <c r="A80" s="2985" t="s">
        <v>110</v>
      </c>
      <c r="B80" s="2974" t="s">
        <v>2945</v>
      </c>
      <c r="C80" s="2975">
        <v>8.5999999999999993E-2</v>
      </c>
      <c r="D80" s="2991"/>
      <c r="E80" s="2975">
        <v>0.1</v>
      </c>
      <c r="F80" s="2986"/>
      <c r="G80" s="2987"/>
    </row>
    <row r="81" spans="1:7">
      <c r="A81" s="2985" t="s">
        <v>110</v>
      </c>
      <c r="B81" s="2974" t="s">
        <v>2950</v>
      </c>
      <c r="C81" s="2975">
        <v>9.6000000000000002E-2</v>
      </c>
      <c r="D81" s="2986"/>
      <c r="E81" s="2975">
        <v>9.8000000000000004E-2</v>
      </c>
      <c r="F81" s="2986"/>
      <c r="G81" s="2987"/>
    </row>
    <row r="82" spans="1:7">
      <c r="A82" s="2985" t="s">
        <v>110</v>
      </c>
      <c r="B82" s="2974" t="s">
        <v>2957</v>
      </c>
      <c r="C82" s="2991"/>
      <c r="D82" s="2986"/>
      <c r="E82" s="2975">
        <v>7.6999999999999999E-2</v>
      </c>
      <c r="F82" s="2986"/>
      <c r="G82" s="2987"/>
    </row>
    <row r="83" spans="1:7">
      <c r="A83" s="2985" t="s">
        <v>110</v>
      </c>
      <c r="B83" s="2974" t="s">
        <v>2963</v>
      </c>
      <c r="C83" s="2986"/>
      <c r="D83" s="2986"/>
      <c r="E83" s="2986"/>
      <c r="F83" s="2975">
        <v>0.1</v>
      </c>
      <c r="G83" s="2992"/>
    </row>
    <row r="84" spans="1:7">
      <c r="A84" s="2985" t="s">
        <v>110</v>
      </c>
      <c r="B84" s="2974" t="s">
        <v>2970</v>
      </c>
      <c r="C84" s="2986"/>
      <c r="D84" s="2986"/>
      <c r="E84" s="2986"/>
      <c r="F84" s="2975">
        <v>0.1</v>
      </c>
      <c r="G84" s="2992"/>
    </row>
    <row r="85" spans="1:7">
      <c r="A85" s="2985" t="s">
        <v>110</v>
      </c>
      <c r="B85" s="2974" t="s">
        <v>2977</v>
      </c>
      <c r="C85" s="2986"/>
      <c r="D85" s="2986"/>
      <c r="E85" s="2986"/>
      <c r="F85" s="2975">
        <v>0.1</v>
      </c>
      <c r="G85" s="2992"/>
    </row>
    <row r="86" spans="1:7" ht="14.25" thickBot="1">
      <c r="A86" s="2988" t="s">
        <v>110</v>
      </c>
      <c r="B86" s="2978" t="s">
        <v>2982</v>
      </c>
      <c r="C86" s="2979">
        <v>9.8000000000000004E-2</v>
      </c>
      <c r="D86" s="2979">
        <v>9.8000000000000004E-2</v>
      </c>
      <c r="E86" s="2979">
        <v>9.6000000000000002E-2</v>
      </c>
      <c r="F86" s="2989"/>
      <c r="G86" s="2981">
        <v>0.1</v>
      </c>
    </row>
    <row r="87" spans="1:7">
      <c r="A87" s="2984" t="s">
        <v>303</v>
      </c>
      <c r="B87" s="2970" t="s">
        <v>2858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2951</v>
      </c>
      <c r="C113" s="2975">
        <v>0.1</v>
      </c>
      <c r="D113" s="2975">
        <v>0.1</v>
      </c>
      <c r="E113" s="2986"/>
      <c r="F113" s="2986"/>
      <c r="G113" s="2976">
        <v>0.1</v>
      </c>
    </row>
    <row r="114" spans="1:7">
      <c r="A114" s="2985" t="s">
        <v>303</v>
      </c>
      <c r="B114" s="2974" t="s">
        <v>2958</v>
      </c>
      <c r="C114" s="2975">
        <v>9.7000000000000003E-2</v>
      </c>
      <c r="D114" s="2975">
        <v>9.7000000000000003E-2</v>
      </c>
      <c r="E114" s="2986"/>
      <c r="F114" s="2986"/>
      <c r="G114" s="2976">
        <v>9.9000000000000005E-2</v>
      </c>
    </row>
    <row r="115" spans="1:7">
      <c r="A115" s="2985" t="s">
        <v>303</v>
      </c>
      <c r="B115" s="2974" t="s">
        <v>2964</v>
      </c>
      <c r="C115" s="2975">
        <v>0.1</v>
      </c>
      <c r="D115" s="2975">
        <v>0.1</v>
      </c>
      <c r="E115" s="2986"/>
      <c r="F115" s="2986"/>
      <c r="G115" s="2976">
        <v>0.1</v>
      </c>
    </row>
    <row r="116" spans="1:7">
      <c r="A116" s="2985" t="s">
        <v>303</v>
      </c>
      <c r="B116" s="2974" t="s">
        <v>2971</v>
      </c>
      <c r="C116" s="2975">
        <v>0.1</v>
      </c>
      <c r="D116" s="2975">
        <v>0.1</v>
      </c>
      <c r="E116" s="2986"/>
      <c r="F116" s="2986"/>
      <c r="G116" s="2976">
        <v>0.1</v>
      </c>
    </row>
    <row r="117" spans="1:7">
      <c r="A117" s="2985" t="s">
        <v>303</v>
      </c>
      <c r="B117" s="2974" t="s">
        <v>2978</v>
      </c>
      <c r="C117" s="2975">
        <v>9.7000000000000003E-2</v>
      </c>
      <c r="D117" s="2975">
        <v>9.7000000000000003E-2</v>
      </c>
      <c r="E117" s="2986"/>
      <c r="F117" s="2986"/>
      <c r="G117" s="2976">
        <v>9.7000000000000003E-2</v>
      </c>
    </row>
    <row r="118" spans="1:7">
      <c r="A118" s="2985" t="s">
        <v>303</v>
      </c>
      <c r="B118" s="2974" t="s">
        <v>2983</v>
      </c>
      <c r="C118" s="2975">
        <v>0.1</v>
      </c>
      <c r="D118" s="2975">
        <v>0.1</v>
      </c>
      <c r="E118" s="2986"/>
      <c r="F118" s="2986"/>
      <c r="G118" s="2976">
        <v>0.1</v>
      </c>
    </row>
    <row r="119" spans="1:7">
      <c r="A119" s="2985" t="s">
        <v>303</v>
      </c>
      <c r="B119" s="2974" t="s">
        <v>2987</v>
      </c>
      <c r="C119" s="2975">
        <v>5.0999999999999997E-2</v>
      </c>
      <c r="D119" s="2975">
        <v>5.1999999999999998E-2</v>
      </c>
      <c r="E119" s="2986"/>
      <c r="F119" s="2991"/>
      <c r="G119" s="2976">
        <v>0.06</v>
      </c>
    </row>
    <row r="120" spans="1:7">
      <c r="A120" s="2985" t="s">
        <v>303</v>
      </c>
      <c r="B120" s="2974" t="s">
        <v>2991</v>
      </c>
      <c r="C120" s="2986"/>
      <c r="D120" s="2986"/>
      <c r="E120" s="2986"/>
      <c r="F120" s="2975">
        <v>0.1</v>
      </c>
      <c r="G120" s="2992"/>
    </row>
    <row r="121" spans="1:7">
      <c r="A121" s="2985" t="s">
        <v>303</v>
      </c>
      <c r="B121" s="2974" t="s">
        <v>2996</v>
      </c>
      <c r="C121" s="2986"/>
      <c r="D121" s="2986"/>
      <c r="E121" s="2986"/>
      <c r="F121" s="2975">
        <v>0.1</v>
      </c>
      <c r="G121" s="2992"/>
    </row>
    <row r="122" spans="1:7">
      <c r="A122" s="2985" t="s">
        <v>303</v>
      </c>
      <c r="B122" s="2974" t="s">
        <v>3001</v>
      </c>
      <c r="C122" s="2975">
        <v>0.1</v>
      </c>
      <c r="D122" s="2975">
        <v>0.1</v>
      </c>
      <c r="E122" s="2975">
        <v>9.8000000000000004E-2</v>
      </c>
      <c r="F122" s="2975">
        <v>0.1</v>
      </c>
      <c r="G122" s="2976">
        <v>0.1</v>
      </c>
    </row>
    <row r="123" spans="1:7">
      <c r="A123" s="2985" t="s">
        <v>303</v>
      </c>
      <c r="B123" s="2974" t="s">
        <v>3006</v>
      </c>
      <c r="C123" s="2975">
        <v>0.1</v>
      </c>
      <c r="D123" s="2975">
        <v>0.1</v>
      </c>
      <c r="E123" s="2975">
        <v>9.8000000000000004E-2</v>
      </c>
      <c r="F123" s="2975">
        <v>0.1</v>
      </c>
      <c r="G123" s="2976">
        <v>0.1</v>
      </c>
    </row>
    <row r="124" spans="1:7">
      <c r="A124" s="2985" t="s">
        <v>303</v>
      </c>
      <c r="B124" s="2974" t="s">
        <v>3011</v>
      </c>
      <c r="C124" s="2975">
        <v>0.1</v>
      </c>
      <c r="D124" s="2975">
        <v>0.1</v>
      </c>
      <c r="E124" s="2975">
        <v>9.8000000000000004E-2</v>
      </c>
      <c r="F124" s="2991"/>
      <c r="G124" s="2976">
        <v>0.1</v>
      </c>
    </row>
    <row r="125" spans="1:7">
      <c r="A125" s="2985" t="s">
        <v>303</v>
      </c>
      <c r="B125" s="2974" t="s">
        <v>3016</v>
      </c>
      <c r="C125" s="2975">
        <v>9.8000000000000004E-2</v>
      </c>
      <c r="D125" s="2975">
        <v>9.8000000000000004E-2</v>
      </c>
      <c r="E125" s="2975">
        <v>9.6000000000000002E-2</v>
      </c>
      <c r="F125" s="2991"/>
      <c r="G125" s="2976">
        <v>0.1</v>
      </c>
    </row>
    <row r="126" spans="1:7" ht="14.25" thickBot="1">
      <c r="A126" s="2988" t="s">
        <v>303</v>
      </c>
      <c r="B126" s="2978" t="s">
        <v>3182</v>
      </c>
      <c r="C126" s="2979">
        <v>0.1</v>
      </c>
      <c r="D126" s="2979">
        <v>0.1</v>
      </c>
      <c r="E126" s="2979">
        <v>9.8000000000000004E-2</v>
      </c>
      <c r="F126" s="2979">
        <v>0.1</v>
      </c>
      <c r="G126" s="2981">
        <v>0.1</v>
      </c>
    </row>
    <row r="127" spans="1:7">
      <c r="A127" s="2984" t="s">
        <v>29</v>
      </c>
      <c r="B127" s="2970" t="s">
        <v>2859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2929</v>
      </c>
      <c r="C148" s="2975">
        <v>0.13</v>
      </c>
      <c r="D148" s="2975">
        <v>0.13</v>
      </c>
      <c r="E148" s="2975">
        <v>0.13</v>
      </c>
      <c r="F148" s="2986"/>
      <c r="G148" s="2976">
        <v>0.13</v>
      </c>
    </row>
    <row r="149" spans="1:7">
      <c r="A149" s="2985" t="s">
        <v>29</v>
      </c>
      <c r="B149" s="2974" t="s">
        <v>2933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2952</v>
      </c>
      <c r="C153" s="2975">
        <v>0.13</v>
      </c>
      <c r="D153" s="2975">
        <v>0.13</v>
      </c>
      <c r="E153" s="2975">
        <v>0.13</v>
      </c>
      <c r="F153" s="2975">
        <v>0.13</v>
      </c>
      <c r="G153" s="2976">
        <v>0.13</v>
      </c>
    </row>
    <row r="154" spans="1:7">
      <c r="A154" s="2985" t="s">
        <v>29</v>
      </c>
      <c r="B154" s="2974" t="s">
        <v>2959</v>
      </c>
      <c r="C154" s="2975">
        <v>0.121</v>
      </c>
      <c r="D154" s="2975">
        <v>0.121</v>
      </c>
      <c r="E154" s="2975">
        <v>0.105</v>
      </c>
      <c r="F154" s="2975">
        <v>0.121</v>
      </c>
      <c r="G154" s="2976">
        <v>0.123</v>
      </c>
    </row>
    <row r="155" spans="1:7">
      <c r="A155" s="2985" t="s">
        <v>29</v>
      </c>
      <c r="B155" s="2974" t="s">
        <v>2965</v>
      </c>
      <c r="C155" s="2975">
        <v>0.1</v>
      </c>
      <c r="D155" s="2975">
        <v>0.1</v>
      </c>
      <c r="E155" s="2975">
        <v>0.1</v>
      </c>
      <c r="F155" s="2975">
        <v>0.1</v>
      </c>
      <c r="G155" s="2976">
        <v>0.1</v>
      </c>
    </row>
    <row r="156" spans="1:7">
      <c r="A156" s="2985" t="s">
        <v>29</v>
      </c>
      <c r="B156" s="2974" t="s">
        <v>2972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2992</v>
      </c>
      <c r="C160" s="2975">
        <v>0.13</v>
      </c>
      <c r="D160" s="2975">
        <v>0.13</v>
      </c>
      <c r="E160" s="2975">
        <v>0.124</v>
      </c>
      <c r="F160" s="2975">
        <v>0.126</v>
      </c>
      <c r="G160" s="2976">
        <v>0.13</v>
      </c>
    </row>
    <row r="161" spans="1:7">
      <c r="A161" s="2985" t="s">
        <v>29</v>
      </c>
      <c r="B161" s="2974" t="s">
        <v>2997</v>
      </c>
      <c r="C161" s="2975">
        <v>0.13</v>
      </c>
      <c r="D161" s="2975">
        <v>0.13</v>
      </c>
      <c r="E161" s="2975">
        <v>0.124</v>
      </c>
      <c r="F161" s="2975">
        <v>0.127</v>
      </c>
      <c r="G161" s="2976">
        <v>0.13</v>
      </c>
    </row>
    <row r="162" spans="1:7">
      <c r="A162" s="2985" t="s">
        <v>29</v>
      </c>
      <c r="B162" s="2974" t="s">
        <v>3002</v>
      </c>
      <c r="C162" s="2975">
        <v>0.1</v>
      </c>
      <c r="D162" s="2975">
        <v>0.1</v>
      </c>
      <c r="E162" s="2975">
        <v>0.1</v>
      </c>
      <c r="F162" s="2975">
        <v>0.121</v>
      </c>
      <c r="G162" s="2976">
        <v>0.105</v>
      </c>
    </row>
    <row r="163" spans="1:7">
      <c r="A163" s="2985" t="s">
        <v>29</v>
      </c>
      <c r="B163" s="2974" t="s">
        <v>3007</v>
      </c>
      <c r="C163" s="2975">
        <v>0.1</v>
      </c>
      <c r="D163" s="2975">
        <v>0.1</v>
      </c>
      <c r="E163" s="2975">
        <v>0.1</v>
      </c>
      <c r="F163" s="2975">
        <v>0.1</v>
      </c>
      <c r="G163" s="2976">
        <v>0.1</v>
      </c>
    </row>
    <row r="164" spans="1:7">
      <c r="A164" s="2985" t="s">
        <v>29</v>
      </c>
      <c r="B164" s="2974" t="s">
        <v>3012</v>
      </c>
      <c r="C164" s="2991"/>
      <c r="D164" s="2991"/>
      <c r="E164" s="2991"/>
      <c r="F164" s="2975">
        <v>0.1</v>
      </c>
      <c r="G164" s="2987"/>
    </row>
    <row r="165" spans="1:7">
      <c r="A165" s="2985" t="s">
        <v>29</v>
      </c>
      <c r="B165" s="2974" t="s">
        <v>3183</v>
      </c>
      <c r="C165" s="2975">
        <v>0.126</v>
      </c>
      <c r="D165" s="2975">
        <v>0.126</v>
      </c>
      <c r="E165" s="2975">
        <v>0.11899999999999999</v>
      </c>
      <c r="F165" s="2975">
        <v>0.13</v>
      </c>
      <c r="G165" s="2976">
        <v>0.128</v>
      </c>
    </row>
    <row r="166" spans="1:7">
      <c r="A166" s="2985" t="s">
        <v>29</v>
      </c>
      <c r="B166" s="2974" t="s">
        <v>3022</v>
      </c>
      <c r="C166" s="2975">
        <v>0.129</v>
      </c>
      <c r="D166" s="2975">
        <v>0.129</v>
      </c>
      <c r="E166" s="2975">
        <v>0.123</v>
      </c>
      <c r="F166" s="2975">
        <v>0.128</v>
      </c>
      <c r="G166" s="2976">
        <v>0.13</v>
      </c>
    </row>
    <row r="167" spans="1:7">
      <c r="A167" s="2985" t="s">
        <v>29</v>
      </c>
      <c r="B167" s="2974" t="s">
        <v>3026</v>
      </c>
      <c r="C167" s="2975">
        <v>0.125</v>
      </c>
      <c r="D167" s="2975">
        <v>0.125</v>
      </c>
      <c r="E167" s="2975">
        <v>0.11700000000000001</v>
      </c>
      <c r="F167" s="2975">
        <v>0.13</v>
      </c>
      <c r="G167" s="2976">
        <v>0.126</v>
      </c>
    </row>
    <row r="168" spans="1:7">
      <c r="A168" s="2985" t="s">
        <v>29</v>
      </c>
      <c r="B168" s="2974" t="s">
        <v>3031</v>
      </c>
      <c r="C168" s="2975">
        <v>0.128</v>
      </c>
      <c r="D168" s="2975">
        <v>0.128</v>
      </c>
      <c r="E168" s="2975">
        <v>0.123</v>
      </c>
      <c r="F168" s="2986"/>
      <c r="G168" s="2976">
        <v>0.13</v>
      </c>
    </row>
    <row r="169" spans="1:7">
      <c r="A169" s="2985" t="s">
        <v>29</v>
      </c>
      <c r="B169" s="2974" t="s">
        <v>3184</v>
      </c>
      <c r="C169" s="2991"/>
      <c r="D169" s="2991"/>
      <c r="E169" s="2991"/>
      <c r="F169" s="2975">
        <v>0.05</v>
      </c>
      <c r="G169" s="2987"/>
    </row>
    <row r="170" spans="1:7">
      <c r="A170" s="2985" t="s">
        <v>29</v>
      </c>
      <c r="B170" s="2974" t="s">
        <v>3185</v>
      </c>
      <c r="C170" s="2991"/>
      <c r="D170" s="2991"/>
      <c r="E170" s="2991"/>
      <c r="F170" s="2975">
        <v>0.05</v>
      </c>
      <c r="G170" s="2987"/>
    </row>
    <row r="171" spans="1:7">
      <c r="A171" s="2985" t="s">
        <v>29</v>
      </c>
      <c r="B171" s="2974" t="s">
        <v>3186</v>
      </c>
      <c r="C171" s="2991"/>
      <c r="D171" s="2991"/>
      <c r="E171" s="2991"/>
      <c r="F171" s="2975">
        <v>0.05</v>
      </c>
      <c r="G171" s="2992"/>
    </row>
    <row r="172" spans="1:7">
      <c r="A172" s="2985" t="s">
        <v>29</v>
      </c>
      <c r="B172" s="2974" t="s">
        <v>3187</v>
      </c>
      <c r="C172" s="2991"/>
      <c r="D172" s="2991"/>
      <c r="E172" s="2991"/>
      <c r="F172" s="2975">
        <v>0.05</v>
      </c>
      <c r="G172" s="2992"/>
    </row>
    <row r="173" spans="1:7">
      <c r="A173" s="2985" t="s">
        <v>29</v>
      </c>
      <c r="B173" s="2974" t="s">
        <v>3188</v>
      </c>
      <c r="C173" s="2991"/>
      <c r="D173" s="2991"/>
      <c r="E173" s="2991"/>
      <c r="F173" s="2975">
        <v>0.05</v>
      </c>
      <c r="G173" s="2987"/>
    </row>
    <row r="174" spans="1:7">
      <c r="A174" s="2985" t="s">
        <v>29</v>
      </c>
      <c r="B174" s="2974" t="s">
        <v>3189</v>
      </c>
      <c r="C174" s="2991"/>
      <c r="D174" s="2991"/>
      <c r="E174" s="2991"/>
      <c r="F174" s="2975">
        <v>0.05</v>
      </c>
      <c r="G174" s="2987"/>
    </row>
    <row r="175" spans="1:7">
      <c r="A175" s="2985" t="s">
        <v>29</v>
      </c>
      <c r="B175" s="2974" t="s">
        <v>3190</v>
      </c>
      <c r="C175" s="2991"/>
      <c r="D175" s="2991"/>
      <c r="E175" s="2991"/>
      <c r="F175" s="2975">
        <v>0.05</v>
      </c>
      <c r="G175" s="2987"/>
    </row>
    <row r="176" spans="1:7">
      <c r="A176" s="2985" t="s">
        <v>29</v>
      </c>
      <c r="B176" s="2974" t="s">
        <v>3191</v>
      </c>
      <c r="C176" s="2991"/>
      <c r="D176" s="2991"/>
      <c r="E176" s="2991"/>
      <c r="F176" s="2975">
        <v>0.05</v>
      </c>
      <c r="G176" s="2987"/>
    </row>
    <row r="177" spans="1:7">
      <c r="A177" s="2985" t="s">
        <v>29</v>
      </c>
      <c r="B177" s="2974" t="s">
        <v>3192</v>
      </c>
      <c r="C177" s="2986"/>
      <c r="D177" s="2986"/>
      <c r="E177" s="2986"/>
      <c r="F177" s="2975">
        <v>0.05</v>
      </c>
      <c r="G177" s="2992"/>
    </row>
    <row r="178" spans="1:7">
      <c r="A178" s="2985" t="s">
        <v>29</v>
      </c>
      <c r="B178" s="2974" t="s">
        <v>3193</v>
      </c>
      <c r="C178" s="2986"/>
      <c r="D178" s="2986"/>
      <c r="E178" s="2986"/>
      <c r="F178" s="2975">
        <v>0.05</v>
      </c>
      <c r="G178" s="2992"/>
    </row>
    <row r="179" spans="1:7">
      <c r="A179" s="2985" t="s">
        <v>29</v>
      </c>
      <c r="B179" s="2974" t="s">
        <v>3194</v>
      </c>
      <c r="C179" s="2986"/>
      <c r="D179" s="2986"/>
      <c r="E179" s="2986"/>
      <c r="F179" s="2975">
        <v>0.05</v>
      </c>
      <c r="G179" s="2992"/>
    </row>
    <row r="180" spans="1:7">
      <c r="A180" s="2985" t="s">
        <v>29</v>
      </c>
      <c r="B180" s="2974" t="s">
        <v>3195</v>
      </c>
      <c r="C180" s="2986"/>
      <c r="D180" s="2986"/>
      <c r="E180" s="2986"/>
      <c r="F180" s="2975">
        <v>0.05</v>
      </c>
      <c r="G180" s="2992"/>
    </row>
    <row r="181" spans="1:7">
      <c r="A181" s="2985" t="s">
        <v>29</v>
      </c>
      <c r="B181" s="2974" t="s">
        <v>3196</v>
      </c>
      <c r="C181" s="2986"/>
      <c r="D181" s="2986"/>
      <c r="E181" s="2986"/>
      <c r="F181" s="2975">
        <v>0.05</v>
      </c>
      <c r="G181" s="2992"/>
    </row>
    <row r="182" spans="1:7">
      <c r="A182" s="2985" t="s">
        <v>29</v>
      </c>
      <c r="B182" s="2974" t="s">
        <v>3197</v>
      </c>
      <c r="C182" s="2986"/>
      <c r="D182" s="2986"/>
      <c r="E182" s="2986"/>
      <c r="F182" s="2975">
        <v>0.05</v>
      </c>
      <c r="G182" s="2992"/>
    </row>
    <row r="183" spans="1:7">
      <c r="A183" s="2985" t="s">
        <v>29</v>
      </c>
      <c r="B183" s="2974" t="s">
        <v>3198</v>
      </c>
      <c r="C183" s="2986"/>
      <c r="D183" s="2986"/>
      <c r="E183" s="2986"/>
      <c r="F183" s="2975">
        <v>0.05</v>
      </c>
      <c r="G183" s="2992"/>
    </row>
    <row r="184" spans="1:7">
      <c r="A184" s="2985" t="s">
        <v>29</v>
      </c>
      <c r="B184" s="2974" t="s">
        <v>3199</v>
      </c>
      <c r="C184" s="2986"/>
      <c r="D184" s="2986"/>
      <c r="E184" s="2986"/>
      <c r="F184" s="2975">
        <v>0.05</v>
      </c>
      <c r="G184" s="2992"/>
    </row>
    <row r="185" spans="1:7">
      <c r="A185" s="2985" t="s">
        <v>29</v>
      </c>
      <c r="B185" s="2974" t="s">
        <v>3200</v>
      </c>
      <c r="C185" s="2986"/>
      <c r="D185" s="2986"/>
      <c r="E185" s="2986"/>
      <c r="F185" s="2975">
        <v>0.05</v>
      </c>
      <c r="G185" s="2992"/>
    </row>
    <row r="186" spans="1:7">
      <c r="A186" s="2985" t="s">
        <v>29</v>
      </c>
      <c r="B186" s="2974" t="s">
        <v>3201</v>
      </c>
      <c r="C186" s="2986"/>
      <c r="D186" s="2986"/>
      <c r="E186" s="2986"/>
      <c r="F186" s="2975">
        <v>0.05</v>
      </c>
      <c r="G186" s="2992"/>
    </row>
    <row r="187" spans="1:7">
      <c r="A187" s="2985" t="s">
        <v>29</v>
      </c>
      <c r="B187" s="2974" t="s">
        <v>3202</v>
      </c>
      <c r="C187" s="2986"/>
      <c r="D187" s="2986"/>
      <c r="E187" s="2986"/>
      <c r="F187" s="2975">
        <v>0.05</v>
      </c>
      <c r="G187" s="2992"/>
    </row>
    <row r="188" spans="1:7">
      <c r="A188" s="2985" t="s">
        <v>29</v>
      </c>
      <c r="B188" s="2974" t="s">
        <v>3203</v>
      </c>
      <c r="C188" s="2986"/>
      <c r="D188" s="2986"/>
      <c r="E188" s="2986"/>
      <c r="F188" s="2975">
        <v>0.05</v>
      </c>
      <c r="G188" s="2992"/>
    </row>
    <row r="189" spans="1:7" ht="14.25" thickBot="1">
      <c r="A189" s="2988" t="s">
        <v>29</v>
      </c>
      <c r="B189" s="2978" t="s">
        <v>3204</v>
      </c>
      <c r="C189" s="2980"/>
      <c r="D189" s="2980"/>
      <c r="E189" s="2980"/>
      <c r="F189" s="2979">
        <v>0.05</v>
      </c>
      <c r="G189" s="2993"/>
    </row>
    <row r="190" spans="1:7">
      <c r="A190" s="2984" t="s">
        <v>304</v>
      </c>
      <c r="B190" s="2970" t="s">
        <v>2860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2896</v>
      </c>
      <c r="C199" s="2975">
        <v>0.13</v>
      </c>
      <c r="D199" s="2975">
        <v>0.13</v>
      </c>
      <c r="E199" s="2975">
        <v>0.13</v>
      </c>
      <c r="F199" s="2975">
        <v>0.13</v>
      </c>
      <c r="G199" s="2976">
        <v>0.13</v>
      </c>
    </row>
    <row r="200" spans="1:7">
      <c r="A200" s="2985" t="s">
        <v>304</v>
      </c>
      <c r="B200" s="2974" t="s">
        <v>2899</v>
      </c>
      <c r="C200" s="2991"/>
      <c r="D200" s="2991"/>
      <c r="E200" s="2991"/>
      <c r="F200" s="2975">
        <v>0.13</v>
      </c>
      <c r="G200" s="2987"/>
    </row>
    <row r="201" spans="1:7">
      <c r="A201" s="2985" t="s">
        <v>304</v>
      </c>
      <c r="B201" s="2974" t="s">
        <v>2904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2907</v>
      </c>
      <c r="C203" s="2975">
        <v>0.129</v>
      </c>
      <c r="D203" s="2975">
        <v>0.129</v>
      </c>
      <c r="E203" s="2975">
        <v>0.13</v>
      </c>
      <c r="F203" s="2975">
        <v>0.13</v>
      </c>
      <c r="G203" s="2976">
        <v>0.13</v>
      </c>
    </row>
    <row r="204" spans="1:7">
      <c r="A204" s="2985" t="s">
        <v>304</v>
      </c>
      <c r="B204" s="2974" t="s">
        <v>2910</v>
      </c>
      <c r="C204" s="2975">
        <v>0.129</v>
      </c>
      <c r="D204" s="2975">
        <v>0.129</v>
      </c>
      <c r="E204" s="2975">
        <v>0.123</v>
      </c>
      <c r="F204" s="2975">
        <v>0.13</v>
      </c>
      <c r="G204" s="2976">
        <v>0.13</v>
      </c>
    </row>
    <row r="205" spans="1:7">
      <c r="A205" s="2985" t="s">
        <v>304</v>
      </c>
      <c r="B205" s="2974" t="s">
        <v>2912</v>
      </c>
      <c r="C205" s="2975">
        <v>0.13</v>
      </c>
      <c r="D205" s="2975">
        <v>0.13</v>
      </c>
      <c r="E205" s="2975">
        <v>0.13</v>
      </c>
      <c r="F205" s="2975">
        <v>0.13</v>
      </c>
      <c r="G205" s="2976">
        <v>0.13</v>
      </c>
    </row>
    <row r="206" spans="1:7">
      <c r="A206" s="2985" t="s">
        <v>304</v>
      </c>
      <c r="B206" s="2974" t="s">
        <v>2915</v>
      </c>
      <c r="C206" s="2975">
        <v>0.13</v>
      </c>
      <c r="D206" s="2975">
        <v>0.13</v>
      </c>
      <c r="E206" s="2975">
        <v>0.13</v>
      </c>
      <c r="F206" s="2975">
        <v>0.128</v>
      </c>
      <c r="G206" s="2976">
        <v>0.13</v>
      </c>
    </row>
    <row r="207" spans="1:7">
      <c r="A207" s="2985" t="s">
        <v>304</v>
      </c>
      <c r="B207" s="2974" t="s">
        <v>2917</v>
      </c>
      <c r="C207" s="2975">
        <v>0.13</v>
      </c>
      <c r="D207" s="2975">
        <v>0.13</v>
      </c>
      <c r="E207" s="2975">
        <v>0.13</v>
      </c>
      <c r="F207" s="2975">
        <v>0.13</v>
      </c>
      <c r="G207" s="2976">
        <v>0.13</v>
      </c>
    </row>
    <row r="208" spans="1:7">
      <c r="A208" s="2985" t="s">
        <v>304</v>
      </c>
      <c r="B208" s="2974" t="s">
        <v>2920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2927</v>
      </c>
      <c r="C210" s="2975">
        <v>0.121</v>
      </c>
      <c r="D210" s="2975">
        <v>0.121</v>
      </c>
      <c r="E210" s="2975">
        <v>0.125</v>
      </c>
      <c r="F210" s="2975">
        <v>0.13</v>
      </c>
      <c r="G210" s="2976">
        <v>0.123</v>
      </c>
    </row>
    <row r="211" spans="1:7">
      <c r="A211" s="2985" t="s">
        <v>304</v>
      </c>
      <c r="B211" s="2974" t="s">
        <v>2930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2942</v>
      </c>
      <c r="C214" s="2975">
        <v>0.128</v>
      </c>
      <c r="D214" s="2975">
        <v>0.128</v>
      </c>
      <c r="E214" s="2975">
        <v>0.13</v>
      </c>
      <c r="F214" s="2975">
        <v>0.13</v>
      </c>
      <c r="G214" s="2976">
        <v>0.13</v>
      </c>
    </row>
    <row r="215" spans="1:7">
      <c r="A215" s="2985" t="s">
        <v>304</v>
      </c>
      <c r="B215" s="2974" t="s">
        <v>2946</v>
      </c>
      <c r="C215" s="2975">
        <v>0.13</v>
      </c>
      <c r="D215" s="2975">
        <v>0.13</v>
      </c>
      <c r="E215" s="2975">
        <v>0.13</v>
      </c>
      <c r="F215" s="2975">
        <v>0.129</v>
      </c>
      <c r="G215" s="2976">
        <v>0.13</v>
      </c>
    </row>
    <row r="216" spans="1:7">
      <c r="A216" s="2985" t="s">
        <v>304</v>
      </c>
      <c r="B216" s="2974" t="s">
        <v>2953</v>
      </c>
      <c r="C216" s="2975">
        <v>0.13</v>
      </c>
      <c r="D216" s="2975">
        <v>0.13</v>
      </c>
      <c r="E216" s="2975">
        <v>0.13</v>
      </c>
      <c r="F216" s="2975">
        <v>0.13</v>
      </c>
      <c r="G216" s="2976">
        <v>0.13</v>
      </c>
    </row>
    <row r="217" spans="1:7">
      <c r="A217" s="2985" t="s">
        <v>304</v>
      </c>
      <c r="B217" s="2974" t="s">
        <v>2960</v>
      </c>
      <c r="C217" s="2975">
        <v>0.129</v>
      </c>
      <c r="D217" s="2975">
        <v>0.129</v>
      </c>
      <c r="E217" s="2975">
        <v>0.13</v>
      </c>
      <c r="F217" s="2975">
        <v>0.13</v>
      </c>
      <c r="G217" s="2976">
        <v>0.13</v>
      </c>
    </row>
    <row r="218" spans="1:7">
      <c r="A218" s="2985" t="s">
        <v>304</v>
      </c>
      <c r="B218" s="2974" t="s">
        <v>2966</v>
      </c>
      <c r="C218" s="2986"/>
      <c r="D218" s="2986"/>
      <c r="E218" s="2986"/>
      <c r="F218" s="2975">
        <v>0.05</v>
      </c>
      <c r="G218" s="2992"/>
    </row>
    <row r="219" spans="1:7">
      <c r="A219" s="2985" t="s">
        <v>304</v>
      </c>
      <c r="B219" s="2974" t="s">
        <v>2973</v>
      </c>
      <c r="C219" s="2986"/>
      <c r="D219" s="2986"/>
      <c r="E219" s="2986"/>
      <c r="F219" s="2975">
        <v>0.05</v>
      </c>
      <c r="G219" s="2992"/>
    </row>
    <row r="220" spans="1:7">
      <c r="A220" s="2985" t="s">
        <v>304</v>
      </c>
      <c r="B220" s="2974" t="s">
        <v>2979</v>
      </c>
      <c r="C220" s="2986"/>
      <c r="D220" s="2986"/>
      <c r="E220" s="2986"/>
      <c r="F220" s="2975">
        <v>0.05</v>
      </c>
      <c r="G220" s="2992"/>
    </row>
    <row r="221" spans="1:7">
      <c r="A221" s="2985" t="s">
        <v>304</v>
      </c>
      <c r="B221" s="2974" t="s">
        <v>2984</v>
      </c>
      <c r="C221" s="2986"/>
      <c r="D221" s="2986"/>
      <c r="E221" s="2986"/>
      <c r="F221" s="2975">
        <v>0.05</v>
      </c>
      <c r="G221" s="2992"/>
    </row>
    <row r="222" spans="1:7">
      <c r="A222" s="2985" t="s">
        <v>304</v>
      </c>
      <c r="B222" s="2974" t="s">
        <v>2988</v>
      </c>
      <c r="C222" s="2986"/>
      <c r="D222" s="2986"/>
      <c r="E222" s="2986"/>
      <c r="F222" s="2975">
        <v>0.05</v>
      </c>
      <c r="G222" s="2992"/>
    </row>
    <row r="223" spans="1:7">
      <c r="A223" s="2985" t="s">
        <v>304</v>
      </c>
      <c r="B223" s="2974" t="s">
        <v>2993</v>
      </c>
      <c r="C223" s="2986"/>
      <c r="D223" s="2986"/>
      <c r="E223" s="2986"/>
      <c r="F223" s="2975">
        <v>0.05</v>
      </c>
      <c r="G223" s="2992"/>
    </row>
    <row r="224" spans="1:7">
      <c r="A224" s="2985" t="s">
        <v>304</v>
      </c>
      <c r="B224" s="2974" t="s">
        <v>2998</v>
      </c>
      <c r="C224" s="2986"/>
      <c r="D224" s="2986"/>
      <c r="E224" s="2986"/>
      <c r="F224" s="2975">
        <v>0.05</v>
      </c>
      <c r="G224" s="2992"/>
    </row>
    <row r="225" spans="1:7">
      <c r="A225" s="2985" t="s">
        <v>304</v>
      </c>
      <c r="B225" s="2974" t="s">
        <v>3003</v>
      </c>
      <c r="C225" s="2986"/>
      <c r="D225" s="2986"/>
      <c r="E225" s="2986"/>
      <c r="F225" s="2975">
        <v>0.05</v>
      </c>
      <c r="G225" s="2992"/>
    </row>
    <row r="226" spans="1:7">
      <c r="A226" s="2985" t="s">
        <v>304</v>
      </c>
      <c r="B226" s="2974" t="s">
        <v>3205</v>
      </c>
      <c r="C226" s="2986"/>
      <c r="D226" s="2986"/>
      <c r="E226" s="2986"/>
      <c r="F226" s="2975">
        <v>0.05</v>
      </c>
      <c r="G226" s="2992"/>
    </row>
    <row r="227" spans="1:7">
      <c r="A227" s="2985" t="s">
        <v>304</v>
      </c>
      <c r="B227" s="2974" t="s">
        <v>3206</v>
      </c>
      <c r="C227" s="2986"/>
      <c r="D227" s="2986"/>
      <c r="E227" s="2986"/>
      <c r="F227" s="2975">
        <v>0.05</v>
      </c>
      <c r="G227" s="2992"/>
    </row>
    <row r="228" spans="1:7">
      <c r="A228" s="2985" t="s">
        <v>304</v>
      </c>
      <c r="B228" s="2974" t="s">
        <v>3207</v>
      </c>
      <c r="C228" s="2986"/>
      <c r="D228" s="2986"/>
      <c r="E228" s="2986"/>
      <c r="F228" s="2975">
        <v>0.05</v>
      </c>
      <c r="G228" s="2992"/>
    </row>
    <row r="229" spans="1:7">
      <c r="A229" s="2985" t="s">
        <v>304</v>
      </c>
      <c r="B229" s="2974" t="s">
        <v>3208</v>
      </c>
      <c r="C229" s="2986"/>
      <c r="D229" s="2986"/>
      <c r="E229" s="2986"/>
      <c r="F229" s="2975">
        <v>0.05</v>
      </c>
      <c r="G229" s="2992"/>
    </row>
    <row r="230" spans="1:7">
      <c r="A230" s="2985" t="s">
        <v>304</v>
      </c>
      <c r="B230" s="2974" t="s">
        <v>3209</v>
      </c>
      <c r="C230" s="2986"/>
      <c r="D230" s="2986"/>
      <c r="E230" s="2986"/>
      <c r="F230" s="2975">
        <v>0.05</v>
      </c>
      <c r="G230" s="2992"/>
    </row>
    <row r="231" spans="1:7">
      <c r="A231" s="2985" t="s">
        <v>304</v>
      </c>
      <c r="B231" s="2974" t="s">
        <v>3210</v>
      </c>
      <c r="C231" s="2986"/>
      <c r="D231" s="2986"/>
      <c r="E231" s="2986"/>
      <c r="F231" s="2975">
        <v>0.05</v>
      </c>
      <c r="G231" s="2992"/>
    </row>
    <row r="232" spans="1:7">
      <c r="A232" s="2985" t="s">
        <v>304</v>
      </c>
      <c r="B232" s="2974" t="s">
        <v>3211</v>
      </c>
      <c r="C232" s="2986"/>
      <c r="D232" s="2986"/>
      <c r="E232" s="2986"/>
      <c r="F232" s="2975">
        <v>0.05</v>
      </c>
      <c r="G232" s="2992"/>
    </row>
    <row r="233" spans="1:7" ht="14.25" thickBot="1">
      <c r="A233" s="2988" t="s">
        <v>304</v>
      </c>
      <c r="B233" s="2978" t="s">
        <v>3212</v>
      </c>
      <c r="C233" s="2980"/>
      <c r="D233" s="2980"/>
      <c r="E233" s="2980"/>
      <c r="F233" s="2979">
        <v>0.05</v>
      </c>
      <c r="G233" s="2993"/>
    </row>
    <row r="234" spans="1:7">
      <c r="A234" s="2984" t="s">
        <v>305</v>
      </c>
      <c r="B234" s="2970" t="s">
        <v>2861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2881</v>
      </c>
      <c r="C238" s="2975">
        <v>0.14899999999999999</v>
      </c>
      <c r="D238" s="2975">
        <v>0.14899999999999999</v>
      </c>
      <c r="E238" s="2975">
        <v>0.15</v>
      </c>
      <c r="F238" s="2975">
        <v>0.15</v>
      </c>
      <c r="G238" s="2976">
        <v>0.15</v>
      </c>
    </row>
    <row r="239" spans="1:7">
      <c r="A239" s="2985" t="s">
        <v>305</v>
      </c>
      <c r="B239" s="2974" t="s">
        <v>2885</v>
      </c>
      <c r="C239" s="2975">
        <v>0.15</v>
      </c>
      <c r="D239" s="2975">
        <v>0.15</v>
      </c>
      <c r="E239" s="2975">
        <v>0.15</v>
      </c>
      <c r="F239" s="2975">
        <v>0.15</v>
      </c>
      <c r="G239" s="2976">
        <v>0.15</v>
      </c>
    </row>
    <row r="240" spans="1:7">
      <c r="A240" s="2985" t="s">
        <v>305</v>
      </c>
      <c r="B240" s="2974" t="s">
        <v>2890</v>
      </c>
      <c r="C240" s="2975">
        <v>0.15</v>
      </c>
      <c r="D240" s="2975">
        <v>0.15</v>
      </c>
      <c r="E240" s="2975">
        <v>0.15</v>
      </c>
      <c r="F240" s="2975">
        <v>0.15</v>
      </c>
      <c r="G240" s="2976">
        <v>0.15</v>
      </c>
    </row>
    <row r="241" spans="1:7">
      <c r="A241" s="2985" t="s">
        <v>305</v>
      </c>
      <c r="B241" s="2974" t="s">
        <v>2894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2943</v>
      </c>
      <c r="C258" s="2975">
        <v>0.14299999999999999</v>
      </c>
      <c r="D258" s="2975">
        <v>0.14299999999999999</v>
      </c>
      <c r="E258" s="2975">
        <v>0.15</v>
      </c>
      <c r="F258" s="2975">
        <v>0.14799999999999999</v>
      </c>
      <c r="G258" s="2976">
        <v>0.14599999999999999</v>
      </c>
    </row>
    <row r="259" spans="1:7">
      <c r="A259" s="2985" t="s">
        <v>305</v>
      </c>
      <c r="B259" s="2974" t="s">
        <v>2947</v>
      </c>
      <c r="C259" s="2975">
        <v>0.14399999999999999</v>
      </c>
      <c r="D259" s="2975">
        <v>0.14399999999999999</v>
      </c>
      <c r="E259" s="2975">
        <v>0.14899999999999999</v>
      </c>
      <c r="F259" s="2975">
        <v>0.14699999999999999</v>
      </c>
      <c r="G259" s="2976">
        <v>0.14599999999999999</v>
      </c>
    </row>
    <row r="260" spans="1:7">
      <c r="A260" s="2985" t="s">
        <v>305</v>
      </c>
      <c r="B260" s="2974" t="s">
        <v>2954</v>
      </c>
      <c r="C260" s="2975">
        <v>0.109</v>
      </c>
      <c r="D260" s="2975">
        <v>0.111</v>
      </c>
      <c r="E260" s="2975">
        <v>0.13100000000000001</v>
      </c>
      <c r="F260" s="2975">
        <v>0.126</v>
      </c>
      <c r="G260" s="2976">
        <v>0.11899999999999999</v>
      </c>
    </row>
    <row r="261" spans="1:7">
      <c r="A261" s="2985" t="s">
        <v>305</v>
      </c>
      <c r="B261" s="2974" t="s">
        <v>2961</v>
      </c>
      <c r="C261" s="2975">
        <v>0.1</v>
      </c>
      <c r="D261" s="2975">
        <v>0.1</v>
      </c>
      <c r="E261" s="2975">
        <v>0.11799999999999999</v>
      </c>
      <c r="F261" s="2975">
        <v>0.108</v>
      </c>
      <c r="G261" s="2976">
        <v>0.107</v>
      </c>
    </row>
    <row r="262" spans="1:7">
      <c r="A262" s="2985" t="s">
        <v>305</v>
      </c>
      <c r="B262" s="2974" t="s">
        <v>2967</v>
      </c>
      <c r="C262" s="2975">
        <v>0.1</v>
      </c>
      <c r="D262" s="2975">
        <v>0.1</v>
      </c>
      <c r="E262" s="2975">
        <v>0.1</v>
      </c>
      <c r="F262" s="2975">
        <v>0.14099999999999999</v>
      </c>
      <c r="G262" s="2976">
        <v>0.1</v>
      </c>
    </row>
    <row r="263" spans="1:7">
      <c r="A263" s="2985" t="s">
        <v>305</v>
      </c>
      <c r="B263" s="2974" t="s">
        <v>2974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2985</v>
      </c>
      <c r="C265" s="2986"/>
      <c r="D265" s="2986"/>
      <c r="E265" s="2986"/>
      <c r="F265" s="2975">
        <v>0.05</v>
      </c>
      <c r="G265" s="2992"/>
    </row>
    <row r="266" spans="1:7">
      <c r="A266" s="2985" t="s">
        <v>305</v>
      </c>
      <c r="B266" s="2974" t="s">
        <v>2989</v>
      </c>
      <c r="C266" s="2986"/>
      <c r="D266" s="2986"/>
      <c r="E266" s="2986"/>
      <c r="F266" s="2975">
        <v>0.05</v>
      </c>
      <c r="G266" s="2992"/>
    </row>
    <row r="267" spans="1:7">
      <c r="A267" s="2985" t="s">
        <v>305</v>
      </c>
      <c r="B267" s="2974" t="s">
        <v>2994</v>
      </c>
      <c r="C267" s="2986"/>
      <c r="D267" s="2986"/>
      <c r="E267" s="2986"/>
      <c r="F267" s="2975">
        <v>0.05</v>
      </c>
      <c r="G267" s="2992"/>
    </row>
    <row r="268" spans="1:7">
      <c r="A268" s="2985" t="s">
        <v>305</v>
      </c>
      <c r="B268" s="2974" t="s">
        <v>2999</v>
      </c>
      <c r="C268" s="2986"/>
      <c r="D268" s="2986"/>
      <c r="E268" s="2986"/>
      <c r="F268" s="2975">
        <v>0.05</v>
      </c>
      <c r="G268" s="2992"/>
    </row>
    <row r="269" spans="1:7">
      <c r="A269" s="2985" t="s">
        <v>305</v>
      </c>
      <c r="B269" s="2974" t="s">
        <v>3004</v>
      </c>
      <c r="C269" s="2986"/>
      <c r="D269" s="2986"/>
      <c r="E269" s="2986"/>
      <c r="F269" s="2975">
        <v>0.05</v>
      </c>
      <c r="G269" s="2992"/>
    </row>
    <row r="270" spans="1:7">
      <c r="A270" s="2985" t="s">
        <v>305</v>
      </c>
      <c r="B270" s="2974" t="s">
        <v>3009</v>
      </c>
      <c r="C270" s="2986"/>
      <c r="D270" s="2986"/>
      <c r="E270" s="2986"/>
      <c r="F270" s="2975">
        <v>0.05</v>
      </c>
      <c r="G270" s="2992"/>
    </row>
    <row r="271" spans="1:7">
      <c r="A271" s="2985" t="s">
        <v>305</v>
      </c>
      <c r="B271" s="2974" t="s">
        <v>3213</v>
      </c>
      <c r="C271" s="2986"/>
      <c r="D271" s="2986"/>
      <c r="E271" s="2986"/>
      <c r="F271" s="2975">
        <v>0.05</v>
      </c>
      <c r="G271" s="2992"/>
    </row>
    <row r="272" spans="1:7">
      <c r="A272" s="2985" t="s">
        <v>305</v>
      </c>
      <c r="B272" s="2974" t="s">
        <v>3214</v>
      </c>
      <c r="C272" s="2986"/>
      <c r="D272" s="2986"/>
      <c r="E272" s="2986"/>
      <c r="F272" s="2975">
        <v>0.05</v>
      </c>
      <c r="G272" s="2992"/>
    </row>
    <row r="273" spans="1:7">
      <c r="A273" s="2985" t="s">
        <v>305</v>
      </c>
      <c r="B273" s="2974" t="s">
        <v>3215</v>
      </c>
      <c r="C273" s="2986"/>
      <c r="D273" s="2986"/>
      <c r="E273" s="2986"/>
      <c r="F273" s="2975">
        <v>0.05</v>
      </c>
      <c r="G273" s="2992"/>
    </row>
    <row r="274" spans="1:7">
      <c r="A274" s="2985" t="s">
        <v>305</v>
      </c>
      <c r="B274" s="2974" t="s">
        <v>3216</v>
      </c>
      <c r="C274" s="2986"/>
      <c r="D274" s="2986"/>
      <c r="E274" s="2986"/>
      <c r="F274" s="2975">
        <v>0.05</v>
      </c>
      <c r="G274" s="2992"/>
    </row>
    <row r="275" spans="1:7">
      <c r="A275" s="2985" t="s">
        <v>305</v>
      </c>
      <c r="B275" s="2974" t="s">
        <v>3217</v>
      </c>
      <c r="C275" s="2986"/>
      <c r="D275" s="2986"/>
      <c r="E275" s="2986"/>
      <c r="F275" s="2975">
        <v>0.05</v>
      </c>
      <c r="G275" s="2992"/>
    </row>
    <row r="276" spans="1:7" ht="14.25" thickBot="1">
      <c r="A276" s="2988" t="s">
        <v>305</v>
      </c>
      <c r="B276" s="2978" t="s">
        <v>3218</v>
      </c>
      <c r="C276" s="2980"/>
      <c r="D276" s="2980"/>
      <c r="E276" s="2980"/>
      <c r="F276" s="2979">
        <v>0.05</v>
      </c>
      <c r="G276" s="2993"/>
    </row>
    <row r="277" spans="1:7">
      <c r="A277" s="2984" t="s">
        <v>306</v>
      </c>
      <c r="B277" s="2970" t="s">
        <v>2862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2874</v>
      </c>
      <c r="C279" s="2975">
        <v>0.15</v>
      </c>
      <c r="D279" s="2975">
        <v>0.15</v>
      </c>
      <c r="E279" s="2975">
        <v>0.15</v>
      </c>
      <c r="F279" s="2975">
        <v>0.15</v>
      </c>
      <c r="G279" s="2976">
        <v>0.15</v>
      </c>
    </row>
    <row r="280" spans="1:7">
      <c r="A280" s="2985" t="s">
        <v>306</v>
      </c>
      <c r="B280" s="2974" t="s">
        <v>2878</v>
      </c>
      <c r="C280" s="2975">
        <v>0.15</v>
      </c>
      <c r="D280" s="2975">
        <v>0.15</v>
      </c>
      <c r="E280" s="2975">
        <v>0.15</v>
      </c>
      <c r="F280" s="2975">
        <v>0.15</v>
      </c>
      <c r="G280" s="2976">
        <v>0.15</v>
      </c>
    </row>
    <row r="281" spans="1:7">
      <c r="A281" s="2985" t="s">
        <v>306</v>
      </c>
      <c r="B281" s="2974" t="s">
        <v>2882</v>
      </c>
      <c r="C281" s="2975">
        <v>0.15</v>
      </c>
      <c r="D281" s="2975">
        <v>0.15</v>
      </c>
      <c r="E281" s="2975">
        <v>0.15</v>
      </c>
      <c r="F281" s="2975">
        <v>0.15</v>
      </c>
      <c r="G281" s="2976">
        <v>0.15</v>
      </c>
    </row>
    <row r="282" spans="1:7">
      <c r="A282" s="2985" t="s">
        <v>306</v>
      </c>
      <c r="B282" s="2974" t="s">
        <v>2886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2916</v>
      </c>
      <c r="C293" s="2975">
        <v>0.15</v>
      </c>
      <c r="D293" s="2975">
        <v>0.15</v>
      </c>
      <c r="E293" s="2975">
        <v>0.15</v>
      </c>
      <c r="F293" s="2975">
        <v>0.14499999999999999</v>
      </c>
      <c r="G293" s="2976">
        <v>0.15</v>
      </c>
    </row>
    <row r="294" spans="1:7">
      <c r="A294" s="2985" t="s">
        <v>306</v>
      </c>
      <c r="B294" s="2974" t="s">
        <v>2918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2948</v>
      </c>
      <c r="C302" s="2975">
        <v>0.15</v>
      </c>
      <c r="D302" s="2975">
        <v>0.15</v>
      </c>
      <c r="E302" s="2975">
        <v>0.15</v>
      </c>
      <c r="F302" s="2975">
        <v>0.14699999999999999</v>
      </c>
      <c r="G302" s="2976">
        <v>0.15</v>
      </c>
    </row>
    <row r="303" spans="1:7">
      <c r="A303" s="2985" t="s">
        <v>306</v>
      </c>
      <c r="B303" s="2974" t="s">
        <v>2955</v>
      </c>
      <c r="C303" s="2975">
        <v>0.15</v>
      </c>
      <c r="D303" s="2975">
        <v>0.15</v>
      </c>
      <c r="E303" s="2975">
        <v>0.15</v>
      </c>
      <c r="F303" s="2975">
        <v>0.14199999999999999</v>
      </c>
      <c r="G303" s="2976">
        <v>0.15</v>
      </c>
    </row>
    <row r="304" spans="1:7">
      <c r="A304" s="2985" t="s">
        <v>306</v>
      </c>
      <c r="B304" s="2974" t="s">
        <v>2962</v>
      </c>
      <c r="C304" s="2975">
        <v>0.15</v>
      </c>
      <c r="D304" s="2975">
        <v>0.15</v>
      </c>
      <c r="E304" s="2975">
        <v>0.15</v>
      </c>
      <c r="F304" s="2975">
        <v>0.14499999999999999</v>
      </c>
      <c r="G304" s="2976">
        <v>0.15</v>
      </c>
    </row>
    <row r="305" spans="1:7">
      <c r="A305" s="2985" t="s">
        <v>306</v>
      </c>
      <c r="B305" s="2974" t="s">
        <v>2968</v>
      </c>
      <c r="C305" s="2975">
        <v>0.15</v>
      </c>
      <c r="D305" s="2975">
        <v>0.15</v>
      </c>
      <c r="E305" s="2975">
        <v>0.15</v>
      </c>
      <c r="F305" s="2975">
        <v>0.111</v>
      </c>
      <c r="G305" s="2976">
        <v>0.15</v>
      </c>
    </row>
    <row r="306" spans="1:7">
      <c r="A306" s="2985" t="s">
        <v>306</v>
      </c>
      <c r="B306" s="2974" t="s">
        <v>2975</v>
      </c>
      <c r="C306" s="2975">
        <v>0.15</v>
      </c>
      <c r="D306" s="2975">
        <v>0.15</v>
      </c>
      <c r="E306" s="2975">
        <v>0.15</v>
      </c>
      <c r="F306" s="2975">
        <v>0.126</v>
      </c>
      <c r="G306" s="2976">
        <v>0.15</v>
      </c>
    </row>
    <row r="307" spans="1:7">
      <c r="A307" s="2985" t="s">
        <v>306</v>
      </c>
      <c r="B307" s="2974" t="s">
        <v>2980</v>
      </c>
      <c r="C307" s="2975">
        <v>0.15</v>
      </c>
      <c r="D307" s="2975">
        <v>0.15</v>
      </c>
      <c r="E307" s="2975">
        <v>0.15</v>
      </c>
      <c r="F307" s="2975">
        <v>0.12</v>
      </c>
      <c r="G307" s="2976">
        <v>0.15</v>
      </c>
    </row>
    <row r="308" spans="1:7">
      <c r="A308" s="2985" t="s">
        <v>306</v>
      </c>
      <c r="B308" s="2974" t="s">
        <v>2986</v>
      </c>
      <c r="C308" s="2975">
        <v>0.15</v>
      </c>
      <c r="D308" s="2975">
        <v>0.15</v>
      </c>
      <c r="E308" s="2975">
        <v>0.15</v>
      </c>
      <c r="F308" s="2975">
        <v>0.13</v>
      </c>
      <c r="G308" s="2976">
        <v>0.15</v>
      </c>
    </row>
    <row r="309" spans="1:7">
      <c r="A309" s="2985" t="s">
        <v>306</v>
      </c>
      <c r="B309" s="2974" t="s">
        <v>2990</v>
      </c>
      <c r="C309" s="2975">
        <v>0.15</v>
      </c>
      <c r="D309" s="2975">
        <v>0.15</v>
      </c>
      <c r="E309" s="2975">
        <v>0.15</v>
      </c>
      <c r="F309" s="2975">
        <v>0.14099999999999999</v>
      </c>
      <c r="G309" s="2976">
        <v>0.15</v>
      </c>
    </row>
    <row r="310" spans="1:7">
      <c r="A310" s="2985" t="s">
        <v>306</v>
      </c>
      <c r="B310" s="2974" t="s">
        <v>2995</v>
      </c>
      <c r="C310" s="2975">
        <v>0.15</v>
      </c>
      <c r="D310" s="2975">
        <v>0.15</v>
      </c>
      <c r="E310" s="2975">
        <v>0.15</v>
      </c>
      <c r="F310" s="2975">
        <v>0.15</v>
      </c>
      <c r="G310" s="2976">
        <v>0.15</v>
      </c>
    </row>
    <row r="311" spans="1:7">
      <c r="A311" s="2985" t="s">
        <v>306</v>
      </c>
      <c r="B311" s="2974" t="s">
        <v>3000</v>
      </c>
      <c r="C311" s="2975">
        <v>0.13200000000000001</v>
      </c>
      <c r="D311" s="2975">
        <v>0.13300000000000001</v>
      </c>
      <c r="E311" s="2975">
        <v>0.14499999999999999</v>
      </c>
      <c r="F311" s="2975">
        <v>0.14199999999999999</v>
      </c>
      <c r="G311" s="2976">
        <v>0.14000000000000001</v>
      </c>
    </row>
    <row r="312" spans="1:7">
      <c r="A312" s="2985" t="s">
        <v>306</v>
      </c>
      <c r="B312" s="2974" t="s">
        <v>3005</v>
      </c>
      <c r="C312" s="2975">
        <v>0.13800000000000001</v>
      </c>
      <c r="D312" s="2975">
        <v>0.14000000000000001</v>
      </c>
      <c r="E312" s="2975">
        <v>0.14599999999999999</v>
      </c>
      <c r="F312" s="2975">
        <v>0.14899999999999999</v>
      </c>
      <c r="G312" s="2976">
        <v>0.14199999999999999</v>
      </c>
    </row>
    <row r="313" spans="1:7">
      <c r="A313" s="2985" t="s">
        <v>306</v>
      </c>
      <c r="B313" s="2974" t="s">
        <v>3010</v>
      </c>
      <c r="C313" s="2975">
        <v>0.125</v>
      </c>
      <c r="D313" s="2975">
        <v>0.127</v>
      </c>
      <c r="E313" s="2975">
        <v>0.14399999999999999</v>
      </c>
      <c r="F313" s="2975">
        <v>0.115</v>
      </c>
      <c r="G313" s="2976">
        <v>0.13600000000000001</v>
      </c>
    </row>
    <row r="314" spans="1:7">
      <c r="A314" s="2985" t="s">
        <v>306</v>
      </c>
      <c r="B314" s="2974" t="s">
        <v>3219</v>
      </c>
      <c r="C314" s="2991"/>
      <c r="D314" s="2991"/>
      <c r="E314" s="2991"/>
      <c r="F314" s="2975">
        <v>0.05</v>
      </c>
      <c r="G314" s="2992"/>
    </row>
    <row r="315" spans="1:7">
      <c r="A315" s="2985" t="s">
        <v>306</v>
      </c>
      <c r="B315" s="2974" t="s">
        <v>3220</v>
      </c>
      <c r="C315" s="2991"/>
      <c r="D315" s="2991"/>
      <c r="E315" s="2991"/>
      <c r="F315" s="2975">
        <v>0.05</v>
      </c>
      <c r="G315" s="2992"/>
    </row>
    <row r="316" spans="1:7">
      <c r="A316" s="2985" t="s">
        <v>306</v>
      </c>
      <c r="B316" s="2974" t="s">
        <v>3221</v>
      </c>
      <c r="C316" s="2986"/>
      <c r="D316" s="2986"/>
      <c r="E316" s="2986"/>
      <c r="F316" s="2975">
        <v>0.05</v>
      </c>
      <c r="G316" s="2992"/>
    </row>
    <row r="317" spans="1:7">
      <c r="A317" s="2985" t="s">
        <v>306</v>
      </c>
      <c r="B317" s="2974" t="s">
        <v>3222</v>
      </c>
      <c r="C317" s="2986"/>
      <c r="D317" s="2986"/>
      <c r="E317" s="2986"/>
      <c r="F317" s="2975">
        <v>0.05</v>
      </c>
      <c r="G317" s="2992"/>
    </row>
    <row r="318" spans="1:7">
      <c r="A318" s="2985" t="s">
        <v>306</v>
      </c>
      <c r="B318" s="2974" t="s">
        <v>3223</v>
      </c>
      <c r="C318" s="2986"/>
      <c r="D318" s="2986"/>
      <c r="E318" s="2986"/>
      <c r="F318" s="2975">
        <v>0.05</v>
      </c>
      <c r="G318" s="2992"/>
    </row>
    <row r="319" spans="1:7">
      <c r="A319" s="2985" t="s">
        <v>306</v>
      </c>
      <c r="B319" s="2974" t="s">
        <v>3224</v>
      </c>
      <c r="C319" s="2986"/>
      <c r="D319" s="2986"/>
      <c r="E319" s="2986"/>
      <c r="F319" s="2975">
        <v>0.05</v>
      </c>
      <c r="G319" s="2992"/>
    </row>
    <row r="320" spans="1:7">
      <c r="A320" s="2985" t="s">
        <v>306</v>
      </c>
      <c r="B320" s="2974" t="s">
        <v>3225</v>
      </c>
      <c r="C320" s="2986"/>
      <c r="D320" s="2986"/>
      <c r="E320" s="2986"/>
      <c r="F320" s="2975">
        <v>0.05</v>
      </c>
      <c r="G320" s="2992"/>
    </row>
    <row r="321" spans="1:7">
      <c r="A321" s="2985" t="s">
        <v>306</v>
      </c>
      <c r="B321" s="2974" t="s">
        <v>3226</v>
      </c>
      <c r="C321" s="2986"/>
      <c r="D321" s="2986"/>
      <c r="E321" s="2986"/>
      <c r="F321" s="2975">
        <v>0.05</v>
      </c>
      <c r="G321" s="2992"/>
    </row>
    <row r="322" spans="1:7">
      <c r="A322" s="2985" t="s">
        <v>306</v>
      </c>
      <c r="B322" s="2974" t="s">
        <v>3227</v>
      </c>
      <c r="C322" s="2986"/>
      <c r="D322" s="2986"/>
      <c r="E322" s="2986"/>
      <c r="F322" s="2975">
        <v>0.05</v>
      </c>
      <c r="G322" s="2992"/>
    </row>
    <row r="323" spans="1:7">
      <c r="A323" s="2985" t="s">
        <v>306</v>
      </c>
      <c r="B323" s="2974" t="s">
        <v>3228</v>
      </c>
      <c r="C323" s="2986"/>
      <c r="D323" s="2986"/>
      <c r="E323" s="2986"/>
      <c r="F323" s="2975">
        <v>0.05</v>
      </c>
      <c r="G323" s="2992"/>
    </row>
    <row r="324" spans="1:7">
      <c r="A324" s="2985" t="s">
        <v>306</v>
      </c>
      <c r="B324" s="2974" t="s">
        <v>3229</v>
      </c>
      <c r="C324" s="2986"/>
      <c r="D324" s="2986"/>
      <c r="E324" s="2986"/>
      <c r="F324" s="2975">
        <v>0.05</v>
      </c>
      <c r="G324" s="2992"/>
    </row>
    <row r="325" spans="1:7">
      <c r="A325" s="2985" t="s">
        <v>306</v>
      </c>
      <c r="B325" s="2974" t="s">
        <v>3230</v>
      </c>
      <c r="C325" s="2986"/>
      <c r="D325" s="2986"/>
      <c r="E325" s="2986"/>
      <c r="F325" s="2975">
        <v>0.05</v>
      </c>
      <c r="G325" s="2992"/>
    </row>
    <row r="326" spans="1:7" ht="14.25" thickBot="1">
      <c r="A326" s="2988" t="s">
        <v>306</v>
      </c>
      <c r="B326" s="2978" t="s">
        <v>3231</v>
      </c>
      <c r="C326" s="2980"/>
      <c r="D326" s="2980"/>
      <c r="E326" s="2980"/>
      <c r="F326" s="2979">
        <v>0.05</v>
      </c>
      <c r="G326" s="2993"/>
    </row>
    <row r="327" spans="1:7">
      <c r="A327" s="2984" t="s">
        <v>307</v>
      </c>
      <c r="B327" s="2970" t="s">
        <v>2863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2875</v>
      </c>
      <c r="C329" s="2975">
        <v>0.15</v>
      </c>
      <c r="D329" s="2975">
        <v>0.15</v>
      </c>
      <c r="E329" s="2975">
        <v>0.15</v>
      </c>
      <c r="F329" s="2975">
        <v>0.15</v>
      </c>
      <c r="G329" s="2976">
        <v>0.15</v>
      </c>
    </row>
    <row r="330" spans="1:7">
      <c r="A330" s="2985" t="s">
        <v>307</v>
      </c>
      <c r="B330" s="2974" t="s">
        <v>2879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2887</v>
      </c>
      <c r="C332" s="2975">
        <v>0.15</v>
      </c>
      <c r="D332" s="2975">
        <v>0.15</v>
      </c>
      <c r="E332" s="2975">
        <v>0.15</v>
      </c>
      <c r="F332" s="2975">
        <v>0.15</v>
      </c>
      <c r="G332" s="2976">
        <v>0.15</v>
      </c>
    </row>
    <row r="333" spans="1:7">
      <c r="A333" s="2985" t="s">
        <v>307</v>
      </c>
      <c r="B333" s="2974" t="s">
        <v>2891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2897</v>
      </c>
      <c r="C336" s="2975">
        <v>0.15</v>
      </c>
      <c r="D336" s="2975">
        <v>0.15</v>
      </c>
      <c r="E336" s="2975">
        <v>0.15</v>
      </c>
      <c r="F336" s="2975">
        <v>0.14199999999999999</v>
      </c>
      <c r="G336" s="2976">
        <v>0.15</v>
      </c>
    </row>
    <row r="337" spans="1:7">
      <c r="A337" s="2985" t="s">
        <v>307</v>
      </c>
      <c r="B337" s="2974" t="s">
        <v>2902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2922</v>
      </c>
      <c r="C345" s="2975">
        <v>0.15</v>
      </c>
      <c r="D345" s="2975">
        <v>0.15</v>
      </c>
      <c r="E345" s="2975">
        <v>0.15</v>
      </c>
      <c r="F345" s="2975">
        <v>0.13800000000000001</v>
      </c>
      <c r="G345" s="2976">
        <v>0.15</v>
      </c>
    </row>
    <row r="346" spans="1:7">
      <c r="A346" s="2985" t="s">
        <v>307</v>
      </c>
      <c r="B346" s="2974" t="s">
        <v>2924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2931</v>
      </c>
      <c r="C348" s="2975">
        <v>0.15</v>
      </c>
      <c r="D348" s="2975">
        <v>0.15</v>
      </c>
      <c r="E348" s="2975">
        <v>0.15</v>
      </c>
      <c r="F348" s="2975">
        <v>0.14399999999999999</v>
      </c>
      <c r="G348" s="2976">
        <v>0.15</v>
      </c>
    </row>
    <row r="349" spans="1:7">
      <c r="A349" s="2985" t="s">
        <v>307</v>
      </c>
      <c r="B349" s="2974" t="s">
        <v>2936</v>
      </c>
      <c r="C349" s="2975">
        <v>0.15</v>
      </c>
      <c r="D349" s="2975">
        <v>0.15</v>
      </c>
      <c r="E349" s="2975">
        <v>0.15</v>
      </c>
      <c r="F349" s="2975">
        <v>0.15</v>
      </c>
      <c r="G349" s="2976">
        <v>0.15</v>
      </c>
    </row>
    <row r="350" spans="1:7">
      <c r="A350" s="2985" t="s">
        <v>307</v>
      </c>
      <c r="B350" s="2974" t="s">
        <v>2939</v>
      </c>
      <c r="C350" s="2975">
        <v>0.15</v>
      </c>
      <c r="D350" s="2975">
        <v>0.15</v>
      </c>
      <c r="E350" s="2975">
        <v>0.15</v>
      </c>
      <c r="F350" s="2975">
        <v>0.14699999999999999</v>
      </c>
      <c r="G350" s="2976">
        <v>0.15</v>
      </c>
    </row>
    <row r="351" spans="1:7">
      <c r="A351" s="2985" t="s">
        <v>307</v>
      </c>
      <c r="B351" s="2974" t="s">
        <v>2944</v>
      </c>
      <c r="C351" s="2975">
        <v>0.15</v>
      </c>
      <c r="D351" s="2975">
        <v>0.15</v>
      </c>
      <c r="E351" s="2975">
        <v>0.15</v>
      </c>
      <c r="F351" s="2975">
        <v>0.13</v>
      </c>
      <c r="G351" s="2976">
        <v>0.15</v>
      </c>
    </row>
    <row r="352" spans="1:7">
      <c r="A352" s="2985" t="s">
        <v>307</v>
      </c>
      <c r="B352" s="2974" t="s">
        <v>2949</v>
      </c>
      <c r="C352" s="2975">
        <v>0.15</v>
      </c>
      <c r="D352" s="2975">
        <v>0.15</v>
      </c>
      <c r="E352" s="2975">
        <v>0.15</v>
      </c>
      <c r="F352" s="2975">
        <v>0.14599999999999999</v>
      </c>
      <c r="G352" s="2976">
        <v>0.15</v>
      </c>
    </row>
    <row r="353" spans="1:7">
      <c r="A353" s="2985" t="s">
        <v>307</v>
      </c>
      <c r="B353" s="2974" t="s">
        <v>2956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2969</v>
      </c>
      <c r="C355" s="2975">
        <v>0.15</v>
      </c>
      <c r="D355" s="2975">
        <v>0.15</v>
      </c>
      <c r="E355" s="2975">
        <v>0.15</v>
      </c>
      <c r="F355" s="2975">
        <v>0.15</v>
      </c>
      <c r="G355" s="2976">
        <v>0.15</v>
      </c>
    </row>
    <row r="356" spans="1:7">
      <c r="A356" s="2985" t="s">
        <v>307</v>
      </c>
      <c r="B356" s="2974" t="s">
        <v>2976</v>
      </c>
      <c r="C356" s="2975">
        <v>0.15</v>
      </c>
      <c r="D356" s="2975">
        <v>0.15</v>
      </c>
      <c r="E356" s="2975">
        <v>0.15</v>
      </c>
      <c r="F356" s="2975">
        <v>0.15</v>
      </c>
      <c r="G356" s="2976">
        <v>0.15</v>
      </c>
    </row>
    <row r="357" spans="1:7" ht="14.25" thickBot="1">
      <c r="A357" s="2988" t="s">
        <v>307</v>
      </c>
      <c r="B357" s="2978" t="s">
        <v>2981</v>
      </c>
      <c r="C357" s="2979">
        <v>0.126</v>
      </c>
      <c r="D357" s="2979">
        <v>0.127</v>
      </c>
      <c r="E357" s="2979">
        <v>0.14299999999999999</v>
      </c>
      <c r="F357" s="2979">
        <v>0.125</v>
      </c>
      <c r="G357" s="2981">
        <v>0.129</v>
      </c>
    </row>
    <row r="358" spans="1:7">
      <c r="A358" s="2984" t="s">
        <v>2850</v>
      </c>
      <c r="B358" s="2970" t="s">
        <v>2864</v>
      </c>
      <c r="C358" s="2971">
        <v>0.15</v>
      </c>
      <c r="D358" s="2971">
        <v>0.15</v>
      </c>
      <c r="E358" s="2971">
        <v>0.15</v>
      </c>
      <c r="F358" s="2971">
        <v>0.15</v>
      </c>
      <c r="G358" s="2972">
        <v>0.15</v>
      </c>
    </row>
    <row r="359" spans="1:7">
      <c r="A359" s="2985" t="s">
        <v>2850</v>
      </c>
      <c r="B359" s="2974" t="s">
        <v>2870</v>
      </c>
      <c r="C359" s="2975">
        <v>0.1</v>
      </c>
      <c r="D359" s="2975">
        <v>0.1</v>
      </c>
      <c r="E359" s="2975">
        <v>0.1</v>
      </c>
      <c r="F359" s="2975">
        <v>0.1</v>
      </c>
      <c r="G359" s="2976">
        <v>0.1</v>
      </c>
    </row>
    <row r="360" spans="1:7">
      <c r="A360" s="2985" t="s">
        <v>2850</v>
      </c>
      <c r="B360" s="2974" t="s">
        <v>2876</v>
      </c>
      <c r="C360" s="2975">
        <v>0.15</v>
      </c>
      <c r="D360" s="2975">
        <v>0.15</v>
      </c>
      <c r="E360" s="2975">
        <v>0.15</v>
      </c>
      <c r="F360" s="2975">
        <v>0.14899999999999999</v>
      </c>
      <c r="G360" s="2976">
        <v>0.15</v>
      </c>
    </row>
    <row r="361" spans="1:7">
      <c r="A361" s="2985" t="s">
        <v>2850</v>
      </c>
      <c r="B361" s="2974" t="s">
        <v>153</v>
      </c>
      <c r="C361" s="2975">
        <v>0.15</v>
      </c>
      <c r="D361" s="2975">
        <v>0.15</v>
      </c>
      <c r="E361" s="2975">
        <v>0.15</v>
      </c>
      <c r="F361" s="2975">
        <v>0.115</v>
      </c>
      <c r="G361" s="2976">
        <v>0.15</v>
      </c>
    </row>
    <row r="362" spans="1:7">
      <c r="A362" s="2985" t="s">
        <v>2850</v>
      </c>
      <c r="B362" s="2974" t="s">
        <v>2883</v>
      </c>
      <c r="C362" s="2975">
        <v>0.15</v>
      </c>
      <c r="D362" s="2975">
        <v>0.15</v>
      </c>
      <c r="E362" s="2975">
        <v>0.15</v>
      </c>
      <c r="F362" s="2975">
        <v>0.106</v>
      </c>
      <c r="G362" s="2976">
        <v>0.15</v>
      </c>
    </row>
    <row r="363" spans="1:7">
      <c r="A363" s="2985" t="s">
        <v>2850</v>
      </c>
      <c r="B363" s="2974" t="s">
        <v>2888</v>
      </c>
      <c r="C363" s="2975">
        <v>0.15</v>
      </c>
      <c r="D363" s="2975">
        <v>0.15</v>
      </c>
      <c r="E363" s="2975">
        <v>0.15</v>
      </c>
      <c r="F363" s="2975">
        <v>0.14699999999999999</v>
      </c>
      <c r="G363" s="2976">
        <v>0.15</v>
      </c>
    </row>
    <row r="364" spans="1:7">
      <c r="A364" s="2985" t="s">
        <v>2850</v>
      </c>
      <c r="B364" s="2974" t="s">
        <v>2892</v>
      </c>
      <c r="C364" s="2975">
        <v>0.15</v>
      </c>
      <c r="D364" s="2975">
        <v>0.15</v>
      </c>
      <c r="E364" s="2975">
        <v>0.15</v>
      </c>
      <c r="F364" s="2975">
        <v>0.14799999999999999</v>
      </c>
      <c r="G364" s="2976">
        <v>0.15</v>
      </c>
    </row>
    <row r="365" spans="1:7">
      <c r="A365" s="2985" t="s">
        <v>2850</v>
      </c>
      <c r="B365" s="2974" t="s">
        <v>200</v>
      </c>
      <c r="C365" s="2975">
        <v>0.15</v>
      </c>
      <c r="D365" s="2975">
        <v>0.15</v>
      </c>
      <c r="E365" s="2975">
        <v>0.15</v>
      </c>
      <c r="F365" s="2975">
        <v>0.15</v>
      </c>
      <c r="G365" s="2976">
        <v>0.15</v>
      </c>
    </row>
    <row r="366" spans="1:7">
      <c r="A366" s="2985" t="s">
        <v>2850</v>
      </c>
      <c r="B366" s="2974" t="s">
        <v>2895</v>
      </c>
      <c r="C366" s="2975">
        <v>0.15</v>
      </c>
      <c r="D366" s="2975">
        <v>0.15</v>
      </c>
      <c r="E366" s="2975">
        <v>0.15</v>
      </c>
      <c r="F366" s="2975">
        <v>0.15</v>
      </c>
      <c r="G366" s="2976">
        <v>0.15</v>
      </c>
    </row>
    <row r="367" spans="1:7">
      <c r="A367" s="2985" t="s">
        <v>2850</v>
      </c>
      <c r="B367" s="2974" t="s">
        <v>2898</v>
      </c>
      <c r="C367" s="2975">
        <v>0.15</v>
      </c>
      <c r="D367" s="2975">
        <v>0.15</v>
      </c>
      <c r="E367" s="2975">
        <v>0.15</v>
      </c>
      <c r="F367" s="2975">
        <v>0.14699999999999999</v>
      </c>
      <c r="G367" s="2976">
        <v>0.15</v>
      </c>
    </row>
    <row r="368" spans="1:7">
      <c r="A368" s="2985" t="s">
        <v>2850</v>
      </c>
      <c r="B368" s="2974" t="s">
        <v>2903</v>
      </c>
      <c r="C368" s="2975">
        <v>0.15</v>
      </c>
      <c r="D368" s="2975">
        <v>0.15</v>
      </c>
      <c r="E368" s="2975">
        <v>0.15</v>
      </c>
      <c r="F368" s="2975">
        <v>0.13600000000000001</v>
      </c>
      <c r="G368" s="2976">
        <v>0.15</v>
      </c>
    </row>
    <row r="369" spans="1:7">
      <c r="A369" s="2985" t="s">
        <v>2850</v>
      </c>
      <c r="B369" s="2974" t="s">
        <v>214</v>
      </c>
      <c r="C369" s="2975">
        <v>0.15</v>
      </c>
      <c r="D369" s="2975">
        <v>0.15</v>
      </c>
      <c r="E369" s="2975">
        <v>0.15</v>
      </c>
      <c r="F369" s="2975">
        <v>0.14399999999999999</v>
      </c>
      <c r="G369" s="2976">
        <v>0.15</v>
      </c>
    </row>
    <row r="370" spans="1:7">
      <c r="A370" s="2985" t="s">
        <v>2850</v>
      </c>
      <c r="B370" s="2974" t="s">
        <v>221</v>
      </c>
      <c r="C370" s="2975">
        <v>0.15</v>
      </c>
      <c r="D370" s="2975">
        <v>0.15</v>
      </c>
      <c r="E370" s="2975">
        <v>0.15</v>
      </c>
      <c r="F370" s="2975">
        <v>0.14599999999999999</v>
      </c>
      <c r="G370" s="2976">
        <v>0.15</v>
      </c>
    </row>
    <row r="371" spans="1:7">
      <c r="A371" s="2985" t="s">
        <v>2850</v>
      </c>
      <c r="B371" s="2974" t="s">
        <v>229</v>
      </c>
      <c r="C371" s="2975">
        <v>0.15</v>
      </c>
      <c r="D371" s="2975">
        <v>0.15</v>
      </c>
      <c r="E371" s="2975">
        <v>0.15</v>
      </c>
      <c r="F371" s="2975">
        <v>0.12</v>
      </c>
      <c r="G371" s="2976">
        <v>0.15</v>
      </c>
    </row>
    <row r="372" spans="1:7">
      <c r="A372" s="2985" t="s">
        <v>2850</v>
      </c>
      <c r="B372" s="2974" t="s">
        <v>2911</v>
      </c>
      <c r="C372" s="2975">
        <v>0.15</v>
      </c>
      <c r="D372" s="2975">
        <v>0.15</v>
      </c>
      <c r="E372" s="2975">
        <v>0.15</v>
      </c>
      <c r="F372" s="2975">
        <v>0.14299999999999999</v>
      </c>
      <c r="G372" s="2976">
        <v>0.15</v>
      </c>
    </row>
    <row r="373" spans="1:7">
      <c r="A373" s="2985" t="s">
        <v>2850</v>
      </c>
      <c r="B373" s="2974" t="s">
        <v>258</v>
      </c>
      <c r="C373" s="2975">
        <v>0.15</v>
      </c>
      <c r="D373" s="2975">
        <v>0.15</v>
      </c>
      <c r="E373" s="2975">
        <v>0.15</v>
      </c>
      <c r="F373" s="2975">
        <v>0.14599999999999999</v>
      </c>
      <c r="G373" s="2976">
        <v>0.15</v>
      </c>
    </row>
    <row r="374" spans="1:7">
      <c r="A374" s="2985" t="s">
        <v>2850</v>
      </c>
      <c r="B374" s="2974" t="s">
        <v>266</v>
      </c>
      <c r="C374" s="2975">
        <v>0.15</v>
      </c>
      <c r="D374" s="2975">
        <v>0.15</v>
      </c>
      <c r="E374" s="2975">
        <v>0.15</v>
      </c>
      <c r="F374" s="2975">
        <v>0.14399999999999999</v>
      </c>
      <c r="G374" s="2976">
        <v>0.15</v>
      </c>
    </row>
    <row r="375" spans="1:7">
      <c r="A375" s="2985" t="s">
        <v>2850</v>
      </c>
      <c r="B375" s="2974" t="s">
        <v>2919</v>
      </c>
      <c r="C375" s="2975">
        <v>0.15</v>
      </c>
      <c r="D375" s="2975">
        <v>0.15</v>
      </c>
      <c r="E375" s="2975">
        <v>0.15</v>
      </c>
      <c r="F375" s="2975">
        <v>0.13</v>
      </c>
      <c r="G375" s="2976">
        <v>0.15</v>
      </c>
    </row>
    <row r="376" spans="1:7">
      <c r="A376" s="2985" t="s">
        <v>2850</v>
      </c>
      <c r="B376" s="2974" t="s">
        <v>277</v>
      </c>
      <c r="C376" s="2975">
        <v>0.15</v>
      </c>
      <c r="D376" s="2975">
        <v>0.15</v>
      </c>
      <c r="E376" s="2975">
        <v>0.15</v>
      </c>
      <c r="F376" s="2975">
        <v>0.14199999999999999</v>
      </c>
      <c r="G376" s="2976">
        <v>0.15</v>
      </c>
    </row>
    <row r="377" spans="1:7" ht="14.25" thickBot="1">
      <c r="A377" s="2988" t="s">
        <v>2850</v>
      </c>
      <c r="B377" s="2978" t="s">
        <v>2925</v>
      </c>
      <c r="C377" s="2979">
        <v>0.15</v>
      </c>
      <c r="D377" s="2979">
        <v>0.15</v>
      </c>
      <c r="E377" s="2979">
        <v>0.15</v>
      </c>
      <c r="F377" s="2979">
        <v>0.14000000000000001</v>
      </c>
      <c r="G377" s="2981">
        <v>0.15</v>
      </c>
    </row>
    <row r="378" spans="1:7">
      <c r="A378" s="2984" t="s">
        <v>2851</v>
      </c>
      <c r="B378" s="2970" t="s">
        <v>2865</v>
      </c>
      <c r="C378" s="2971">
        <v>0.15</v>
      </c>
      <c r="D378" s="2971">
        <v>0.15</v>
      </c>
      <c r="E378" s="2971">
        <v>0.15</v>
      </c>
      <c r="F378" s="2971">
        <v>0.107</v>
      </c>
      <c r="G378" s="2972">
        <v>0.15</v>
      </c>
    </row>
    <row r="379" spans="1:7">
      <c r="A379" s="2985" t="s">
        <v>2851</v>
      </c>
      <c r="B379" s="2974" t="s">
        <v>2871</v>
      </c>
      <c r="C379" s="2975">
        <v>0.15</v>
      </c>
      <c r="D379" s="2975">
        <v>0.15</v>
      </c>
      <c r="E379" s="2975">
        <v>0.15</v>
      </c>
      <c r="F379" s="2975">
        <v>0.115</v>
      </c>
      <c r="G379" s="2976">
        <v>0.14899999999999999</v>
      </c>
    </row>
    <row r="380" spans="1:7">
      <c r="A380" s="2985" t="s">
        <v>2851</v>
      </c>
      <c r="B380" s="2974" t="s">
        <v>2877</v>
      </c>
      <c r="C380" s="2975">
        <v>0.15</v>
      </c>
      <c r="D380" s="2975">
        <v>0.15</v>
      </c>
      <c r="E380" s="2975">
        <v>0.15</v>
      </c>
      <c r="F380" s="2975">
        <v>0.1</v>
      </c>
      <c r="G380" s="2976">
        <v>0.14799999999999999</v>
      </c>
    </row>
    <row r="381" spans="1:7">
      <c r="A381" s="2985" t="s">
        <v>2851</v>
      </c>
      <c r="B381" s="2974" t="s">
        <v>2880</v>
      </c>
      <c r="C381" s="2975">
        <v>0.15</v>
      </c>
      <c r="D381" s="2975">
        <v>0.15</v>
      </c>
      <c r="E381" s="2975">
        <v>0.15</v>
      </c>
      <c r="F381" s="2975">
        <v>0.126</v>
      </c>
      <c r="G381" s="2976">
        <v>0.15</v>
      </c>
    </row>
    <row r="382" spans="1:7">
      <c r="A382" s="2985" t="s">
        <v>2851</v>
      </c>
      <c r="B382" s="2974" t="s">
        <v>2884</v>
      </c>
      <c r="C382" s="2975">
        <v>0.15</v>
      </c>
      <c r="D382" s="2975">
        <v>0.15</v>
      </c>
      <c r="E382" s="2975">
        <v>0.15</v>
      </c>
      <c r="F382" s="2975">
        <v>0.15</v>
      </c>
      <c r="G382" s="2976">
        <v>0.15</v>
      </c>
    </row>
    <row r="383" spans="1:7">
      <c r="A383" s="2985" t="s">
        <v>2851</v>
      </c>
      <c r="B383" s="2974" t="s">
        <v>2889</v>
      </c>
      <c r="C383" s="2975">
        <v>0.15</v>
      </c>
      <c r="D383" s="2975">
        <v>0.15</v>
      </c>
      <c r="E383" s="2975">
        <v>0.15</v>
      </c>
      <c r="F383" s="2975">
        <v>0.14699999999999999</v>
      </c>
      <c r="G383" s="2976">
        <v>0.15</v>
      </c>
    </row>
    <row r="384" spans="1:7" ht="14.25" thickBot="1">
      <c r="A384" s="2995" t="s">
        <v>2851</v>
      </c>
      <c r="B384" s="2996" t="s">
        <v>2893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13" t="s">
        <v>3232</v>
      </c>
      <c r="B1" s="3513"/>
      <c r="C1" s="3513"/>
      <c r="D1" s="3513"/>
      <c r="E1" s="3513"/>
      <c r="F1" s="3514"/>
    </row>
    <row r="2" spans="1:6">
      <c r="A2" s="2999" t="s">
        <v>3233</v>
      </c>
    </row>
    <row r="3" spans="1:6">
      <c r="A3" s="2999" t="s">
        <v>3234</v>
      </c>
      <c r="F3" s="3000" t="s">
        <v>3235</v>
      </c>
    </row>
    <row r="4" spans="1:6">
      <c r="A4" s="3001" t="s">
        <v>672</v>
      </c>
      <c r="B4" s="3001" t="s">
        <v>673</v>
      </c>
      <c r="C4" s="3001" t="s">
        <v>21</v>
      </c>
      <c r="D4" s="3001" t="s">
        <v>674</v>
      </c>
      <c r="E4" s="3001" t="s">
        <v>3</v>
      </c>
      <c r="F4" s="3001" t="s">
        <v>3236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4" zoomScale="80" zoomScaleNormal="80" workbookViewId="0">
      <selection activeCell="H9" sqref="H9"/>
    </sheetView>
  </sheetViews>
  <sheetFormatPr defaultRowHeight="13.5"/>
  <cols>
    <col min="1" max="1" width="13.875" customWidth="1"/>
    <col min="11" max="17" width="0" hidden="1" customWidth="1"/>
    <col min="25" max="30" width="0" hidden="1" customWidth="1"/>
  </cols>
  <sheetData>
    <row r="1" spans="1:30">
      <c r="A1" s="2934">
        <f>基准地价修正!G23</f>
        <v>45315</v>
      </c>
      <c r="B1" s="2926" t="s">
        <v>3370</v>
      </c>
      <c r="C1" s="2927"/>
      <c r="D1" s="2927"/>
      <c r="E1" s="2927"/>
      <c r="F1" s="2927"/>
      <c r="G1" s="2927"/>
      <c r="H1" s="2927"/>
      <c r="I1" s="2927"/>
      <c r="J1" s="2893"/>
      <c r="K1" s="2927" t="s">
        <v>454</v>
      </c>
      <c r="L1" s="2927"/>
      <c r="M1" s="2927"/>
      <c r="N1" s="2927"/>
      <c r="O1" s="2927"/>
      <c r="P1" s="2927"/>
      <c r="Q1" s="2893"/>
      <c r="R1" s="3515" t="s">
        <v>456</v>
      </c>
      <c r="S1" s="3516"/>
      <c r="T1" s="3516"/>
      <c r="U1" s="3516"/>
      <c r="V1" s="3516"/>
      <c r="W1" s="3516"/>
      <c r="X1" s="2893"/>
      <c r="Y1" s="3515" t="s">
        <v>457</v>
      </c>
      <c r="Z1" s="3516"/>
      <c r="AA1" s="3516"/>
      <c r="AB1" s="3516"/>
      <c r="AC1" s="3516"/>
      <c r="AD1" s="3516"/>
    </row>
    <row r="2" spans="1:30" s="2009" customFormat="1" ht="14.25" thickBot="1">
      <c r="B2" s="2878"/>
      <c r="C2" s="2879"/>
      <c r="D2" s="2010" t="s">
        <v>2810</v>
      </c>
      <c r="E2" s="2011" t="s">
        <v>2811</v>
      </c>
      <c r="F2" s="2011" t="s">
        <v>2812</v>
      </c>
      <c r="G2" s="2011" t="s">
        <v>2813</v>
      </c>
      <c r="H2" s="2011" t="s">
        <v>2814</v>
      </c>
      <c r="I2" s="2011" t="s">
        <v>2631</v>
      </c>
      <c r="J2" s="2880"/>
      <c r="K2" s="2010" t="s">
        <v>2810</v>
      </c>
      <c r="L2" s="2011" t="s">
        <v>2811</v>
      </c>
      <c r="M2" s="2011" t="s">
        <v>2812</v>
      </c>
      <c r="N2" s="2011" t="s">
        <v>2813</v>
      </c>
      <c r="O2" s="2011" t="s">
        <v>2815</v>
      </c>
      <c r="P2" s="2011" t="s">
        <v>2631</v>
      </c>
      <c r="Q2" s="2880"/>
      <c r="R2" s="2010" t="s">
        <v>2810</v>
      </c>
      <c r="S2" s="2011" t="s">
        <v>2811</v>
      </c>
      <c r="T2" s="2011" t="s">
        <v>2812</v>
      </c>
      <c r="U2" s="2011" t="s">
        <v>2816</v>
      </c>
      <c r="V2" s="2011" t="s">
        <v>2817</v>
      </c>
      <c r="W2" s="2011" t="s">
        <v>2631</v>
      </c>
      <c r="X2" s="2880"/>
      <c r="Y2" s="2010" t="s">
        <v>2810</v>
      </c>
      <c r="Z2" s="2011" t="s">
        <v>2811</v>
      </c>
      <c r="AA2" s="2011" t="s">
        <v>2812</v>
      </c>
      <c r="AB2" s="2011" t="s">
        <v>2818</v>
      </c>
      <c r="AC2" s="2011" t="s">
        <v>2817</v>
      </c>
      <c r="AD2" s="2011" t="s">
        <v>2631</v>
      </c>
    </row>
    <row r="3" spans="1:30" s="2883" customFormat="1" ht="12.75">
      <c r="A3" s="2881" t="s">
        <v>2819</v>
      </c>
      <c r="B3" s="2882"/>
      <c r="D3" s="2883">
        <f>ROUND(AVERAGEIF(D4:D18,"&lt;&gt;0"),2)</f>
        <v>0.78</v>
      </c>
      <c r="E3" s="2883">
        <f t="shared" ref="E3:H3" si="0">ROUND(AVERAGEIF(E4:E18,"&lt;&gt;0"),2)</f>
        <v>0.41</v>
      </c>
      <c r="F3" s="2883">
        <f t="shared" si="0"/>
        <v>0.23</v>
      </c>
      <c r="G3" s="2883">
        <f t="shared" si="0"/>
        <v>0.84</v>
      </c>
      <c r="H3" s="2883">
        <f t="shared" si="0"/>
        <v>0.63</v>
      </c>
      <c r="I3" s="2883">
        <f>F3</f>
        <v>0.23</v>
      </c>
      <c r="J3" s="2884"/>
      <c r="K3" s="2885">
        <f>ROUND(AVERAGEIF(K4:K18,"&lt;&gt;0"),4)</f>
        <v>7.7999999999999996E-3</v>
      </c>
      <c r="L3" s="2886">
        <f t="shared" ref="L3:O3" si="1">ROUND(AVERAGEIF(L4:L18,"&lt;&gt;0"),4)</f>
        <v>4.1000000000000003E-3</v>
      </c>
      <c r="M3" s="2886">
        <f t="shared" si="1"/>
        <v>2.3E-3</v>
      </c>
      <c r="N3" s="2886">
        <f t="shared" si="1"/>
        <v>8.3999999999999995E-3</v>
      </c>
      <c r="O3" s="2886">
        <f t="shared" si="1"/>
        <v>6.3E-3</v>
      </c>
      <c r="P3" s="2886">
        <f>M3</f>
        <v>2.3E-3</v>
      </c>
      <c r="Q3" s="2884"/>
      <c r="R3" s="2887">
        <f>ROUND(SUMPRODUCT(PRODUCT(1+K4:K18)),4)</f>
        <v>1.0888</v>
      </c>
      <c r="S3" s="2888">
        <f t="shared" ref="S3:V3" si="2">ROUND(SUMPRODUCT(PRODUCT(1+L4:L18)),4)</f>
        <v>1.0463</v>
      </c>
      <c r="T3" s="2888">
        <f t="shared" si="2"/>
        <v>1.0257000000000001</v>
      </c>
      <c r="U3" s="2888">
        <f t="shared" si="2"/>
        <v>1.0961000000000001</v>
      </c>
      <c r="V3" s="2888">
        <f t="shared" si="2"/>
        <v>1.0713999999999999</v>
      </c>
      <c r="W3" s="2887">
        <f>T3</f>
        <v>1.0257000000000001</v>
      </c>
      <c r="X3" s="2884"/>
      <c r="Y3" s="2889">
        <f>ROUND(AVERAGEIF(Y5:Y18,"&lt;&gt;0"),4)</f>
        <v>8.6999999999999994E-3</v>
      </c>
      <c r="Z3" s="2890">
        <f t="shared" ref="Z3:AC3" si="3">ROUND(AVERAGEIF(Z5:Z18,"&lt;&gt;0"),4)</f>
        <v>3.5000000000000001E-3</v>
      </c>
      <c r="AA3" s="2891">
        <f t="shared" si="3"/>
        <v>8.9999999999999998E-4</v>
      </c>
      <c r="AB3" s="2889">
        <f t="shared" si="3"/>
        <v>9.4999999999999998E-3</v>
      </c>
      <c r="AC3" s="2892">
        <f t="shared" si="3"/>
        <v>6.1000000000000004E-3</v>
      </c>
      <c r="AD3" s="2889">
        <f>AA3</f>
        <v>8.9999999999999998E-4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3374</v>
      </c>
      <c r="B5" s="2030">
        <v>2023</v>
      </c>
      <c r="C5" s="2041">
        <v>4</v>
      </c>
      <c r="D5" s="2006">
        <v>0</v>
      </c>
      <c r="E5" s="2006">
        <v>0</v>
      </c>
      <c r="F5" s="2006">
        <v>0</v>
      </c>
      <c r="G5" s="2006">
        <v>0</v>
      </c>
      <c r="H5" s="2006">
        <v>0</v>
      </c>
      <c r="I5" s="2007">
        <f t="shared" ref="I5:I18" si="4">F5</f>
        <v>0</v>
      </c>
      <c r="J5" s="2903"/>
      <c r="K5" s="2042">
        <f t="shared" ref="K5:O18" si="5">D5/100</f>
        <v>0</v>
      </c>
      <c r="L5" s="2027">
        <f t="shared" si="5"/>
        <v>0</v>
      </c>
      <c r="M5" s="2027">
        <f t="shared" si="5"/>
        <v>0</v>
      </c>
      <c r="N5" s="2027">
        <f t="shared" si="5"/>
        <v>0</v>
      </c>
      <c r="O5" s="2027">
        <f t="shared" si="5"/>
        <v>0</v>
      </c>
      <c r="P5" s="2027">
        <f>M5</f>
        <v>0</v>
      </c>
      <c r="Q5" s="2903"/>
      <c r="R5" s="2026">
        <f>ROUND(IF(项目基本情况!$B$8="出让",SUMPRODUCT(PRODUCT(1+K5:$K$18)),SUMPRODUCT(PRODUCT(1+K5:$K$17))),4)</f>
        <v>1.0783</v>
      </c>
      <c r="S5" s="2026">
        <f>ROUND(IF(项目基本情况!$B$8="出让",SUMPRODUCT(PRODUCT(1+L5:$L$18)),SUMPRODUCT(PRODUCT(1+L5:$L$17))),4)</f>
        <v>1.0447</v>
      </c>
      <c r="T5" s="2026">
        <f>ROUND(IF(项目基本情况!$B$8="出让",SUMPRODUCT(PRODUCT(1+M5:$M$18)),SUMPRODUCT(PRODUCT(1+M5:$M$17))),4)</f>
        <v>1.0282</v>
      </c>
      <c r="U5" s="2026">
        <f>ROUND(IF(项目基本情况!$B$8="出让",SUMPRODUCT(PRODUCT(1+N5:$N$18)),SUMPRODUCT(PRODUCT(1+N5:$N$17))),4)</f>
        <v>1.0841000000000001</v>
      </c>
      <c r="V5" s="2026">
        <f>ROUND(IF(项目基本情况!$B$8="出让",SUMPRODUCT(PRODUCT(1+O5:$O$18)),SUMPRODUCT(PRODUCT(1+O5:$O$17))),4)</f>
        <v>1.0674999999999999</v>
      </c>
      <c r="W5" s="2026">
        <f>T5</f>
        <v>1.0282</v>
      </c>
      <c r="X5" s="2903"/>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3375</v>
      </c>
      <c r="B6" s="2030">
        <v>2023</v>
      </c>
      <c r="C6" s="2041">
        <v>3</v>
      </c>
      <c r="D6" s="2006">
        <v>0</v>
      </c>
      <c r="E6" s="2006">
        <v>0</v>
      </c>
      <c r="F6" s="2006">
        <v>0</v>
      </c>
      <c r="G6" s="2006">
        <v>0</v>
      </c>
      <c r="H6" s="2914">
        <v>0</v>
      </c>
      <c r="I6" s="2007">
        <v>0</v>
      </c>
      <c r="J6" s="2903"/>
      <c r="K6" s="2042">
        <f t="shared" ref="K6" si="8">D6/100</f>
        <v>0</v>
      </c>
      <c r="L6" s="2027">
        <f t="shared" ref="L6" si="9">E6/100</f>
        <v>0</v>
      </c>
      <c r="M6" s="2027">
        <f t="shared" ref="M6" si="10">F6/100</f>
        <v>0</v>
      </c>
      <c r="N6" s="2027">
        <f t="shared" ref="N6" si="11">G6/100</f>
        <v>0</v>
      </c>
      <c r="O6" s="2027">
        <f t="shared" ref="O6" si="12">H6/100</f>
        <v>0</v>
      </c>
      <c r="P6" s="2027">
        <f t="shared" ref="P6" si="13">M6</f>
        <v>0</v>
      </c>
      <c r="Q6" s="2903"/>
      <c r="R6" s="2026">
        <f>ROUND(IF(项目基本情况!$B$8="出让",SUMPRODUCT(PRODUCT(1+K6:$K$18)),SUMPRODUCT(PRODUCT(1+K6:$K$17))),4)</f>
        <v>1.0783</v>
      </c>
      <c r="S6" s="2026">
        <f>ROUND(IF(项目基本情况!$B$8="出让",SUMPRODUCT(PRODUCT(1+L6:$L$18)),SUMPRODUCT(PRODUCT(1+L6:$L$17))),4)</f>
        <v>1.0447</v>
      </c>
      <c r="T6" s="2026">
        <f>ROUND(IF(项目基本情况!$B$8="出让",SUMPRODUCT(PRODUCT(1+M6:$M$18)),SUMPRODUCT(PRODUCT(1+M6:$M$17))),4)</f>
        <v>1.0282</v>
      </c>
      <c r="U6" s="2026">
        <f>ROUND(IF(项目基本情况!$B$8="出让",SUMPRODUCT(PRODUCT(1+N6:$N$18)),SUMPRODUCT(PRODUCT(1+N6:$N$17))),4)</f>
        <v>1.0841000000000001</v>
      </c>
      <c r="V6" s="2026">
        <f>ROUND(IF(项目基本情况!$B$8="出让",SUMPRODUCT(PRODUCT(1+O6:$O$18)),SUMPRODUCT(PRODUCT(1+O6:$O$17))),4)</f>
        <v>1.0674999999999999</v>
      </c>
      <c r="W6" s="2026">
        <f t="shared" ref="W6" si="14">T6</f>
        <v>1.0282</v>
      </c>
      <c r="X6" s="2903"/>
      <c r="Y6" s="2027"/>
      <c r="Z6" s="2027"/>
      <c r="AA6" s="2027"/>
      <c r="AB6" s="2027"/>
      <c r="AC6" s="2027"/>
      <c r="AD6" s="2027"/>
    </row>
    <row r="7" spans="1:30" s="2044" customFormat="1" ht="12.75">
      <c r="A7" s="2039" t="s">
        <v>3376</v>
      </c>
      <c r="B7" s="2030">
        <v>2023</v>
      </c>
      <c r="C7" s="2041">
        <v>3</v>
      </c>
      <c r="D7" s="2006">
        <v>0</v>
      </c>
      <c r="E7" s="2006">
        <v>0</v>
      </c>
      <c r="F7" s="2006">
        <v>0</v>
      </c>
      <c r="G7" s="2006">
        <v>0</v>
      </c>
      <c r="H7" s="2914">
        <v>0</v>
      </c>
      <c r="I7" s="2007">
        <v>0</v>
      </c>
      <c r="J7" s="2903"/>
      <c r="K7" s="2042">
        <f t="shared" si="5"/>
        <v>0</v>
      </c>
      <c r="L7" s="2027">
        <f t="shared" si="5"/>
        <v>0</v>
      </c>
      <c r="M7" s="2027">
        <f t="shared" si="5"/>
        <v>0</v>
      </c>
      <c r="N7" s="2027">
        <f t="shared" si="5"/>
        <v>0</v>
      </c>
      <c r="O7" s="2027">
        <f t="shared" si="5"/>
        <v>0</v>
      </c>
      <c r="P7" s="2027">
        <f t="shared" ref="P7" si="15">M7</f>
        <v>0</v>
      </c>
      <c r="Q7" s="2903"/>
      <c r="R7" s="2026">
        <f>ROUND(IF(项目基本情况!$B$8="出让",SUMPRODUCT(PRODUCT(1+K7:$K$18)),SUMPRODUCT(PRODUCT(1+K7:$K$17))),4)</f>
        <v>1.0783</v>
      </c>
      <c r="S7" s="2026">
        <f>ROUND(IF(项目基本情况!$B$8="出让",SUMPRODUCT(PRODUCT(1+L7:$L$18)),SUMPRODUCT(PRODUCT(1+L7:$L$17))),4)</f>
        <v>1.0447</v>
      </c>
      <c r="T7" s="2026">
        <f>ROUND(IF(项目基本情况!$B$8="出让",SUMPRODUCT(PRODUCT(1+M7:$M$18)),SUMPRODUCT(PRODUCT(1+M7:$M$17))),4)</f>
        <v>1.0282</v>
      </c>
      <c r="U7" s="2026">
        <f>ROUND(IF(项目基本情况!$B$8="出让",SUMPRODUCT(PRODUCT(1+N7:$N$18)),SUMPRODUCT(PRODUCT(1+N7:$N$17))),4)</f>
        <v>1.0841000000000001</v>
      </c>
      <c r="V7" s="2026">
        <f>ROUND(IF(项目基本情况!$B$8="出让",SUMPRODUCT(PRODUCT(1+O7:$O$18)),SUMPRODUCT(PRODUCT(1+O7:$O$17))),4)</f>
        <v>1.0674999999999999</v>
      </c>
      <c r="W7" s="2026">
        <f t="shared" ref="W7" si="16">T7</f>
        <v>1.0282</v>
      </c>
      <c r="X7" s="2903"/>
      <c r="Y7" s="2027"/>
      <c r="Z7" s="2027"/>
      <c r="AA7" s="2027"/>
      <c r="AB7" s="2027"/>
      <c r="AC7" s="2027"/>
      <c r="AD7" s="2027"/>
    </row>
    <row r="8" spans="1:30" s="2913" customFormat="1" ht="12.75">
      <c r="A8" s="2904" t="s">
        <v>3368</v>
      </c>
      <c r="B8" s="2905">
        <v>2023</v>
      </c>
      <c r="C8" s="2906">
        <v>3</v>
      </c>
      <c r="D8" s="2907">
        <v>0.25</v>
      </c>
      <c r="E8" s="2907">
        <v>0.5</v>
      </c>
      <c r="F8" s="2907">
        <v>0.31</v>
      </c>
      <c r="G8" s="2907">
        <v>0.21</v>
      </c>
      <c r="H8" s="2908">
        <v>0.43</v>
      </c>
      <c r="I8" s="2909">
        <f t="shared" si="4"/>
        <v>0.31</v>
      </c>
      <c r="J8" s="2910"/>
      <c r="K8" s="2911">
        <f t="shared" ref="K8:K10" si="17">D8/100</f>
        <v>2.5000000000000001E-3</v>
      </c>
      <c r="L8" s="2912">
        <f t="shared" ref="L8:L10" si="18">E8/100</f>
        <v>5.0000000000000001E-3</v>
      </c>
      <c r="M8" s="2912">
        <f t="shared" ref="M8:M10" si="19">F8/100</f>
        <v>3.0999999999999999E-3</v>
      </c>
      <c r="N8" s="2912">
        <f t="shared" ref="N8:N10" si="20">G8/100</f>
        <v>2.0999999999999999E-3</v>
      </c>
      <c r="O8" s="2912">
        <f t="shared" ref="O8:O10" si="21">H8/100</f>
        <v>4.3E-3</v>
      </c>
      <c r="P8" s="2912">
        <f t="shared" ref="P8:P10" si="22">M8</f>
        <v>3.0999999999999999E-3</v>
      </c>
      <c r="Q8" s="2910"/>
      <c r="R8" s="2910">
        <f>ROUND(IF(项目基本情况!$B$8="出让",SUMPRODUCT(PRODUCT(1+K8:$K$18)),SUMPRODUCT(PRODUCT(1+K8:$K$17))),4)</f>
        <v>1.0783</v>
      </c>
      <c r="S8" s="2910">
        <f>ROUND(IF(项目基本情况!$B$8="出让",SUMPRODUCT(PRODUCT(1+L8:$L$18)),SUMPRODUCT(PRODUCT(1+L8:$L$17))),4)</f>
        <v>1.0447</v>
      </c>
      <c r="T8" s="2910">
        <f>ROUND(IF(项目基本情况!$B$8="出让",SUMPRODUCT(PRODUCT(1+M8:$M$18)),SUMPRODUCT(PRODUCT(1+M8:$M$17))),4)</f>
        <v>1.0282</v>
      </c>
      <c r="U8" s="2910">
        <f>ROUND(IF(项目基本情况!$B$8="出让",SUMPRODUCT(PRODUCT(1+N8:$N$18)),SUMPRODUCT(PRODUCT(1+N8:$N$17))),4)</f>
        <v>1.0841000000000001</v>
      </c>
      <c r="V8" s="2910">
        <f>ROUND(IF(项目基本情况!$B$8="出让",SUMPRODUCT(PRODUCT(1+O8:$O$18)),SUMPRODUCT(PRODUCT(1+O8:$O$17))),4)</f>
        <v>1.0674999999999999</v>
      </c>
      <c r="W8" s="2910">
        <f t="shared" ref="W8:W9" si="23">T8</f>
        <v>1.0282</v>
      </c>
      <c r="X8" s="2910"/>
      <c r="Y8" s="2912"/>
      <c r="Z8" s="2912"/>
      <c r="AA8" s="2912"/>
      <c r="AB8" s="2912"/>
      <c r="AC8" s="2912"/>
      <c r="AD8" s="2912"/>
    </row>
    <row r="9" spans="1:30" s="2044" customFormat="1" ht="12.75">
      <c r="A9" s="2902" t="s">
        <v>3369</v>
      </c>
      <c r="B9" s="2030">
        <v>2023</v>
      </c>
      <c r="C9" s="2041">
        <v>2</v>
      </c>
      <c r="D9" s="2006">
        <v>0.91</v>
      </c>
      <c r="E9" s="2006">
        <v>0.66</v>
      </c>
      <c r="F9" s="2006">
        <v>0.47</v>
      </c>
      <c r="G9" s="2006">
        <v>0.96</v>
      </c>
      <c r="H9" s="2914">
        <v>0.71</v>
      </c>
      <c r="I9" s="2007">
        <f t="shared" si="4"/>
        <v>0.47</v>
      </c>
      <c r="J9" s="2903"/>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3"/>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3"/>
      <c r="Y9" s="2027"/>
      <c r="Z9" s="2027"/>
      <c r="AA9" s="2027"/>
      <c r="AB9" s="2027"/>
      <c r="AC9" s="2027"/>
      <c r="AD9" s="2027"/>
    </row>
    <row r="10" spans="1:30" s="2044" customFormat="1" ht="12.75">
      <c r="A10" s="2902" t="s">
        <v>3367</v>
      </c>
      <c r="B10" s="2030">
        <v>2023</v>
      </c>
      <c r="C10" s="2041">
        <v>1</v>
      </c>
      <c r="D10" s="2006">
        <v>0.89</v>
      </c>
      <c r="E10" s="2006">
        <v>0.74</v>
      </c>
      <c r="F10" s="2006">
        <v>0.56999999999999995</v>
      </c>
      <c r="G10" s="2006">
        <v>0.92</v>
      </c>
      <c r="H10" s="2914">
        <v>0.5</v>
      </c>
      <c r="I10" s="2007">
        <f t="shared" si="4"/>
        <v>0.56999999999999995</v>
      </c>
      <c r="J10" s="2903"/>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3"/>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3"/>
      <c r="Y10" s="2027"/>
      <c r="Z10" s="2027"/>
      <c r="AA10" s="2027"/>
      <c r="AB10" s="2027"/>
      <c r="AC10" s="2027"/>
      <c r="AD10" s="2027"/>
    </row>
    <row r="11" spans="1:30" s="2044" customFormat="1" ht="12.75">
      <c r="A11" s="2902" t="s">
        <v>3366</v>
      </c>
      <c r="B11" s="2030">
        <v>2022</v>
      </c>
      <c r="C11" s="2041">
        <v>4</v>
      </c>
      <c r="D11" s="2006">
        <v>0.62</v>
      </c>
      <c r="E11" s="2006">
        <v>0.2</v>
      </c>
      <c r="F11" s="2006">
        <v>0.11</v>
      </c>
      <c r="G11" s="2006">
        <v>0.69</v>
      </c>
      <c r="H11" s="2914">
        <v>0.53</v>
      </c>
      <c r="I11" s="2007">
        <f t="shared" si="4"/>
        <v>0.11</v>
      </c>
      <c r="J11" s="2903"/>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3"/>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3"/>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2" t="s">
        <v>3362</v>
      </c>
      <c r="B12" s="2030">
        <v>2022</v>
      </c>
      <c r="C12" s="2041">
        <v>3</v>
      </c>
      <c r="D12" s="2006">
        <v>0.66</v>
      </c>
      <c r="E12" s="2006">
        <v>0.32</v>
      </c>
      <c r="F12" s="2006">
        <v>0.23</v>
      </c>
      <c r="G12" s="2006">
        <v>0.72</v>
      </c>
      <c r="H12" s="2914">
        <v>0.63</v>
      </c>
      <c r="I12" s="2007">
        <f t="shared" si="4"/>
        <v>0.23</v>
      </c>
      <c r="J12" s="2903"/>
      <c r="K12" s="2042">
        <f t="shared" si="5"/>
        <v>6.6E-3</v>
      </c>
      <c r="L12" s="2027">
        <f t="shared" si="5"/>
        <v>3.2000000000000002E-3</v>
      </c>
      <c r="M12" s="2027">
        <f t="shared" si="5"/>
        <v>2.3E-3</v>
      </c>
      <c r="N12" s="2027">
        <f t="shared" si="5"/>
        <v>7.1999999999999998E-3</v>
      </c>
      <c r="O12" s="2027">
        <f t="shared" si="5"/>
        <v>6.3E-3</v>
      </c>
      <c r="P12" s="2027">
        <f t="shared" si="25"/>
        <v>2.3E-3</v>
      </c>
      <c r="Q12" s="2903"/>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3"/>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2" t="s">
        <v>3353</v>
      </c>
      <c r="B13" s="2030">
        <v>2022</v>
      </c>
      <c r="C13" s="2041">
        <v>2</v>
      </c>
      <c r="D13" s="2006">
        <v>0.93</v>
      </c>
      <c r="E13" s="2006">
        <v>0.15</v>
      </c>
      <c r="F13" s="2006">
        <v>0.01</v>
      </c>
      <c r="G13" s="2006">
        <v>1.05</v>
      </c>
      <c r="H13" s="2914">
        <v>1.08</v>
      </c>
      <c r="I13" s="2007">
        <f t="shared" si="4"/>
        <v>0.01</v>
      </c>
      <c r="J13" s="2903"/>
      <c r="K13" s="2042">
        <f t="shared" si="5"/>
        <v>9.300000000000001E-3</v>
      </c>
      <c r="L13" s="2027">
        <f t="shared" si="5"/>
        <v>1.5E-3</v>
      </c>
      <c r="M13" s="2027">
        <f t="shared" si="5"/>
        <v>1E-4</v>
      </c>
      <c r="N13" s="2027">
        <f t="shared" si="5"/>
        <v>1.0500000000000001E-2</v>
      </c>
      <c r="O13" s="2027">
        <f t="shared" si="5"/>
        <v>1.0800000000000001E-2</v>
      </c>
      <c r="P13" s="2027">
        <f t="shared" si="25"/>
        <v>1E-4</v>
      </c>
      <c r="Q13" s="2903"/>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3"/>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2" t="s">
        <v>2820</v>
      </c>
      <c r="B14" s="2030">
        <v>2022</v>
      </c>
      <c r="C14" s="2041">
        <v>1</v>
      </c>
      <c r="D14" s="2006">
        <v>0.89</v>
      </c>
      <c r="E14" s="2006">
        <v>0.44</v>
      </c>
      <c r="F14" s="2006">
        <v>0.37</v>
      </c>
      <c r="G14" s="2006">
        <v>0.96</v>
      </c>
      <c r="H14" s="2914">
        <v>0.64</v>
      </c>
      <c r="I14" s="2007">
        <f t="shared" si="4"/>
        <v>0.37</v>
      </c>
      <c r="J14" s="2903"/>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3"/>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3"/>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2" t="s">
        <v>2821</v>
      </c>
      <c r="B15" s="2030">
        <v>2021</v>
      </c>
      <c r="C15" s="2041">
        <v>4</v>
      </c>
      <c r="D15" s="2006">
        <v>1.03</v>
      </c>
      <c r="E15" s="2006">
        <v>0.24</v>
      </c>
      <c r="F15" s="2006">
        <v>7.0000000000000007E-2</v>
      </c>
      <c r="G15" s="2006">
        <v>1.17</v>
      </c>
      <c r="H15" s="2914">
        <v>0.55000000000000004</v>
      </c>
      <c r="I15" s="2007">
        <f t="shared" si="4"/>
        <v>7.0000000000000007E-2</v>
      </c>
      <c r="J15" s="2903"/>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3"/>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3"/>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2" t="s">
        <v>2822</v>
      </c>
      <c r="B16" s="2030">
        <v>2021</v>
      </c>
      <c r="C16" s="2041">
        <v>3</v>
      </c>
      <c r="D16" s="2006">
        <v>0.47</v>
      </c>
      <c r="E16" s="2006">
        <v>0.41</v>
      </c>
      <c r="F16" s="2006">
        <v>0.24</v>
      </c>
      <c r="G16" s="2006">
        <v>0.48</v>
      </c>
      <c r="H16" s="2914">
        <v>0.48</v>
      </c>
      <c r="I16" s="2007">
        <f t="shared" si="4"/>
        <v>0.24</v>
      </c>
      <c r="J16" s="2903"/>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3"/>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3"/>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2" t="s">
        <v>2823</v>
      </c>
      <c r="B17" s="2030">
        <v>2021</v>
      </c>
      <c r="C17" s="2041">
        <v>2</v>
      </c>
      <c r="D17" s="2006">
        <v>0.92</v>
      </c>
      <c r="E17" s="2006">
        <v>0.72</v>
      </c>
      <c r="F17" s="2006">
        <v>0.41</v>
      </c>
      <c r="G17" s="2006">
        <v>0.95</v>
      </c>
      <c r="H17" s="2914">
        <v>1.01</v>
      </c>
      <c r="I17" s="2007">
        <f t="shared" si="4"/>
        <v>0.41</v>
      </c>
      <c r="J17" s="2903"/>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3"/>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3"/>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5" customFormat="1" thickBot="1">
      <c r="A18" s="2915" t="s">
        <v>2824</v>
      </c>
      <c r="B18" s="2916">
        <v>2021</v>
      </c>
      <c r="C18" s="2917">
        <v>1</v>
      </c>
      <c r="D18" s="2918">
        <v>0.97</v>
      </c>
      <c r="E18" s="2918">
        <v>0.16</v>
      </c>
      <c r="F18" s="2918">
        <v>-0.25</v>
      </c>
      <c r="G18" s="2918">
        <v>1.1100000000000001</v>
      </c>
      <c r="H18" s="2919">
        <v>0.36</v>
      </c>
      <c r="I18" s="2920">
        <f t="shared" si="4"/>
        <v>-0.25</v>
      </c>
      <c r="J18" s="2921"/>
      <c r="K18" s="2922">
        <f t="shared" si="5"/>
        <v>9.7000000000000003E-3</v>
      </c>
      <c r="L18" s="2923">
        <f t="shared" si="5"/>
        <v>1.6000000000000001E-3</v>
      </c>
      <c r="M18" s="2923">
        <f>F18/100</f>
        <v>-2.5000000000000001E-3</v>
      </c>
      <c r="N18" s="2923">
        <f t="shared" si="5"/>
        <v>1.11E-2</v>
      </c>
      <c r="O18" s="2923">
        <f t="shared" si="5"/>
        <v>3.5999999999999999E-3</v>
      </c>
      <c r="P18" s="2923">
        <f t="shared" si="25"/>
        <v>-2.5000000000000001E-3</v>
      </c>
      <c r="Q18" s="2921"/>
      <c r="R18" s="2924">
        <v>1</v>
      </c>
      <c r="S18" s="2924">
        <v>1</v>
      </c>
      <c r="T18" s="2924">
        <v>1</v>
      </c>
      <c r="U18" s="2924">
        <v>1</v>
      </c>
      <c r="V18" s="2924">
        <v>1</v>
      </c>
      <c r="W18" s="2924">
        <f t="shared" ref="W18" si="31">T18</f>
        <v>1</v>
      </c>
      <c r="X18" s="2921"/>
      <c r="Y18" s="2923">
        <f>IF(D18=0,0,ROUND(AVERAGE(D18:D18)/100,4))</f>
        <v>9.7000000000000003E-3</v>
      </c>
      <c r="Z18" s="2923">
        <f>IF(E18=0,0,ROUND(AVERAGE(E18:E18)/100,4))</f>
        <v>1.6000000000000001E-3</v>
      </c>
      <c r="AA18" s="2923">
        <f>IF(F18=0,0,ROUND(AVERAGE(F18:F18)/100,4))</f>
        <v>-2.5000000000000001E-3</v>
      </c>
      <c r="AB18" s="2923">
        <f>IF(G18=0,0,ROUND(AVERAGE(G18:G18)/100,4))</f>
        <v>1.11E-2</v>
      </c>
      <c r="AC18" s="2923">
        <f>IF(H18=0,0,ROUND(AVERAGE(H18:H18)/100,4))</f>
        <v>3.5999999999999999E-3</v>
      </c>
      <c r="AD18" s="2923">
        <f>AA18</f>
        <v>-2.5000000000000001E-3</v>
      </c>
    </row>
    <row r="19" spans="1:30" ht="14.25" thickTop="1"/>
    <row r="20" spans="1:30">
      <c r="A20" s="3140" t="s">
        <v>3364</v>
      </c>
    </row>
    <row r="21" spans="1:30">
      <c r="I21" s="1404" t="s">
        <v>2825</v>
      </c>
    </row>
    <row r="23" spans="1:30" s="2008" customFormat="1" ht="12.75">
      <c r="B23" s="2926" t="s">
        <v>3371</v>
      </c>
      <c r="C23" s="2927"/>
      <c r="D23" s="2927"/>
      <c r="E23" s="2927"/>
      <c r="F23" s="2927"/>
      <c r="G23" s="2927"/>
      <c r="H23" s="2927"/>
      <c r="I23" s="2927"/>
      <c r="J23" s="2893"/>
      <c r="K23" s="2927" t="s">
        <v>2826</v>
      </c>
      <c r="L23" s="2927"/>
      <c r="M23" s="2927"/>
      <c r="N23" s="2927"/>
      <c r="O23" s="2927"/>
      <c r="P23" s="2927"/>
      <c r="Q23" s="2893"/>
      <c r="R23" s="3515" t="s">
        <v>2827</v>
      </c>
      <c r="S23" s="3516"/>
      <c r="T23" s="3516"/>
      <c r="U23" s="3516"/>
      <c r="V23" s="3516"/>
      <c r="W23" s="3516"/>
      <c r="X23" s="2893"/>
      <c r="Y23" s="3515" t="s">
        <v>2828</v>
      </c>
      <c r="Z23" s="3516"/>
      <c r="AA23" s="3516"/>
      <c r="AB23" s="3516"/>
      <c r="AC23" s="3516"/>
      <c r="AD23" s="3516"/>
    </row>
    <row r="24" spans="1:30" s="2009" customFormat="1" ht="14.25" thickBot="1">
      <c r="B24" s="2878"/>
      <c r="C24" s="2879"/>
      <c r="D24" s="2010" t="s">
        <v>2829</v>
      </c>
      <c r="E24" s="2011" t="s">
        <v>2830</v>
      </c>
      <c r="F24" s="2011" t="s">
        <v>2831</v>
      </c>
      <c r="G24" s="2011" t="s">
        <v>2832</v>
      </c>
      <c r="H24" s="2011"/>
      <c r="I24" s="2011" t="s">
        <v>2833</v>
      </c>
      <c r="J24" s="2880"/>
      <c r="K24" s="2010" t="s">
        <v>2829</v>
      </c>
      <c r="L24" s="2011" t="s">
        <v>2830</v>
      </c>
      <c r="M24" s="2011" t="s">
        <v>2831</v>
      </c>
      <c r="N24" s="2011" t="s">
        <v>2832</v>
      </c>
      <c r="O24" s="2011"/>
      <c r="P24" s="2011" t="s">
        <v>2833</v>
      </c>
      <c r="Q24" s="2880"/>
      <c r="R24" s="2010" t="s">
        <v>2829</v>
      </c>
      <c r="S24" s="2011" t="s">
        <v>2830</v>
      </c>
      <c r="T24" s="2011" t="s">
        <v>2831</v>
      </c>
      <c r="U24" s="2011" t="s">
        <v>2832</v>
      </c>
      <c r="V24" s="2011"/>
      <c r="W24" s="2011" t="s">
        <v>2833</v>
      </c>
      <c r="X24" s="2880"/>
      <c r="Y24" s="2010" t="s">
        <v>2829</v>
      </c>
      <c r="Z24" s="2011" t="s">
        <v>2830</v>
      </c>
      <c r="AA24" s="2011" t="s">
        <v>2831</v>
      </c>
      <c r="AB24" s="2011" t="s">
        <v>2832</v>
      </c>
      <c r="AC24" s="2011"/>
      <c r="AD24" s="2011" t="s">
        <v>2833</v>
      </c>
    </row>
    <row r="25" spans="1:30" s="2883" customFormat="1" ht="12.75">
      <c r="A25" s="2881" t="s">
        <v>2834</v>
      </c>
      <c r="B25" s="2882"/>
      <c r="E25" s="2883">
        <f t="shared" ref="E25:G25" si="32">ROUND(AVERAGEIF(E26:E40,"&lt;&gt;0"),2)</f>
        <v>0.42</v>
      </c>
      <c r="F25" s="2883">
        <f t="shared" si="32"/>
        <v>0.3</v>
      </c>
      <c r="G25" s="2883">
        <f t="shared" si="32"/>
        <v>0.73</v>
      </c>
      <c r="I25" s="2883">
        <f>F25</f>
        <v>0.3</v>
      </c>
      <c r="J25" s="2884"/>
      <c r="K25" s="2885"/>
      <c r="L25" s="2886">
        <f t="shared" ref="L25:N25" si="33">ROUND(AVERAGEIF(L26:L40,"&lt;&gt;0"),4)</f>
        <v>4.1999999999999997E-3</v>
      </c>
      <c r="M25" s="2886">
        <f t="shared" si="33"/>
        <v>3.0000000000000001E-3</v>
      </c>
      <c r="N25" s="2886">
        <f t="shared" si="33"/>
        <v>7.3000000000000001E-3</v>
      </c>
      <c r="O25" s="2886"/>
      <c r="P25" s="2886">
        <f>M25</f>
        <v>3.0000000000000001E-3</v>
      </c>
      <c r="Q25" s="2884"/>
      <c r="R25" s="2887"/>
      <c r="S25" s="2888">
        <f>ROUND(SUMPRODUCT(PRODUCT(1+L26:L40)),4)</f>
        <v>1.0468</v>
      </c>
      <c r="T25" s="2888">
        <f t="shared" ref="T25:U25" si="34">ROUND(SUMPRODUCT(PRODUCT(1+M26:M40)),4)</f>
        <v>1.0337000000000001</v>
      </c>
      <c r="U25" s="2888">
        <f t="shared" si="34"/>
        <v>1.0828</v>
      </c>
      <c r="V25" s="2888"/>
      <c r="W25" s="2887">
        <f>T25</f>
        <v>1.0337000000000001</v>
      </c>
      <c r="X25" s="2884"/>
      <c r="Y25" s="2889"/>
      <c r="Z25" s="2890">
        <f t="shared" ref="Z25:AB25" si="35">ROUND(AVERAGEIF(Z26:Z40,"&lt;&gt;0"),4)</f>
        <v>4.3E-3</v>
      </c>
      <c r="AA25" s="2891">
        <f t="shared" si="35"/>
        <v>3.5999999999999999E-3</v>
      </c>
      <c r="AB25" s="2889">
        <f t="shared" si="35"/>
        <v>8.8999999999999999E-3</v>
      </c>
      <c r="AC25" s="2892"/>
      <c r="AD25" s="2889">
        <f>AA25</f>
        <v>3.5999999999999999E-3</v>
      </c>
    </row>
    <row r="26" spans="1:30" s="2008" customFormat="1" ht="12.75">
      <c r="B26" s="2024"/>
      <c r="J26" s="2893"/>
      <c r="K26" s="2894"/>
      <c r="L26" s="2895"/>
      <c r="M26" s="2895"/>
      <c r="N26" s="2895"/>
      <c r="O26" s="2895"/>
      <c r="P26" s="2895"/>
      <c r="Q26" s="2893"/>
      <c r="R26" s="2026"/>
      <c r="S26" s="2896"/>
      <c r="T26" s="2897"/>
      <c r="U26" s="2026"/>
      <c r="V26" s="2898"/>
      <c r="W26" s="2026"/>
      <c r="X26" s="2893"/>
      <c r="Y26" s="2027"/>
      <c r="Z26" s="2899"/>
      <c r="AA26" s="2900"/>
      <c r="AB26" s="2027"/>
      <c r="AC26" s="2901"/>
      <c r="AD26" s="2027"/>
    </row>
    <row r="27" spans="1:30" s="2044" customFormat="1" ht="12.75">
      <c r="A27" s="2039" t="s">
        <v>3374</v>
      </c>
      <c r="B27" s="2030">
        <v>2023</v>
      </c>
      <c r="C27" s="2041">
        <v>4</v>
      </c>
      <c r="D27" s="2006"/>
      <c r="E27" s="2006">
        <v>0</v>
      </c>
      <c r="F27" s="2006">
        <v>0</v>
      </c>
      <c r="G27" s="2006">
        <v>0</v>
      </c>
      <c r="H27" s="2006"/>
      <c r="I27" s="2007">
        <f t="shared" ref="I27:I40" si="36">F27</f>
        <v>0</v>
      </c>
      <c r="J27" s="2903"/>
      <c r="K27" s="2042"/>
      <c r="L27" s="2027">
        <f t="shared" ref="L27:N40" si="37">E27/100</f>
        <v>0</v>
      </c>
      <c r="M27" s="2027">
        <f t="shared" si="37"/>
        <v>0</v>
      </c>
      <c r="N27" s="2027">
        <f t="shared" si="37"/>
        <v>0</v>
      </c>
      <c r="O27" s="2027"/>
      <c r="P27" s="2027">
        <f>M27</f>
        <v>0</v>
      </c>
      <c r="Q27" s="2903"/>
      <c r="R27" s="2026"/>
      <c r="S27" s="2026">
        <f>ROUND(IF(项目基本情况!$B$8="出让",SUMPRODUCT(PRODUCT(1+L27:L$40)),SUMPRODUCT(PRODUCT(1+L27:L$39))),4)</f>
        <v>1.0431999999999999</v>
      </c>
      <c r="T27" s="2026">
        <f>ROUND(IF(项目基本情况!$B$8="出让",SUMPRODUCT(PRODUCT(1+M27:M$40)),SUMPRODUCT(PRODUCT(1+M27:M$39))),4)</f>
        <v>1.0286999999999999</v>
      </c>
      <c r="U27" s="2026">
        <f>ROUND(IF(项目基本情况!$B$8="出让",SUMPRODUCT(PRODUCT(1+N27:N$40)),SUMPRODUCT(PRODUCT(1+N27:N$39))),4)</f>
        <v>1.0723</v>
      </c>
      <c r="V27" s="2026"/>
      <c r="W27" s="2026">
        <f>T27</f>
        <v>1.0286999999999999</v>
      </c>
      <c r="X27" s="2903"/>
      <c r="Y27" s="2027"/>
      <c r="Z27" s="2899">
        <f>IF(E27=0,0,ROUND(AVERAGE(E27:E40)/100,4))</f>
        <v>0</v>
      </c>
      <c r="AA27" s="2899">
        <f>IF(F27=0,0,ROUND(AVERAGE(F27:F40)/100,4))</f>
        <v>0</v>
      </c>
      <c r="AB27" s="2899">
        <f>IF(G27=0,0,ROUND(AVERAGE(G27:G40)/100,4))</f>
        <v>0</v>
      </c>
      <c r="AC27" s="2901"/>
      <c r="AD27" s="2027">
        <f>IF(I27=0,0,ROUND(AVERAGE(I27:I40)/100,4))</f>
        <v>0</v>
      </c>
    </row>
    <row r="28" spans="1:30" s="2044" customFormat="1" ht="12.75">
      <c r="A28" s="2039" t="s">
        <v>3375</v>
      </c>
      <c r="B28" s="2030">
        <v>2023</v>
      </c>
      <c r="C28" s="2041">
        <v>3</v>
      </c>
      <c r="D28" s="2006"/>
      <c r="E28" s="2006">
        <v>0</v>
      </c>
      <c r="F28" s="2006">
        <v>0</v>
      </c>
      <c r="G28" s="2006">
        <v>0</v>
      </c>
      <c r="H28" s="2006"/>
      <c r="I28" s="2007">
        <f t="shared" ref="I28:I29" si="38">F28</f>
        <v>0</v>
      </c>
      <c r="J28" s="2903"/>
      <c r="K28" s="2042"/>
      <c r="L28" s="2027">
        <f t="shared" ref="L28" si="39">E28/100</f>
        <v>0</v>
      </c>
      <c r="M28" s="2027">
        <f t="shared" ref="M28" si="40">F28/100</f>
        <v>0</v>
      </c>
      <c r="N28" s="2027">
        <f t="shared" ref="N28" si="41">G28/100</f>
        <v>0</v>
      </c>
      <c r="O28" s="2027"/>
      <c r="P28" s="2027">
        <f t="shared" ref="P28" si="42">M28</f>
        <v>0</v>
      </c>
      <c r="Q28" s="2903"/>
      <c r="R28" s="2026"/>
      <c r="S28" s="2026">
        <f>ROUND(IF(项目基本情况!$B$8="出让",SUMPRODUCT(PRODUCT(1+L28:L$40)),SUMPRODUCT(PRODUCT(1+L28:L$39))),4)</f>
        <v>1.0431999999999999</v>
      </c>
      <c r="T28" s="2026">
        <f>ROUND(IF(项目基本情况!$B$8="出让",SUMPRODUCT(PRODUCT(1+M28:M$40)),SUMPRODUCT(PRODUCT(1+M28:M$39))),4)</f>
        <v>1.0286999999999999</v>
      </c>
      <c r="U28" s="2026">
        <f>ROUND(IF(项目基本情况!$B$8="出让",SUMPRODUCT(PRODUCT(1+N28:N$40)),SUMPRODUCT(PRODUCT(1+N28:N$39))),4)</f>
        <v>1.0723</v>
      </c>
      <c r="V28" s="2026"/>
      <c r="W28" s="2026">
        <f t="shared" ref="W28" si="43">T28</f>
        <v>1.0286999999999999</v>
      </c>
      <c r="X28" s="2903"/>
      <c r="Y28" s="2027"/>
      <c r="Z28" s="2899"/>
      <c r="AA28" s="2900"/>
      <c r="AB28" s="2027"/>
      <c r="AC28" s="2901"/>
      <c r="AD28" s="2027"/>
    </row>
    <row r="29" spans="1:30" s="2044" customFormat="1" ht="12.75">
      <c r="A29" s="2039" t="s">
        <v>3376</v>
      </c>
      <c r="B29" s="2030">
        <v>2023</v>
      </c>
      <c r="C29" s="2041">
        <v>3</v>
      </c>
      <c r="D29" s="2006"/>
      <c r="E29" s="2006">
        <v>0</v>
      </c>
      <c r="F29" s="2006">
        <v>0</v>
      </c>
      <c r="G29" s="2006">
        <v>0</v>
      </c>
      <c r="H29" s="2006"/>
      <c r="I29" s="2007">
        <f t="shared" si="38"/>
        <v>0</v>
      </c>
      <c r="J29" s="2903"/>
      <c r="K29" s="2042"/>
      <c r="L29" s="2027">
        <f t="shared" si="37"/>
        <v>0</v>
      </c>
      <c r="M29" s="2027">
        <f t="shared" si="37"/>
        <v>0</v>
      </c>
      <c r="N29" s="2027">
        <f t="shared" si="37"/>
        <v>0</v>
      </c>
      <c r="O29" s="2027"/>
      <c r="P29" s="2027">
        <f t="shared" ref="P29" si="44">M29</f>
        <v>0</v>
      </c>
      <c r="Q29" s="2903"/>
      <c r="R29" s="2026"/>
      <c r="S29" s="2026">
        <f>ROUND(IF(项目基本情况!$B$8="出让",SUMPRODUCT(PRODUCT(1+L29:L$40)),SUMPRODUCT(PRODUCT(1+L29:L$39))),4)</f>
        <v>1.0431999999999999</v>
      </c>
      <c r="T29" s="2026">
        <f>ROUND(IF(项目基本情况!$B$8="出让",SUMPRODUCT(PRODUCT(1+M29:M$40)),SUMPRODUCT(PRODUCT(1+M29:M$39))),4)</f>
        <v>1.0286999999999999</v>
      </c>
      <c r="U29" s="2026">
        <f>ROUND(IF(项目基本情况!$B$8="出让",SUMPRODUCT(PRODUCT(1+N29:N$40)),SUMPRODUCT(PRODUCT(1+N29:N$39))),4)</f>
        <v>1.0723</v>
      </c>
      <c r="V29" s="2026"/>
      <c r="W29" s="2026">
        <f t="shared" ref="W29" si="45">T29</f>
        <v>1.0286999999999999</v>
      </c>
      <c r="X29" s="2903"/>
      <c r="Y29" s="2027"/>
      <c r="Z29" s="2899"/>
      <c r="AA29" s="2900"/>
      <c r="AB29" s="2027"/>
      <c r="AC29" s="2901"/>
      <c r="AD29" s="2027"/>
    </row>
    <row r="30" spans="1:30" s="2913" customFormat="1" ht="12.75">
      <c r="A30" s="2904" t="s">
        <v>3372</v>
      </c>
      <c r="B30" s="2905">
        <v>2023</v>
      </c>
      <c r="C30" s="2906">
        <v>3</v>
      </c>
      <c r="D30" s="2907"/>
      <c r="E30" s="2907">
        <v>0.35</v>
      </c>
      <c r="F30" s="2907">
        <v>0.17</v>
      </c>
      <c r="G30" s="2907">
        <v>0.52</v>
      </c>
      <c r="H30" s="2908"/>
      <c r="I30" s="2909">
        <f t="shared" si="36"/>
        <v>0.17</v>
      </c>
      <c r="J30" s="2910"/>
      <c r="K30" s="2911"/>
      <c r="L30" s="2912">
        <f t="shared" ref="L30:L32" si="46">E30/100</f>
        <v>3.4999999999999996E-3</v>
      </c>
      <c r="M30" s="2912">
        <f t="shared" ref="M30:M32" si="47">F30/100</f>
        <v>1.7000000000000001E-3</v>
      </c>
      <c r="N30" s="2912">
        <f t="shared" ref="N30:N32" si="48">G30/100</f>
        <v>5.1999999999999998E-3</v>
      </c>
      <c r="O30" s="2912"/>
      <c r="P30" s="2912">
        <f t="shared" ref="P30:P32" si="49">M30</f>
        <v>1.7000000000000001E-3</v>
      </c>
      <c r="Q30" s="2910"/>
      <c r="R30" s="2910"/>
      <c r="S30" s="2910">
        <f>ROUND(IF(项目基本情况!$B$8="出让",SUMPRODUCT(PRODUCT(1+L30:L$40)),SUMPRODUCT(PRODUCT(1+L30:L$39))),4)</f>
        <v>1.0431999999999999</v>
      </c>
      <c r="T30" s="2910">
        <f>ROUND(IF(项目基本情况!$B$8="出让",SUMPRODUCT(PRODUCT(1+M30:M$40)),SUMPRODUCT(PRODUCT(1+M30:M$39))),4)</f>
        <v>1.0286999999999999</v>
      </c>
      <c r="U30" s="2910">
        <f>ROUND(IF(项目基本情况!$B$8="出让",SUMPRODUCT(PRODUCT(1+N30:N$40)),SUMPRODUCT(PRODUCT(1+N30:N$39))),4)</f>
        <v>1.0723</v>
      </c>
      <c r="V30" s="2910"/>
      <c r="W30" s="2910">
        <f t="shared" ref="W30:W32" si="50">T30</f>
        <v>1.0286999999999999</v>
      </c>
      <c r="X30" s="2910"/>
      <c r="Y30" s="2912"/>
      <c r="Z30" s="2928"/>
      <c r="AA30" s="2929"/>
      <c r="AB30" s="2912"/>
      <c r="AC30" s="2930"/>
      <c r="AD30" s="2912"/>
    </row>
    <row r="31" spans="1:30" s="2044" customFormat="1" ht="12.75">
      <c r="A31" s="2902" t="s">
        <v>3373</v>
      </c>
      <c r="B31" s="2030">
        <v>2023</v>
      </c>
      <c r="C31" s="2041">
        <v>2</v>
      </c>
      <c r="D31" s="2006"/>
      <c r="E31" s="2006">
        <v>0.5</v>
      </c>
      <c r="F31" s="2006">
        <v>0.45</v>
      </c>
      <c r="G31" s="2006">
        <v>0.89</v>
      </c>
      <c r="H31" s="2914"/>
      <c r="I31" s="2007">
        <f t="shared" si="36"/>
        <v>0.45</v>
      </c>
      <c r="J31" s="2903"/>
      <c r="K31" s="2042"/>
      <c r="L31" s="2027">
        <f t="shared" si="46"/>
        <v>5.0000000000000001E-3</v>
      </c>
      <c r="M31" s="2027">
        <f t="shared" si="47"/>
        <v>4.5000000000000005E-3</v>
      </c>
      <c r="N31" s="2027">
        <f t="shared" si="48"/>
        <v>8.8999999999999999E-3</v>
      </c>
      <c r="O31" s="2027"/>
      <c r="P31" s="2027">
        <f t="shared" si="49"/>
        <v>4.5000000000000005E-3</v>
      </c>
      <c r="Q31" s="2903"/>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3"/>
      <c r="Y31" s="2027"/>
      <c r="Z31" s="2899"/>
      <c r="AA31" s="2900"/>
      <c r="AB31" s="2027"/>
      <c r="AC31" s="2901"/>
      <c r="AD31" s="2027"/>
    </row>
    <row r="32" spans="1:30" s="2044" customFormat="1" ht="12.75">
      <c r="A32" s="2902" t="s">
        <v>3367</v>
      </c>
      <c r="B32" s="2030">
        <v>2023</v>
      </c>
      <c r="C32" s="2041">
        <v>1</v>
      </c>
      <c r="D32" s="2006"/>
      <c r="E32" s="2006">
        <v>0.55000000000000004</v>
      </c>
      <c r="F32" s="2006">
        <v>0.59</v>
      </c>
      <c r="G32" s="2006">
        <v>0.64</v>
      </c>
      <c r="H32" s="2914"/>
      <c r="I32" s="2007">
        <f t="shared" si="36"/>
        <v>0.59</v>
      </c>
      <c r="J32" s="2903"/>
      <c r="K32" s="2042"/>
      <c r="L32" s="2027">
        <f t="shared" si="46"/>
        <v>5.5000000000000005E-3</v>
      </c>
      <c r="M32" s="2027">
        <f t="shared" si="47"/>
        <v>5.8999999999999999E-3</v>
      </c>
      <c r="N32" s="2027">
        <f t="shared" si="48"/>
        <v>6.4000000000000003E-3</v>
      </c>
      <c r="O32" s="2027"/>
      <c r="P32" s="2027">
        <f t="shared" si="49"/>
        <v>5.8999999999999999E-3</v>
      </c>
      <c r="Q32" s="2903"/>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3"/>
      <c r="Y32" s="2027"/>
      <c r="Z32" s="2899"/>
      <c r="AA32" s="2900"/>
      <c r="AB32" s="2027"/>
      <c r="AC32" s="2901"/>
      <c r="AD32" s="2027"/>
    </row>
    <row r="33" spans="1:30" s="2044" customFormat="1" ht="12.75">
      <c r="A33" s="2902" t="s">
        <v>3366</v>
      </c>
      <c r="B33" s="2030">
        <v>2022</v>
      </c>
      <c r="C33" s="2041">
        <v>4</v>
      </c>
      <c r="D33" s="2006"/>
      <c r="E33" s="2006">
        <v>0.45</v>
      </c>
      <c r="F33" s="2006">
        <v>0.2</v>
      </c>
      <c r="G33" s="2006">
        <v>0.38</v>
      </c>
      <c r="H33" s="2914"/>
      <c r="I33" s="2007">
        <f t="shared" si="36"/>
        <v>0.2</v>
      </c>
      <c r="J33" s="2903"/>
      <c r="K33" s="2042"/>
      <c r="L33" s="2027">
        <f t="shared" si="37"/>
        <v>4.5000000000000005E-3</v>
      </c>
      <c r="M33" s="2027">
        <f t="shared" si="37"/>
        <v>2E-3</v>
      </c>
      <c r="N33" s="2027">
        <f t="shared" si="37"/>
        <v>3.8E-3</v>
      </c>
      <c r="O33" s="2027"/>
      <c r="P33" s="2027">
        <f t="shared" ref="P33:P40" si="51">M33</f>
        <v>2E-3</v>
      </c>
      <c r="Q33" s="2903"/>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3"/>
      <c r="Y33" s="2027"/>
      <c r="Z33" s="2899">
        <f t="shared" ref="Z33:AD40" si="53">IF(E33=0,0,ROUND(AVERAGE(E33:E41)/100,4))</f>
        <v>4.0000000000000001E-3</v>
      </c>
      <c r="AA33" s="2900">
        <f t="shared" si="53"/>
        <v>2.5999999999999999E-3</v>
      </c>
      <c r="AB33" s="2027">
        <f t="shared" si="53"/>
        <v>7.4000000000000003E-3</v>
      </c>
      <c r="AC33" s="2901"/>
      <c r="AD33" s="2027">
        <f t="shared" si="53"/>
        <v>2.5999999999999999E-3</v>
      </c>
    </row>
    <row r="34" spans="1:30" s="2044" customFormat="1" ht="12.75">
      <c r="A34" s="2902" t="s">
        <v>3363</v>
      </c>
      <c r="B34" s="2030">
        <v>2022</v>
      </c>
      <c r="C34" s="2041">
        <v>3</v>
      </c>
      <c r="D34" s="2006"/>
      <c r="E34" s="2006">
        <v>0.3</v>
      </c>
      <c r="F34" s="2006">
        <v>0.28999999999999998</v>
      </c>
      <c r="G34" s="2006">
        <v>0.83</v>
      </c>
      <c r="H34" s="2914"/>
      <c r="I34" s="2007">
        <f t="shared" si="36"/>
        <v>0.28999999999999998</v>
      </c>
      <c r="J34" s="2903"/>
      <c r="K34" s="2042"/>
      <c r="L34" s="2027">
        <f t="shared" si="37"/>
        <v>3.0000000000000001E-3</v>
      </c>
      <c r="M34" s="2027">
        <f t="shared" si="37"/>
        <v>2.8999999999999998E-3</v>
      </c>
      <c r="N34" s="2027">
        <f t="shared" si="37"/>
        <v>8.3000000000000001E-3</v>
      </c>
      <c r="O34" s="2027"/>
      <c r="P34" s="2027">
        <f t="shared" si="51"/>
        <v>2.8999999999999998E-3</v>
      </c>
      <c r="Q34" s="2903"/>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3"/>
      <c r="Y34" s="2027"/>
      <c r="Z34" s="2899">
        <f t="shared" si="53"/>
        <v>3.8999999999999998E-3</v>
      </c>
      <c r="AA34" s="2900">
        <f t="shared" si="53"/>
        <v>2.7000000000000001E-3</v>
      </c>
      <c r="AB34" s="2027">
        <f t="shared" si="53"/>
        <v>7.9000000000000008E-3</v>
      </c>
      <c r="AC34" s="2901"/>
      <c r="AD34" s="2027">
        <f t="shared" si="53"/>
        <v>2.7000000000000001E-3</v>
      </c>
    </row>
    <row r="35" spans="1:30" s="2044" customFormat="1" ht="12.75">
      <c r="A35" s="2902" t="s">
        <v>3353</v>
      </c>
      <c r="B35" s="2030">
        <v>2022</v>
      </c>
      <c r="C35" s="2041">
        <v>2</v>
      </c>
      <c r="D35" s="2006"/>
      <c r="E35" s="2006">
        <v>-0.11</v>
      </c>
      <c r="F35" s="2006">
        <v>-0.13</v>
      </c>
      <c r="G35" s="2006">
        <v>0.53</v>
      </c>
      <c r="H35" s="2914"/>
      <c r="I35" s="2007">
        <f t="shared" si="36"/>
        <v>-0.13</v>
      </c>
      <c r="J35" s="2903"/>
      <c r="K35" s="2042"/>
      <c r="L35" s="2027">
        <f t="shared" si="37"/>
        <v>-1.1000000000000001E-3</v>
      </c>
      <c r="M35" s="2027">
        <f t="shared" si="37"/>
        <v>-1.2999999999999999E-3</v>
      </c>
      <c r="N35" s="2027">
        <f t="shared" si="37"/>
        <v>5.3E-3</v>
      </c>
      <c r="O35" s="2027"/>
      <c r="P35" s="2027">
        <f t="shared" si="51"/>
        <v>-1.2999999999999999E-3</v>
      </c>
      <c r="Q35" s="2903"/>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3"/>
      <c r="Y35" s="2027"/>
      <c r="Z35" s="2899">
        <f t="shared" si="53"/>
        <v>4.1000000000000003E-3</v>
      </c>
      <c r="AA35" s="2900">
        <f t="shared" si="53"/>
        <v>2.7000000000000001E-3</v>
      </c>
      <c r="AB35" s="2027">
        <f t="shared" si="53"/>
        <v>7.9000000000000008E-3</v>
      </c>
      <c r="AC35" s="2901"/>
      <c r="AD35" s="2027">
        <f t="shared" si="53"/>
        <v>2.7000000000000001E-3</v>
      </c>
    </row>
    <row r="36" spans="1:30" s="2044" customFormat="1" ht="12.75">
      <c r="A36" s="2902" t="s">
        <v>2835</v>
      </c>
      <c r="B36" s="2030">
        <v>2022</v>
      </c>
      <c r="C36" s="2041">
        <v>1</v>
      </c>
      <c r="D36" s="2006"/>
      <c r="E36" s="2006">
        <v>0.6</v>
      </c>
      <c r="F36" s="2006">
        <v>0.45</v>
      </c>
      <c r="G36" s="2006">
        <v>0.53</v>
      </c>
      <c r="H36" s="2914"/>
      <c r="I36" s="2007">
        <f t="shared" si="36"/>
        <v>0.45</v>
      </c>
      <c r="J36" s="2903"/>
      <c r="K36" s="2042"/>
      <c r="L36" s="2027">
        <f t="shared" si="37"/>
        <v>6.0000000000000001E-3</v>
      </c>
      <c r="M36" s="2027">
        <f t="shared" si="37"/>
        <v>4.5000000000000005E-3</v>
      </c>
      <c r="N36" s="2027">
        <f t="shared" si="37"/>
        <v>5.3E-3</v>
      </c>
      <c r="O36" s="2027"/>
      <c r="P36" s="2027">
        <f t="shared" si="51"/>
        <v>4.5000000000000005E-3</v>
      </c>
      <c r="Q36" s="2903"/>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3"/>
      <c r="Y36" s="2027"/>
      <c r="Z36" s="2899">
        <f t="shared" si="53"/>
        <v>5.1000000000000004E-3</v>
      </c>
      <c r="AA36" s="2900">
        <f t="shared" si="53"/>
        <v>3.5000000000000001E-3</v>
      </c>
      <c r="AB36" s="2027">
        <f t="shared" si="53"/>
        <v>8.3999999999999995E-3</v>
      </c>
      <c r="AC36" s="2901"/>
      <c r="AD36" s="2027">
        <f t="shared" si="53"/>
        <v>3.5000000000000001E-3</v>
      </c>
    </row>
    <row r="37" spans="1:30" s="2044" customFormat="1" ht="12.75">
      <c r="A37" s="2902" t="s">
        <v>2836</v>
      </c>
      <c r="B37" s="2030">
        <v>2021</v>
      </c>
      <c r="C37" s="2041">
        <v>4</v>
      </c>
      <c r="D37" s="2006"/>
      <c r="E37" s="2006">
        <v>0.57999999999999996</v>
      </c>
      <c r="F37" s="2006">
        <v>0.08</v>
      </c>
      <c r="G37" s="2006">
        <v>0.68</v>
      </c>
      <c r="H37" s="2914"/>
      <c r="I37" s="2007">
        <f t="shared" si="36"/>
        <v>0.08</v>
      </c>
      <c r="J37" s="2903"/>
      <c r="K37" s="2042"/>
      <c r="L37" s="2027">
        <f t="shared" si="37"/>
        <v>5.7999999999999996E-3</v>
      </c>
      <c r="M37" s="2027">
        <f t="shared" si="37"/>
        <v>8.0000000000000004E-4</v>
      </c>
      <c r="N37" s="2027">
        <f t="shared" si="37"/>
        <v>6.8000000000000005E-3</v>
      </c>
      <c r="O37" s="2027"/>
      <c r="P37" s="2027">
        <f t="shared" si="51"/>
        <v>8.0000000000000004E-4</v>
      </c>
      <c r="Q37" s="2903"/>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3"/>
      <c r="Y37" s="2027"/>
      <c r="Z37" s="2899">
        <f t="shared" si="53"/>
        <v>4.8999999999999998E-3</v>
      </c>
      <c r="AA37" s="2900">
        <f t="shared" si="53"/>
        <v>3.3E-3</v>
      </c>
      <c r="AB37" s="2027">
        <f t="shared" si="53"/>
        <v>9.1999999999999998E-3</v>
      </c>
      <c r="AC37" s="2901"/>
      <c r="AD37" s="2027">
        <f t="shared" si="53"/>
        <v>3.3E-3</v>
      </c>
    </row>
    <row r="38" spans="1:30" s="2044" customFormat="1" ht="12.75">
      <c r="A38" s="2902" t="s">
        <v>2837</v>
      </c>
      <c r="B38" s="2030">
        <v>2021</v>
      </c>
      <c r="C38" s="2041">
        <v>3</v>
      </c>
      <c r="D38" s="2006"/>
      <c r="E38" s="2006">
        <v>0.47</v>
      </c>
      <c r="F38" s="2006">
        <v>0.28000000000000003</v>
      </c>
      <c r="G38" s="2006">
        <v>0.91</v>
      </c>
      <c r="H38" s="2914"/>
      <c r="I38" s="2007">
        <f t="shared" si="36"/>
        <v>0.28000000000000003</v>
      </c>
      <c r="J38" s="2903"/>
      <c r="K38" s="2042"/>
      <c r="L38" s="2027">
        <f t="shared" si="37"/>
        <v>4.6999999999999993E-3</v>
      </c>
      <c r="M38" s="2027">
        <f t="shared" si="37"/>
        <v>2.8000000000000004E-3</v>
      </c>
      <c r="N38" s="2027">
        <f t="shared" si="37"/>
        <v>9.1000000000000004E-3</v>
      </c>
      <c r="O38" s="2027"/>
      <c r="P38" s="2027">
        <f t="shared" si="51"/>
        <v>2.8000000000000004E-3</v>
      </c>
      <c r="Q38" s="2903"/>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3"/>
      <c r="Y38" s="2027"/>
      <c r="Z38" s="2899">
        <f t="shared" si="53"/>
        <v>4.5999999999999999E-3</v>
      </c>
      <c r="AA38" s="2900">
        <f t="shared" si="53"/>
        <v>4.1000000000000003E-3</v>
      </c>
      <c r="AB38" s="2027">
        <f t="shared" si="53"/>
        <v>0.01</v>
      </c>
      <c r="AC38" s="2901"/>
      <c r="AD38" s="2027">
        <f t="shared" si="53"/>
        <v>4.1000000000000003E-3</v>
      </c>
    </row>
    <row r="39" spans="1:30" s="2044" customFormat="1" ht="12.75">
      <c r="A39" s="2902" t="s">
        <v>2838</v>
      </c>
      <c r="B39" s="2030">
        <v>2021</v>
      </c>
      <c r="C39" s="2041">
        <v>2</v>
      </c>
      <c r="D39" s="2006"/>
      <c r="E39" s="2006">
        <v>0.55000000000000004</v>
      </c>
      <c r="F39" s="2006">
        <v>0.46</v>
      </c>
      <c r="G39" s="2006">
        <v>1.1000000000000001</v>
      </c>
      <c r="H39" s="2914"/>
      <c r="I39" s="2007">
        <f t="shared" si="36"/>
        <v>0.46</v>
      </c>
      <c r="J39" s="2903"/>
      <c r="K39" s="2042"/>
      <c r="L39" s="2027">
        <f t="shared" si="37"/>
        <v>5.5000000000000005E-3</v>
      </c>
      <c r="M39" s="2027">
        <f t="shared" si="37"/>
        <v>4.5999999999999999E-3</v>
      </c>
      <c r="N39" s="2027">
        <f t="shared" si="37"/>
        <v>1.1000000000000001E-2</v>
      </c>
      <c r="O39" s="2027"/>
      <c r="P39" s="2027">
        <f t="shared" si="51"/>
        <v>4.5999999999999999E-3</v>
      </c>
      <c r="Q39" s="2903"/>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3"/>
      <c r="Y39" s="2027"/>
      <c r="Z39" s="2899">
        <f t="shared" si="53"/>
        <v>4.4999999999999997E-3</v>
      </c>
      <c r="AA39" s="2900">
        <f t="shared" si="53"/>
        <v>4.7000000000000002E-3</v>
      </c>
      <c r="AB39" s="2027">
        <f t="shared" si="53"/>
        <v>1.04E-2</v>
      </c>
      <c r="AC39" s="2901"/>
      <c r="AD39" s="2027">
        <f t="shared" si="53"/>
        <v>4.7000000000000002E-3</v>
      </c>
    </row>
    <row r="40" spans="1:30" s="2925" customFormat="1" thickBot="1">
      <c r="A40" s="2915" t="s">
        <v>2824</v>
      </c>
      <c r="B40" s="2916">
        <v>2021</v>
      </c>
      <c r="C40" s="2917">
        <v>1</v>
      </c>
      <c r="D40" s="2918"/>
      <c r="E40" s="2918">
        <v>0.35</v>
      </c>
      <c r="F40" s="2918">
        <v>0.48</v>
      </c>
      <c r="G40" s="2918">
        <v>0.98</v>
      </c>
      <c r="H40" s="2919"/>
      <c r="I40" s="2920">
        <f t="shared" si="36"/>
        <v>0.48</v>
      </c>
      <c r="J40" s="2921"/>
      <c r="K40" s="2922"/>
      <c r="L40" s="2923">
        <f t="shared" si="37"/>
        <v>3.4999999999999996E-3</v>
      </c>
      <c r="M40" s="2923">
        <f>F40/100</f>
        <v>4.7999999999999996E-3</v>
      </c>
      <c r="N40" s="2923">
        <f t="shared" si="37"/>
        <v>9.7999999999999997E-3</v>
      </c>
      <c r="O40" s="2923"/>
      <c r="P40" s="2923">
        <f t="shared" si="51"/>
        <v>4.7999999999999996E-3</v>
      </c>
      <c r="Q40" s="2921"/>
      <c r="R40" s="2924"/>
      <c r="S40" s="2924">
        <v>1</v>
      </c>
      <c r="T40" s="2924">
        <v>1</v>
      </c>
      <c r="U40" s="2924">
        <v>1</v>
      </c>
      <c r="V40" s="2924"/>
      <c r="W40" s="2924">
        <f t="shared" si="52"/>
        <v>1</v>
      </c>
      <c r="X40" s="2921"/>
      <c r="Y40" s="2923"/>
      <c r="Z40" s="2931">
        <f t="shared" si="53"/>
        <v>3.5000000000000001E-3</v>
      </c>
      <c r="AA40" s="2932">
        <f t="shared" si="53"/>
        <v>4.7999999999999996E-3</v>
      </c>
      <c r="AB40" s="2923">
        <f t="shared" si="53"/>
        <v>9.7999999999999997E-3</v>
      </c>
      <c r="AC40" s="2933"/>
      <c r="AD40" s="2923">
        <f t="shared" si="53"/>
        <v>4.7999999999999996E-3</v>
      </c>
    </row>
    <row r="41" spans="1:30" ht="14.25" thickTop="1"/>
    <row r="42" spans="1:30">
      <c r="A42" s="3140"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52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45315</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199" t="s">
        <v>2310</v>
      </c>
      <c r="C23" s="1206">
        <v>43697</v>
      </c>
      <c r="D23" s="2571">
        <v>4.25</v>
      </c>
      <c r="E23" s="2571">
        <v>4.25</v>
      </c>
      <c r="F23" s="2571">
        <v>4.25</v>
      </c>
      <c r="G23" s="2571">
        <v>4.25</v>
      </c>
      <c r="H23" s="2571">
        <v>4.8499999999999996</v>
      </c>
      <c r="I23" s="2571"/>
      <c r="J23" s="2571"/>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4"/>
      <c r="C24" s="2575">
        <v>42301</v>
      </c>
      <c r="D24" s="2576">
        <v>4.3499999999999996</v>
      </c>
      <c r="E24" s="2576">
        <v>4.3499999999999996</v>
      </c>
      <c r="F24" s="2576">
        <v>4.75</v>
      </c>
      <c r="G24" s="2576">
        <v>4.75</v>
      </c>
      <c r="H24" s="2576">
        <v>4.9000000000000004</v>
      </c>
      <c r="I24" s="2576"/>
      <c r="J24" s="2576"/>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建筑物价值</v>
      </c>
      <c r="G2" s="3197"/>
      <c r="H2" s="3197" t="str">
        <f>IF(项目基本情况!B9="房地产市场价值","房地产市场价值","房地产价值")</f>
        <v>房地产价值</v>
      </c>
      <c r="I2" s="3197"/>
    </row>
    <row r="3" spans="1:9" ht="15">
      <c r="A3" s="3198"/>
      <c r="B3" s="3198"/>
      <c r="C3" s="3198"/>
      <c r="D3" s="800" t="s">
        <v>925</v>
      </c>
      <c r="E3" s="800" t="s">
        <v>931</v>
      </c>
      <c r="F3" s="800" t="s">
        <v>925</v>
      </c>
      <c r="G3" s="800" t="s">
        <v>926</v>
      </c>
      <c r="H3" s="800" t="s">
        <v>925</v>
      </c>
      <c r="I3" s="800" t="s">
        <v>926</v>
      </c>
    </row>
    <row r="4" spans="1:9" ht="30">
      <c r="A4" s="1402" t="str">
        <f>项目基本情况!S2</f>
        <v>北京市延庆县康庄镇康祥路11号1-6幢工业用房房地产</v>
      </c>
      <c r="B4" s="800">
        <f>项目基本情况!C17</f>
        <v>7170.4100000000008</v>
      </c>
      <c r="C4" s="800">
        <f>项目基本情况!C18</f>
        <v>14571.48</v>
      </c>
      <c r="D4" s="800">
        <f ca="1">结果表!D118</f>
        <v>1167</v>
      </c>
      <c r="E4" s="800">
        <f ca="1">结果表!E118</f>
        <v>1627</v>
      </c>
      <c r="F4" s="800">
        <f ca="1">结果表!F118</f>
        <v>1680</v>
      </c>
      <c r="G4" s="800">
        <f ca="1">结果表!G118</f>
        <v>2343</v>
      </c>
      <c r="H4" s="800">
        <f ca="1">结果表!H118</f>
        <v>2847</v>
      </c>
      <c r="I4" s="800">
        <f ca="1">结果表!I118</f>
        <v>3970</v>
      </c>
    </row>
    <row r="5" spans="1:9" ht="30" customHeight="1">
      <c r="A5" s="3198" t="s">
        <v>927</v>
      </c>
      <c r="B5" s="3198"/>
      <c r="C5" s="3198"/>
      <c r="D5" s="3198" t="str">
        <f ca="1">结果表!D119</f>
        <v>壹仟壹佰陆拾柒万元整</v>
      </c>
      <c r="E5" s="3198"/>
      <c r="F5" s="3198" t="str">
        <f ca="1">结果表!F119</f>
        <v>壹仟陆佰捌拾万元整</v>
      </c>
      <c r="G5" s="3198"/>
      <c r="H5" s="3198" t="str">
        <f ca="1">结果表!H119</f>
        <v>贰仟捌佰肆拾柒万元整</v>
      </c>
      <c r="I5" s="3198"/>
    </row>
    <row r="6" spans="1:9" ht="15.75">
      <c r="A6" s="3199" t="str">
        <f>结果表!A120</f>
        <v>估价师知悉的法定优先受偿款</v>
      </c>
      <c r="B6" s="3199"/>
      <c r="C6" s="3199"/>
      <c r="D6" s="3199">
        <f>结果表!D120</f>
        <v>0</v>
      </c>
      <c r="E6" s="3199"/>
      <c r="F6" s="3199"/>
      <c r="G6" s="3199"/>
      <c r="H6" s="3199"/>
      <c r="I6" s="3199"/>
    </row>
    <row r="7" spans="1:9" ht="15">
      <c r="A7" s="3198" t="s">
        <v>927</v>
      </c>
      <c r="B7" s="3198"/>
      <c r="C7" s="3198"/>
      <c r="D7" s="3200" t="str">
        <f>结果表!D121</f>
        <v>零元整</v>
      </c>
      <c r="E7" s="3201"/>
      <c r="F7" s="3201"/>
      <c r="G7" s="3201"/>
      <c r="H7" s="3201"/>
      <c r="I7" s="3202"/>
    </row>
    <row r="8" spans="1:9" ht="15.75">
      <c r="A8" s="3199" t="str">
        <f>结果表!A122</f>
        <v>房地产抵押价值</v>
      </c>
      <c r="B8" s="3199"/>
      <c r="C8" s="3199"/>
      <c r="D8" s="3199">
        <f ca="1">结果表!D122</f>
        <v>2847</v>
      </c>
      <c r="E8" s="3199"/>
      <c r="F8" s="3199"/>
      <c r="G8" s="3199"/>
      <c r="H8" s="3199"/>
      <c r="I8" s="3199"/>
    </row>
    <row r="9" spans="1:9" ht="15">
      <c r="A9" s="3198" t="s">
        <v>927</v>
      </c>
      <c r="B9" s="3198"/>
      <c r="C9" s="3198"/>
      <c r="D9" s="3198" t="str">
        <f ca="1">结果表!D123</f>
        <v>贰仟捌佰肆拾柒万元整</v>
      </c>
      <c r="E9" s="3198"/>
      <c r="F9" s="3198"/>
      <c r="G9" s="3198"/>
      <c r="H9" s="3198"/>
      <c r="I9" s="3198"/>
    </row>
    <row r="10" spans="1:9" ht="15.75">
      <c r="A10" s="3199" t="str">
        <f>结果表!A124</f>
        <v/>
      </c>
      <c r="B10" s="3199"/>
      <c r="C10" s="3199"/>
      <c r="D10" s="3199" t="str">
        <f>结果表!D124</f>
        <v>——</v>
      </c>
      <c r="E10" s="3199"/>
      <c r="F10" s="3199"/>
      <c r="G10" s="3199"/>
      <c r="H10" s="3199"/>
      <c r="I10" s="3199"/>
    </row>
    <row r="11" spans="1:9" ht="15">
      <c r="A11" s="3198" t="s">
        <v>927</v>
      </c>
      <c r="B11" s="3198"/>
      <c r="C11" s="3198"/>
      <c r="D11" s="3198" t="e">
        <f>结果表!D125</f>
        <v>#VALUE!</v>
      </c>
      <c r="E11" s="3198"/>
      <c r="F11" s="3198"/>
      <c r="G11" s="3198"/>
      <c r="H11" s="3198"/>
      <c r="I11" s="3198"/>
    </row>
    <row r="12" spans="1:9" ht="15.75">
      <c r="A12" s="3199" t="str">
        <f>结果表!A126</f>
        <v/>
      </c>
      <c r="B12" s="3199"/>
      <c r="C12" s="3199"/>
      <c r="D12" s="3199" t="str">
        <f>结果表!D126</f>
        <v>——</v>
      </c>
      <c r="E12" s="3199"/>
      <c r="F12" s="3199"/>
      <c r="G12" s="3199"/>
      <c r="H12" s="3199"/>
      <c r="I12" s="3199"/>
    </row>
    <row r="13" spans="1:9" ht="15.75" thickBot="1">
      <c r="A13" s="3203" t="s">
        <v>927</v>
      </c>
      <c r="B13" s="3203"/>
      <c r="C13" s="3203"/>
      <c r="D13" s="3203" t="e">
        <f>结果表!D127</f>
        <v>#VALUE!</v>
      </c>
      <c r="E13" s="3203"/>
      <c r="F13" s="3203"/>
      <c r="G13" s="3203"/>
      <c r="H13" s="3203"/>
      <c r="I13" s="3203"/>
    </row>
    <row r="14" spans="1:9" ht="15" thickTop="1">
      <c r="A14" s="3204" t="s">
        <v>932</v>
      </c>
      <c r="B14" s="3204"/>
      <c r="C14" s="3204"/>
      <c r="D14" s="3204"/>
      <c r="E14" s="3204"/>
      <c r="F14" s="3204"/>
      <c r="G14" s="3204"/>
      <c r="H14" s="3204"/>
      <c r="I14" s="3204"/>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3406</v>
      </c>
      <c r="D1" s="1270" t="s">
        <v>43</v>
      </c>
      <c r="E1" s="1271" t="s">
        <v>678</v>
      </c>
      <c r="F1" s="998" t="e">
        <f ca="1">J53</f>
        <v>#N/A</v>
      </c>
      <c r="G1" s="1285" t="e">
        <f>MATCH(C1,'数据-取费表'!A6:A16,0)+5</f>
        <v>#N/A</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#N/A</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t="e">
        <f ca="1">C6+C10+C12</f>
        <v>#N/A</v>
      </c>
      <c r="D5" s="1272" t="s">
        <v>693</v>
      </c>
      <c r="E5" s="1007"/>
      <c r="F5" s="1008"/>
      <c r="G5" s="1291"/>
      <c r="H5" s="290">
        <v>1</v>
      </c>
      <c r="I5" s="291" t="s">
        <v>692</v>
      </c>
      <c r="J5" s="1006" t="e">
        <f ca="1">J6+J10+J12</f>
        <v>#N/A</v>
      </c>
      <c r="K5" s="1272" t="s">
        <v>693</v>
      </c>
      <c r="L5" s="1007"/>
      <c r="M5" s="1008"/>
    </row>
    <row r="6" spans="1:37" ht="18" customHeight="1">
      <c r="A6" s="1005" t="s">
        <v>398</v>
      </c>
      <c r="B6" s="3442" t="s">
        <v>694</v>
      </c>
      <c r="C6" s="1010" t="e">
        <f ca="1">ROUND(F6*F8*F7*(1-F9)/10000,0)</f>
        <v>#N/A</v>
      </c>
      <c r="D6" s="146" t="s">
        <v>2106</v>
      </c>
      <c r="E6" s="293" t="s">
        <v>696</v>
      </c>
      <c r="F6" s="294" t="e">
        <f ca="1">INDIRECT("'数据-取费表'!u"&amp;$G$1)</f>
        <v>#N/A</v>
      </c>
      <c r="G6" s="1291"/>
      <c r="H6" s="1005" t="s">
        <v>398</v>
      </c>
      <c r="I6" s="3442" t="s">
        <v>694</v>
      </c>
      <c r="J6" s="292" t="e">
        <f ca="1">ROUND(M6*M8*M7*(1-M9)/10000,0)</f>
        <v>#N/A</v>
      </c>
      <c r="K6" s="146" t="s">
        <v>2105</v>
      </c>
      <c r="L6" s="293" t="s">
        <v>696</v>
      </c>
      <c r="M6" s="294" t="e">
        <f ca="1">INDIRECT("'数据-取费表'!z"&amp;$G$1)</f>
        <v>#N/A</v>
      </c>
    </row>
    <row r="7" spans="1:37" ht="18" customHeight="1">
      <c r="A7" s="1009"/>
      <c r="B7" s="3443"/>
      <c r="C7" s="1011"/>
      <c r="D7" s="298"/>
      <c r="E7" s="1012" t="s">
        <v>697</v>
      </c>
      <c r="F7" s="294" t="e">
        <f ca="1">IF(INDIRECT("'数据-取费表'!ah"&amp;$G$1)="",INDIRECT("'数据-取费表'!k"&amp;$G$1),INDIRECT("'数据-取费表'!ah"&amp;$G$1))</f>
        <v>#N/A</v>
      </c>
      <c r="G7" s="1291"/>
      <c r="H7" s="295"/>
      <c r="I7" s="3443"/>
      <c r="J7" s="297"/>
      <c r="K7" s="298"/>
      <c r="L7" s="293" t="s">
        <v>697</v>
      </c>
      <c r="M7" s="294" t="e">
        <f ca="1">F7</f>
        <v>#N/A</v>
      </c>
    </row>
    <row r="8" spans="1:37" ht="18" customHeight="1">
      <c r="A8" s="295"/>
      <c r="B8" s="3443"/>
      <c r="C8" s="297"/>
      <c r="D8" s="298"/>
      <c r="E8" s="293" t="s">
        <v>698</v>
      </c>
      <c r="F8" s="294" t="e">
        <f ca="1">INDIRECT("'数据-取费表'!ai"&amp;$G$1)</f>
        <v>#N/A</v>
      </c>
      <c r="G8" s="1291"/>
      <c r="H8" s="295"/>
      <c r="I8" s="3443"/>
      <c r="J8" s="297"/>
      <c r="K8" s="298"/>
      <c r="L8" s="293" t="s">
        <v>698</v>
      </c>
      <c r="M8" s="294" t="e">
        <f ca="1">INDIRECT("'数据-取费表'!ai"&amp;$G$1)</f>
        <v>#N/A</v>
      </c>
    </row>
    <row r="9" spans="1:37" ht="18" customHeight="1">
      <c r="A9" s="295"/>
      <c r="B9" s="3444"/>
      <c r="C9" s="297"/>
      <c r="D9" s="298"/>
      <c r="E9" s="293" t="s">
        <v>699</v>
      </c>
      <c r="F9" s="303" t="e">
        <f ca="1">INDIRECT("'数据-取费表'!w"&amp;$G$1)</f>
        <v>#N/A</v>
      </c>
      <c r="G9" s="1291"/>
      <c r="H9" s="295"/>
      <c r="I9" s="3444"/>
      <c r="J9" s="297"/>
      <c r="K9" s="298"/>
      <c r="L9" s="304" t="s">
        <v>699</v>
      </c>
      <c r="M9" s="305" t="e">
        <f ca="1">INDIRECT("'数据-取费表'!ab"&amp;$G$1)</f>
        <v>#N/A</v>
      </c>
    </row>
    <row r="10" spans="1:37" ht="18" customHeight="1">
      <c r="A10" s="1005" t="s">
        <v>402</v>
      </c>
      <c r="B10" s="1273" t="s">
        <v>700</v>
      </c>
      <c r="C10" s="307">
        <f ca="1">ROUND(IF(F10="押一",C6/12*F11,IF(F10="押二",C6/12*2*F11,IF(F10="押三",C6/12*3*F11,C11*F11))),0)</f>
        <v>0</v>
      </c>
      <c r="D10" s="149" t="s">
        <v>2113</v>
      </c>
      <c r="E10" s="304" t="s">
        <v>701</v>
      </c>
      <c r="F10" s="1052"/>
      <c r="G10" s="1291"/>
      <c r="H10" s="1005" t="s">
        <v>402</v>
      </c>
      <c r="I10" s="1273" t="s">
        <v>700</v>
      </c>
      <c r="J10" s="292">
        <f ca="1">ROUND(IF(M10="押一",J6/12*M11,IF(M10="押二",J6/12*2*M11,IF(M10="押三",J6/12*3*M11,J11*M11))),0)</f>
        <v>0</v>
      </c>
      <c r="K10" s="149" t="s">
        <v>2113</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INDIRECT("'数据-取费表'!m"&amp;$G$1)+INDIRECT("'数据-取费表'!t"&amp;$G$1)</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ROUND(INDIRECT("'数据-取费表'!m"&amp;$G$1)*F16,0)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ROUND(F17*(F43+INDIRECT("'数据-取费表'!S"&amp;$G$1))/10000,0)</f>
        <v>#N/A</v>
      </c>
      <c r="D17" s="293" t="s">
        <v>717</v>
      </c>
      <c r="E17" s="293" t="s">
        <v>718</v>
      </c>
      <c r="F17" s="23">
        <f>'数据-取费表'!B35</f>
        <v>200</v>
      </c>
      <c r="G17" s="1302"/>
      <c r="H17" s="927" t="s">
        <v>398</v>
      </c>
      <c r="I17" s="293" t="s">
        <v>719</v>
      </c>
      <c r="J17" s="2139" t="e">
        <f ca="1">ROUND(IF(AND(项目基本情况!B11="自然人",项目基本情况!B10="北京市"),J6*M17/(1+'数据-取费表'!C42),J18+J19+J20),2)</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1.4999999999999999E-2</v>
      </c>
      <c r="G18" s="1302"/>
      <c r="H18" s="927" t="s">
        <v>397</v>
      </c>
      <c r="I18" s="293" t="s">
        <v>723</v>
      </c>
      <c r="J18" s="21" t="e">
        <f ca="1">ROUND(J6*M18/(1+'数据-取费表'!C42),2)</f>
        <v>#N/A</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2" t="s">
        <v>726</v>
      </c>
      <c r="E19" s="1268"/>
      <c r="F19" s="23"/>
      <c r="G19" s="1291"/>
      <c r="H19" s="927" t="s">
        <v>399</v>
      </c>
      <c r="I19" s="293" t="s">
        <v>727</v>
      </c>
      <c r="J19" s="21" t="e">
        <f ca="1">IF(K19="按租金收入计税",ROUND(J6*M19/(1+'数据-取费表'!C42),2),ROUND(C29*M19*0.7,2))</f>
        <v>#N/A</v>
      </c>
      <c r="K19" s="1277" t="s">
        <v>3334</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0.02</v>
      </c>
      <c r="G20" s="1302"/>
      <c r="H20" s="927" t="s">
        <v>680</v>
      </c>
      <c r="I20" s="146" t="s">
        <v>730</v>
      </c>
      <c r="J20" s="22" t="e">
        <f ca="1">ROUND(M20*M21/10000,2)</f>
        <v>#N/A</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t="e">
        <f ca="1">ROUND(J14*M22,2)</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t="e">
        <f ca="1">ROUND(J13*M23,2)</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t="e">
        <f ca="1">J5-J16</f>
        <v>#N/A</v>
      </c>
      <c r="K25" s="1031" t="s">
        <v>753</v>
      </c>
      <c r="L25" s="1032"/>
      <c r="M25" s="1033"/>
    </row>
    <row r="26" spans="1:37">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7"/>
      <c r="I30" s="1304"/>
      <c r="J30" s="1305"/>
      <c r="K30" s="120"/>
      <c r="L30" s="2468"/>
      <c r="M30" s="2469"/>
    </row>
    <row r="31" spans="1:37" ht="18" customHeight="1">
      <c r="A31" s="927" t="s">
        <v>398</v>
      </c>
      <c r="B31" s="293" t="s">
        <v>719</v>
      </c>
      <c r="C31" s="2139" t="e">
        <f ca="1">ROUND(IF(AND(项目基本情况!B11="自然人",项目基本情况!B10="北京市"),C6*F31/(1+'数据-取费表'!C42),C32+C33+C34),2)</f>
        <v>#N/A</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t="e">
        <f ca="1">IF(项目基本情况!B11="自然人","——",ROUND(C6*F32/(1+'数据-取费表'!C42),2))</f>
        <v>#N/A</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t="e">
        <f ca="1">IF(项目基本情况!B11="自然人","——",IF(D33="按租金收入计税",ROUND(C6*F33/(1+'数据-取费表'!C42),2),IF(D33="按房产原值计税",ROUND(C29*F33*0.7,2),INDIRECT("'数据-取费表'!Aj"&amp;$G$1))))</f>
        <v>#N/A</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e">
        <f ca="1">IF(项目基本情况!B11="自然人","——",ROUND(F34*F35/10000,2))</f>
        <v>#N/A</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t="e">
        <f ca="1">INDIRECT("'数据-取费表'!r"&amp;$G$1)</f>
        <v>#N/A</v>
      </c>
      <c r="G35" s="1291"/>
      <c r="H35" s="2467"/>
      <c r="I35" s="1304"/>
      <c r="J35" s="1305"/>
      <c r="K35" s="2471"/>
      <c r="L35" s="2470"/>
      <c r="M35" s="2470"/>
    </row>
    <row r="36" spans="1:18" ht="18" customHeight="1">
      <c r="A36" s="1038" t="s">
        <v>402</v>
      </c>
      <c r="B36" s="293" t="s">
        <v>738</v>
      </c>
      <c r="C36" s="21" t="e">
        <f ca="1">ROUND(C29*F36,2)</f>
        <v>#N/A</v>
      </c>
      <c r="D36" s="1255" t="s">
        <v>771</v>
      </c>
      <c r="E36" s="293" t="s">
        <v>712</v>
      </c>
      <c r="F36" s="319" t="e">
        <f ca="1">INDIRECT("'数据-取费表'!Ak"&amp;$G$1)</f>
        <v>#N/A</v>
      </c>
      <c r="G36" s="1291"/>
      <c r="H36" s="2470"/>
      <c r="I36" s="1304"/>
      <c r="J36" s="1305"/>
      <c r="K36" s="2328"/>
      <c r="L36" s="2470"/>
      <c r="M36" s="2470"/>
    </row>
    <row r="37" spans="1:18" ht="18" customHeight="1">
      <c r="A37" s="927" t="s">
        <v>437</v>
      </c>
      <c r="B37" s="293" t="s">
        <v>742</v>
      </c>
      <c r="C37" s="21" t="e">
        <f ca="1">ROUND(C13*F37,2)</f>
        <v>#N/A</v>
      </c>
      <c r="D37" s="1255" t="s">
        <v>743</v>
      </c>
      <c r="E37" s="293" t="s">
        <v>744</v>
      </c>
      <c r="F37" s="320" t="e">
        <f ca="1">INDIRECT("'数据-取费表'!Al"&amp;$G$1)</f>
        <v>#N/A</v>
      </c>
      <c r="G37" s="1291"/>
      <c r="H37" s="2470"/>
      <c r="I37" s="1304"/>
      <c r="J37" s="1305"/>
      <c r="K37" s="2328"/>
      <c r="L37" s="2470"/>
      <c r="M37" s="2470"/>
    </row>
    <row r="38" spans="1:18" ht="18" customHeight="1" thickBot="1">
      <c r="A38" s="1025" t="s">
        <v>684</v>
      </c>
      <c r="B38" s="1026" t="s">
        <v>728</v>
      </c>
      <c r="C38" s="1027" t="e">
        <f ca="1">ROUND(C5*F38,2)</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1" t="e">
        <f ca="1">C5-C30</f>
        <v>#N/A</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8"/>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c r="I41" s="1304"/>
      <c r="J41" s="1305"/>
      <c r="K41" s="2328"/>
      <c r="L41" s="120"/>
      <c r="M41" s="120"/>
    </row>
    <row r="42" spans="1:18" ht="18" customHeight="1">
      <c r="A42" s="299"/>
      <c r="B42" s="300"/>
      <c r="C42" s="301"/>
      <c r="D42" s="318"/>
      <c r="E42" s="293" t="s">
        <v>766</v>
      </c>
      <c r="F42" s="303" t="e">
        <f ca="1">INDIRECT("'数据-取费表'!v"&amp;$G$1)</f>
        <v>#N/A</v>
      </c>
      <c r="G42" s="1291"/>
      <c r="H42" s="120"/>
      <c r="I42" s="1304"/>
      <c r="J42" s="1305"/>
      <c r="K42" s="2328"/>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3404</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t="s">
        <v>3405</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ROUND(F49*F51*F50*(1-F52)/10000,0)</f>
        <v>#N/A</v>
      </c>
      <c r="D49" s="991" t="s">
        <v>2105</v>
      </c>
      <c r="E49" s="1279" t="s">
        <v>780</v>
      </c>
      <c r="F49" s="996"/>
      <c r="H49" s="681"/>
      <c r="I49" s="1327" t="s">
        <v>823</v>
      </c>
      <c r="J49" s="1331">
        <f>'数据-取费表'!N18</f>
        <v>2007</v>
      </c>
      <c r="K49" s="1329" t="s">
        <v>824</v>
      </c>
      <c r="L49" s="1332"/>
      <c r="O49" s="1333" t="s">
        <v>405</v>
      </c>
      <c r="P49" s="1325" t="s">
        <v>825</v>
      </c>
      <c r="Q49" s="1326" t="e">
        <f ca="1">C29</f>
        <v>#N/A</v>
      </c>
      <c r="R49" s="1326" t="s">
        <v>818</v>
      </c>
    </row>
    <row r="50" spans="1:18" s="1291" customFormat="1" ht="13.5" thickBot="1">
      <c r="A50" s="921"/>
      <c r="B50" s="924"/>
      <c r="C50" s="1054"/>
      <c r="D50" s="898"/>
      <c r="E50" s="992" t="s">
        <v>697</v>
      </c>
      <c r="F50" s="993" t="e">
        <f ca="1">F7</f>
        <v>#N/A</v>
      </c>
      <c r="H50" s="681"/>
      <c r="I50" s="1327" t="s">
        <v>826</v>
      </c>
      <c r="J50" s="1334">
        <f>SUMPRODUCT((I63:I65=J47)*(J62:L62=J48)*(J63:L65))</f>
        <v>50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33</v>
      </c>
      <c r="K51" s="1338" t="s">
        <v>830</v>
      </c>
      <c r="L51" s="1339" t="e">
        <f ca="1">ROUND(-PV(INDIRECT("'数据-取费表'!h"&amp;$G$1),J51,(C39-C13*C76),0),0)</f>
        <v>#N/A</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'数据-取费表'!J7+0.5%</f>
        <v>7.5000000000000011E-2</v>
      </c>
      <c r="K52" s="1341" t="s">
        <v>833</v>
      </c>
      <c r="L52" s="1342"/>
      <c r="O52" s="1333" t="s">
        <v>408</v>
      </c>
      <c r="P52" s="1325" t="s">
        <v>834</v>
      </c>
      <c r="Q52" s="1326" t="e">
        <f ca="1">J53</f>
        <v>#N/A</v>
      </c>
      <c r="R52" s="1326" t="s">
        <v>835</v>
      </c>
    </row>
    <row r="53" spans="1:18" s="1291" customFormat="1" ht="24.75" thickBot="1">
      <c r="A53" s="1078" t="s">
        <v>440</v>
      </c>
      <c r="B53" s="1280" t="s">
        <v>700</v>
      </c>
      <c r="C53" s="307">
        <f ca="1">ROUND(IF(F53="押一",C49/12*F11,IF(F53="押二",C49/12*2*F11,IF(F53="押三",C49/12*3*F11,C54*F11))),0)</f>
        <v>0</v>
      </c>
      <c r="D53" s="149" t="s">
        <v>2113</v>
      </c>
      <c r="E53" s="304" t="s">
        <v>701</v>
      </c>
      <c r="F53" s="1052"/>
      <c r="I53" s="1343" t="s">
        <v>836</v>
      </c>
      <c r="J53" s="2005" t="e">
        <f ca="1">IF(M47="住宅",IF(D1="——",MAX(J51,L48),MAX(J51,L48-'数据-取费表'!B24)),IF(D1="——",MIN(J51,L48),MIN(J51,L48-'数据-取费表'!B24)))</f>
        <v>#N/A</v>
      </c>
      <c r="K53" s="3440" t="s">
        <v>837</v>
      </c>
      <c r="L53" s="3441"/>
      <c r="O53" s="1324" t="s">
        <v>409</v>
      </c>
      <c r="P53" s="1325" t="s">
        <v>838</v>
      </c>
      <c r="Q53" s="1326" t="e">
        <f ca="1">Q47+Q48</f>
        <v>#N/A</v>
      </c>
      <c r="R53" s="1326" t="s">
        <v>410</v>
      </c>
    </row>
    <row r="54" spans="1:18" s="1291" customFormat="1" ht="13.5" thickBot="1">
      <c r="A54" s="1079"/>
      <c r="B54" s="1274" t="s">
        <v>679</v>
      </c>
      <c r="C54" s="904"/>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25.5" thickTop="1" thickBot="1">
      <c r="A56" s="902">
        <v>2</v>
      </c>
      <c r="B56" s="903" t="s">
        <v>704</v>
      </c>
      <c r="C56" s="223" t="e">
        <f ca="1">C13</f>
        <v>#N/A</v>
      </c>
      <c r="D56" s="1351"/>
      <c r="E56" s="1352"/>
      <c r="F56" s="1344"/>
      <c r="I56" s="1353" t="s">
        <v>842</v>
      </c>
      <c r="J56" s="1354" t="s">
        <v>3381</v>
      </c>
      <c r="K56" s="1327" t="s">
        <v>843</v>
      </c>
      <c r="L56" s="1330" t="e">
        <f ca="1">IF(L48&lt;J51,"——",L48-J53)</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IF(项目基本情况!B11="自然人","——",ROUND(C48*F60/(1+'数据-取费表'!C42),2))</f>
        <v>#N/A</v>
      </c>
      <c r="D60" s="909" t="s">
        <v>724</v>
      </c>
      <c r="E60" s="895" t="s">
        <v>712</v>
      </c>
      <c r="F60" s="321">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IF(项目基本情况!B11="自然人","——",IF(D61="按租金收入计税",ROUND(C49*F61/(1+'数据-取费表'!C42),2),IF(D61="按房产原值计税",ROUND(C57*F61*0.7,2),INDIRECT("'数据-取费表'!Aj"&amp;$G$1))))</f>
        <v>#N/A</v>
      </c>
      <c r="D61" s="1277" t="s">
        <v>3334</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IF(项目基本情况!B11="自然人","——",ROUND(F62*F63/10000,2))</f>
        <v>#N/A</v>
      </c>
      <c r="D62" s="910" t="s">
        <v>786</v>
      </c>
      <c r="E62" s="895" t="s">
        <v>787</v>
      </c>
      <c r="F62" s="316">
        <f t="shared" si="0"/>
        <v>1.5</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ROUND(C48*F66,2)</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ROUND(C68*10000/F71,0)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6" sqref="L46"/>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5" t="s">
        <v>949</v>
      </c>
      <c r="B1" s="3205"/>
      <c r="C1" s="3205"/>
      <c r="D1" s="3205"/>
    </row>
    <row r="2" spans="1:4" ht="18">
      <c r="A2" s="3206" t="s">
        <v>933</v>
      </c>
      <c r="B2" s="3206"/>
      <c r="C2" s="3206"/>
      <c r="D2" s="3206"/>
    </row>
    <row r="3" spans="1:4" ht="18.75">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8">
      <c r="A6" s="3206" t="s">
        <v>939</v>
      </c>
      <c r="B6" s="3206"/>
      <c r="C6" s="3206"/>
      <c r="D6" s="320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7"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1" t="s">
        <v>943</v>
      </c>
      <c r="B16" s="3211"/>
      <c r="C16" s="3211"/>
      <c r="D16" s="3211"/>
    </row>
    <row r="17" spans="1:4" ht="144" customHeight="1">
      <c r="A17" s="3211" t="s">
        <v>944</v>
      </c>
      <c r="B17" s="3211"/>
      <c r="C17" s="3211"/>
      <c r="D17" s="3211"/>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945</v>
      </c>
      <c r="B22" s="3213"/>
      <c r="C22" s="3213"/>
      <c r="D22" s="3213"/>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10">
        <v>42551</v>
      </c>
      <c r="D31" s="32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9" t="s">
        <v>956</v>
      </c>
      <c r="B15" s="3214" t="s">
        <v>109</v>
      </c>
      <c r="C15" s="3215"/>
    </row>
    <row r="16" spans="1:7" ht="13.5">
      <c r="A16" s="3220"/>
      <c r="B16" s="3214" t="s">
        <v>42</v>
      </c>
      <c r="C16" s="3215"/>
    </row>
    <row r="17" spans="1:3" ht="13.5">
      <c r="A17" s="3220"/>
      <c r="B17" s="3217" t="s">
        <v>957</v>
      </c>
      <c r="C17" s="1428" t="s">
        <v>956</v>
      </c>
    </row>
    <row r="18" spans="1:3" ht="13.5">
      <c r="A18" s="3220"/>
      <c r="B18" s="3217"/>
      <c r="C18" s="1428" t="s">
        <v>958</v>
      </c>
    </row>
    <row r="19" spans="1:3" ht="13.5">
      <c r="A19" s="3220"/>
      <c r="B19" s="3217"/>
      <c r="C19" s="1428" t="s">
        <v>959</v>
      </c>
    </row>
    <row r="20" spans="1:3" ht="13.5">
      <c r="A20" s="3221"/>
      <c r="B20" s="3216" t="s">
        <v>960</v>
      </c>
      <c r="C20" s="3215"/>
    </row>
    <row r="21" spans="1:3" ht="13.5">
      <c r="A21" s="1429" t="s">
        <v>961</v>
      </c>
      <c r="B21" s="1430"/>
      <c r="C21" s="1431"/>
    </row>
    <row r="22" spans="1:3" ht="13.5">
      <c r="A22" s="3218" t="s">
        <v>962</v>
      </c>
      <c r="B22" s="3216" t="s">
        <v>963</v>
      </c>
      <c r="C22" s="3215"/>
    </row>
    <row r="23" spans="1:3" ht="13.5">
      <c r="A23" s="3218"/>
      <c r="B23" s="3216" t="s">
        <v>964</v>
      </c>
      <c r="C23" s="3215"/>
    </row>
    <row r="24" spans="1:3" ht="13.5">
      <c r="A24" s="3218"/>
      <c r="B24" s="3216" t="s">
        <v>965</v>
      </c>
      <c r="C24" s="3215"/>
    </row>
    <row r="25" spans="1:3" ht="13.5">
      <c r="A25" s="3218"/>
      <c r="B25" s="3217" t="s">
        <v>966</v>
      </c>
      <c r="C25" s="1428" t="s">
        <v>967</v>
      </c>
    </row>
    <row r="26" spans="1:3" ht="13.5">
      <c r="A26" s="3218"/>
      <c r="B26" s="3217"/>
      <c r="C26" s="1428" t="s">
        <v>968</v>
      </c>
    </row>
    <row r="27" spans="1:3" ht="13.5">
      <c r="A27" s="3218"/>
      <c r="B27" s="3217"/>
      <c r="C27" s="1428" t="s">
        <v>969</v>
      </c>
    </row>
    <row r="28" spans="1:3" ht="13.5">
      <c r="A28" s="3218"/>
      <c r="B28" s="3217"/>
      <c r="C28" s="1428" t="s">
        <v>970</v>
      </c>
    </row>
    <row r="29" spans="1:3" ht="13.5">
      <c r="A29" s="3218"/>
      <c r="B29" s="3217"/>
      <c r="C29" s="1428" t="s">
        <v>971</v>
      </c>
    </row>
    <row r="30" spans="1:3" ht="13.5">
      <c r="A30" s="3218"/>
      <c r="B30" s="3217"/>
      <c r="C30" s="1428" t="s">
        <v>972</v>
      </c>
    </row>
    <row r="31" spans="1:3" ht="13.5">
      <c r="A31" s="3218"/>
      <c r="B31" s="3217"/>
      <c r="C31" s="1428" t="s">
        <v>973</v>
      </c>
    </row>
    <row r="32" spans="1:3" ht="13.5">
      <c r="A32" s="3218"/>
      <c r="B32" s="3217"/>
      <c r="C32" s="1428" t="s">
        <v>974</v>
      </c>
    </row>
    <row r="33" spans="1:3" ht="13.5">
      <c r="A33" s="3218"/>
      <c r="B33" s="321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2136</v>
      </c>
      <c r="B2" s="2156">
        <f ca="1">TODAY()</f>
        <v>45380</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f ca="1">IF(C4&lt;B2,"已过期",1119970066)</f>
        <v>1119970066</v>
      </c>
      <c r="C4" s="2161">
        <v>45937</v>
      </c>
      <c r="D4" s="2162" t="str">
        <f ca="1">A4&amp;"（注册号："&amp;B4&amp;"）"</f>
        <v>梁津（注册号：1119970066）</v>
      </c>
      <c r="E4" s="2163" t="s">
        <v>2145</v>
      </c>
      <c r="F4" s="1218">
        <f ca="1">IF(G4&lt;B2,"已过期",96010014)</f>
        <v>96010014</v>
      </c>
      <c r="G4" s="2164">
        <v>47118</v>
      </c>
      <c r="H4" s="2165" t="str">
        <f ca="1">E4&amp;"（注册号："&amp;F4&amp;"）"</f>
        <v>梁津（注册号：96010014）</v>
      </c>
    </row>
    <row r="5" spans="1:8" ht="24" customHeight="1">
      <c r="A5" s="1218" t="s">
        <v>2146</v>
      </c>
      <c r="B5" s="1218">
        <f ca="1">IF(C5&lt;B2,"已过期",1119970111)</f>
        <v>1119970111</v>
      </c>
      <c r="C5" s="2161">
        <v>45937</v>
      </c>
      <c r="D5" s="2162" t="str">
        <f t="shared" ref="D5:D15" ca="1" si="0">A5&amp;"（注册号："&amp;B5&amp;"）"</f>
        <v>叶凌（注册号：1119970111）</v>
      </c>
      <c r="E5" s="2163" t="s">
        <v>2146</v>
      </c>
      <c r="F5" s="1218">
        <f ca="1">IF(G5&lt;B2,"已过期",94010078)</f>
        <v>94010078</v>
      </c>
      <c r="G5" s="2164">
        <v>46387</v>
      </c>
      <c r="H5" s="2165" t="str">
        <f t="shared" ref="H5:H16" ca="1" si="1">E5&amp;"（注册号："&amp;F5&amp;"）"</f>
        <v>叶凌（注册号：94010078）</v>
      </c>
    </row>
    <row r="6" spans="1:8" ht="24" customHeight="1">
      <c r="A6" s="1218" t="s">
        <v>2147</v>
      </c>
      <c r="B6" s="1218">
        <f ca="1">IF(C6&lt;B2,"已过期",1120050019)</f>
        <v>1120050019</v>
      </c>
      <c r="C6" s="2161">
        <v>45410</v>
      </c>
      <c r="D6" s="2162" t="str">
        <f t="shared" ca="1" si="0"/>
        <v>王鹏（注册号：1120050019）</v>
      </c>
      <c r="E6" s="2163" t="s">
        <v>2147</v>
      </c>
      <c r="F6" s="1218">
        <f ca="1">IF(G6&lt;B2,"已过期",2002110030)</f>
        <v>2002110030</v>
      </c>
      <c r="G6" s="2164">
        <v>46387</v>
      </c>
      <c r="H6" s="2165" t="str">
        <f t="shared" ca="1" si="1"/>
        <v>王鹏（注册号：2002110030）</v>
      </c>
    </row>
    <row r="7" spans="1:8" ht="24" customHeight="1">
      <c r="A7" s="1218" t="s">
        <v>2148</v>
      </c>
      <c r="B7" s="1218">
        <f ca="1">IF(C7&lt;B2,"已过期",1120000080)</f>
        <v>1120000080</v>
      </c>
      <c r="C7" s="2161">
        <v>45937</v>
      </c>
      <c r="D7" s="2162" t="str">
        <f t="shared" ca="1" si="0"/>
        <v>欧红伟（注册号：1120000080）</v>
      </c>
      <c r="E7" s="2163" t="s">
        <v>2148</v>
      </c>
      <c r="F7" s="1218">
        <f ca="1">IF(G7&lt;B2,"已过期",2000110082)</f>
        <v>2000110082</v>
      </c>
      <c r="G7" s="2164">
        <v>46387</v>
      </c>
      <c r="H7" s="2165" t="str">
        <f t="shared" ca="1" si="1"/>
        <v>欧红伟（注册号：2000110082）</v>
      </c>
    </row>
    <row r="8" spans="1:8" ht="24" customHeight="1">
      <c r="A8" s="1218" t="s">
        <v>2149</v>
      </c>
      <c r="B8" s="1218">
        <f ca="1">IF(C8&lt;B2,"已过期",1419970001)</f>
        <v>1419970001</v>
      </c>
      <c r="C8" s="2161">
        <v>45937</v>
      </c>
      <c r="D8" s="2162" t="str">
        <f t="shared" ca="1" si="0"/>
        <v>吴薇（注册号：1419970001）</v>
      </c>
      <c r="E8" s="2163" t="s">
        <v>2149</v>
      </c>
      <c r="F8" s="1218">
        <f ca="1">IF(G8&lt;B2,"已过期",2002110125)</f>
        <v>2002110125</v>
      </c>
      <c r="G8" s="2164">
        <v>47118</v>
      </c>
      <c r="H8" s="2165" t="str">
        <f t="shared" ca="1" si="1"/>
        <v>吴薇（注册号：2002110125）</v>
      </c>
    </row>
    <row r="9" spans="1:8" ht="24" customHeight="1">
      <c r="A9" s="1218" t="s">
        <v>2150</v>
      </c>
      <c r="B9" s="1218">
        <f ca="1">IF(C9&lt;B2,"已过期",1120060040)</f>
        <v>1120060040</v>
      </c>
      <c r="C9" s="2166">
        <v>45592</v>
      </c>
      <c r="D9" s="2162" t="str">
        <f t="shared" ca="1" si="0"/>
        <v>陈颖（注册号：1120060040）</v>
      </c>
      <c r="E9" s="2163" t="s">
        <v>2150</v>
      </c>
      <c r="F9" s="1218">
        <f ca="1">IF(G9&lt;B2,"已过期",2004110096)</f>
        <v>2004110096</v>
      </c>
      <c r="G9" s="2164">
        <v>47118</v>
      </c>
      <c r="H9" s="2165" t="str">
        <f t="shared" ca="1" si="1"/>
        <v>陈颖（注册号：2004110096）</v>
      </c>
    </row>
    <row r="10" spans="1:8" ht="24" customHeight="1">
      <c r="A10" s="1218" t="s">
        <v>2151</v>
      </c>
      <c r="B10" s="1218">
        <f ca="1">IF(C10&lt;B2,"已过期",1120100036)</f>
        <v>1120100036</v>
      </c>
      <c r="C10" s="2166">
        <v>45752</v>
      </c>
      <c r="D10" s="2162" t="str">
        <f t="shared" ca="1" si="0"/>
        <v>崔锴（注册号：1120100036）</v>
      </c>
      <c r="E10" s="2163" t="s">
        <v>2151</v>
      </c>
      <c r="F10" s="1218">
        <f ca="1">IF(G10&lt;B2,"已过期",2010110070)</f>
        <v>2010110070</v>
      </c>
      <c r="G10" s="2164">
        <v>47907</v>
      </c>
      <c r="H10" s="2165" t="str">
        <f t="shared" ca="1" si="1"/>
        <v>崔锴（注册号：2010110070）</v>
      </c>
    </row>
    <row r="11" spans="1:8" ht="24" customHeight="1">
      <c r="A11" s="1218" t="s">
        <v>2152</v>
      </c>
      <c r="B11" s="1218">
        <f ca="1">IF(C11&lt;B2,"已过期",1120070131)</f>
        <v>1120070131</v>
      </c>
      <c r="C11" s="2161">
        <v>45937</v>
      </c>
      <c r="D11" s="2162" t="str">
        <f t="shared" ca="1" si="0"/>
        <v>郑燚（注册号：1120070131）</v>
      </c>
      <c r="E11" s="2163" t="s">
        <v>2152</v>
      </c>
      <c r="F11" s="1218">
        <f ca="1">IF(G11&lt;B2,"已过期",2014110011)</f>
        <v>2014110011</v>
      </c>
      <c r="G11" s="2164">
        <v>49302</v>
      </c>
      <c r="H11" s="2165" t="str">
        <f t="shared" ca="1" si="1"/>
        <v>郑燚（注册号：2014110011）</v>
      </c>
    </row>
    <row r="12" spans="1:8" ht="24" customHeight="1">
      <c r="A12" s="1218" t="s">
        <v>2153</v>
      </c>
      <c r="B12" s="1218">
        <f ca="1">IF(C12&lt;B2,"已过期",1120040230)</f>
        <v>1120040230</v>
      </c>
      <c r="C12" s="2166">
        <v>45937</v>
      </c>
      <c r="D12" s="2162" t="str">
        <f t="shared" ca="1" si="0"/>
        <v>苏海（注册号：1120040230）</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2" t="s">
        <v>2157</v>
      </c>
      <c r="B17" s="3222"/>
      <c r="C17" s="3222"/>
      <c r="D17" s="3222"/>
      <c r="E17" s="3222"/>
      <c r="F17" s="3222"/>
      <c r="G17" s="3222"/>
      <c r="H17" s="3222"/>
    </row>
    <row r="18" spans="1:8" ht="24" customHeight="1">
      <c r="A18" s="3223" t="s">
        <v>2158</v>
      </c>
      <c r="B18" s="3223"/>
      <c r="C18" s="3223"/>
      <c r="D18" s="2159"/>
      <c r="E18" s="3224" t="s">
        <v>2159</v>
      </c>
      <c r="F18" s="3223"/>
      <c r="G18" s="3223"/>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17" priority="53">
      <formula>AND($C4-TODAY()&lt;30,TODAY()&lt;$C4)</formula>
    </cfRule>
  </conditionalFormatting>
  <conditionalFormatting sqref="C20:D20">
    <cfRule type="expression" dxfId="216" priority="52">
      <formula>AND($C20-TODAY()&lt;30,TODAY()&lt;$C20)</formula>
    </cfRule>
  </conditionalFormatting>
  <conditionalFormatting sqref="C20:D20 G4 C4:D5 C13:D13">
    <cfRule type="cellIs" dxfId="215" priority="54" stopIfTrue="1" operator="lessThan">
      <formula>$B$2</formula>
    </cfRule>
  </conditionalFormatting>
  <conditionalFormatting sqref="G5 G7 G9">
    <cfRule type="cellIs" dxfId="214" priority="51" stopIfTrue="1" operator="lessThan">
      <formula>$B$2</formula>
    </cfRule>
  </conditionalFormatting>
  <conditionalFormatting sqref="C6:D6 D14 D16">
    <cfRule type="expression" dxfId="213" priority="49">
      <formula>AND($C6-TODAY()&lt;30,TODAY()&lt;$C6)</formula>
    </cfRule>
  </conditionalFormatting>
  <conditionalFormatting sqref="G6 G8 G10 C6:D6 D7:D12 D14 D16">
    <cfRule type="cellIs" dxfId="212" priority="50" stopIfTrue="1" operator="lessThan">
      <formula>$B$2</formula>
    </cfRule>
  </conditionalFormatting>
  <conditionalFormatting sqref="D12">
    <cfRule type="expression" dxfId="211" priority="47">
      <formula>AND($C12-TODAY()&lt;30,TODAY()&lt;$C12)</formula>
    </cfRule>
  </conditionalFormatting>
  <conditionalFormatting sqref="D12">
    <cfRule type="cellIs" dxfId="210" priority="48" stopIfTrue="1" operator="lessThan">
      <formula>$B$2</formula>
    </cfRule>
  </conditionalFormatting>
  <conditionalFormatting sqref="C13:D13">
    <cfRule type="expression" dxfId="209" priority="45">
      <formula>AND($C13-TODAY()&lt;30,TODAY()&lt;$C13)</formula>
    </cfRule>
  </conditionalFormatting>
  <conditionalFormatting sqref="C13:D13">
    <cfRule type="cellIs" dxfId="208" priority="46" stopIfTrue="1" operator="lessThan">
      <formula>$B$2</formula>
    </cfRule>
  </conditionalFormatting>
  <conditionalFormatting sqref="D14">
    <cfRule type="expression" dxfId="207" priority="43">
      <formula>AND($C14-TODAY()&lt;30,TODAY()&lt;$C14)</formula>
    </cfRule>
  </conditionalFormatting>
  <conditionalFormatting sqref="D14">
    <cfRule type="cellIs" dxfId="206" priority="44" stopIfTrue="1" operator="lessThan">
      <formula>$B$2</formula>
    </cfRule>
  </conditionalFormatting>
  <conditionalFormatting sqref="G13">
    <cfRule type="cellIs" dxfId="205" priority="42" stopIfTrue="1" operator="lessThan">
      <formula>$B$2</formula>
    </cfRule>
  </conditionalFormatting>
  <conditionalFormatting sqref="B4:B11 F4:F11 B13 F13:F14">
    <cfRule type="cellIs" dxfId="204" priority="41" stopIfTrue="1" operator="equal">
      <formula>"已过期"</formula>
    </cfRule>
  </conditionalFormatting>
  <conditionalFormatting sqref="C7">
    <cfRule type="cellIs" dxfId="203" priority="38" stopIfTrue="1" operator="lessThan">
      <formula>$B$2</formula>
    </cfRule>
  </conditionalFormatting>
  <conditionalFormatting sqref="C7">
    <cfRule type="expression" dxfId="202" priority="37">
      <formula>AND($C7-TODAY()&lt;30,TODAY()&lt;$C7)</formula>
    </cfRule>
  </conditionalFormatting>
  <conditionalFormatting sqref="C8">
    <cfRule type="expression" dxfId="201" priority="35">
      <formula>AND($C8-TODAY()&lt;30,TODAY()&lt;$C8)</formula>
    </cfRule>
  </conditionalFormatting>
  <conditionalFormatting sqref="C8">
    <cfRule type="cellIs" dxfId="200" priority="36" stopIfTrue="1" operator="lessThan">
      <formula>$B$2</formula>
    </cfRule>
  </conditionalFormatting>
  <conditionalFormatting sqref="C11">
    <cfRule type="expression" dxfId="199" priority="33">
      <formula>AND($C11-TODAY()&lt;30,TODAY()&lt;$C11)</formula>
    </cfRule>
  </conditionalFormatting>
  <conditionalFormatting sqref="C11">
    <cfRule type="cellIs" dxfId="198" priority="34" stopIfTrue="1" operator="lessThan">
      <formula>$B$2</formula>
    </cfRule>
  </conditionalFormatting>
  <conditionalFormatting sqref="A16:C16">
    <cfRule type="cellIs" dxfId="197" priority="32" stopIfTrue="1" operator="equal">
      <formula>"已过期"</formula>
    </cfRule>
  </conditionalFormatting>
  <conditionalFormatting sqref="E16:G16">
    <cfRule type="cellIs" dxfId="196" priority="31" stopIfTrue="1" operator="equal">
      <formula>"已过期"</formula>
    </cfRule>
  </conditionalFormatting>
  <conditionalFormatting sqref="G11">
    <cfRule type="cellIs" dxfId="195" priority="30" stopIfTrue="1" operator="lessThan">
      <formula>$B$2</formula>
    </cfRule>
  </conditionalFormatting>
  <conditionalFormatting sqref="F12">
    <cfRule type="cellIs" dxfId="194" priority="29" stopIfTrue="1" operator="equal">
      <formula>"已过期"</formula>
    </cfRule>
  </conditionalFormatting>
  <conditionalFormatting sqref="G12">
    <cfRule type="cellIs" dxfId="193" priority="28" stopIfTrue="1" operator="lessThan">
      <formula>$B$2</formula>
    </cfRule>
  </conditionalFormatting>
  <conditionalFormatting sqref="C12">
    <cfRule type="cellIs" dxfId="192" priority="27" stopIfTrue="1" operator="lessThan">
      <formula>$B$2</formula>
    </cfRule>
  </conditionalFormatting>
  <conditionalFormatting sqref="C12">
    <cfRule type="expression" dxfId="191" priority="25">
      <formula>AND($C12-TODAY()&lt;30,TODAY()&lt;$C12)</formula>
    </cfRule>
  </conditionalFormatting>
  <conditionalFormatting sqref="C12">
    <cfRule type="cellIs" dxfId="190" priority="26" stopIfTrue="1" operator="lessThan">
      <formula>$B$2</formula>
    </cfRule>
  </conditionalFormatting>
  <conditionalFormatting sqref="B12">
    <cfRule type="cellIs" dxfId="189" priority="24" stopIfTrue="1" operator="equal">
      <formula>"已过期"</formula>
    </cfRule>
  </conditionalFormatting>
  <conditionalFormatting sqref="C9:C10">
    <cfRule type="expression" dxfId="188" priority="22">
      <formula>AND($C9-TODAY()&lt;30,TODAY()&lt;$C9)</formula>
    </cfRule>
  </conditionalFormatting>
  <conditionalFormatting sqref="C9:C10">
    <cfRule type="cellIs" dxfId="187" priority="23" stopIfTrue="1" operator="lessThan">
      <formula>$B$2</formula>
    </cfRule>
  </conditionalFormatting>
  <conditionalFormatting sqref="G21">
    <cfRule type="expression" dxfId="186" priority="20" stopIfTrue="1">
      <formula>AND(#REF!-TODAY()&lt;30,TODAY()&lt;#REF!)</formula>
    </cfRule>
  </conditionalFormatting>
  <conditionalFormatting sqref="G21">
    <cfRule type="cellIs" dxfId="185" priority="21" stopIfTrue="1" operator="lessThan">
      <formula>$B$2</formula>
    </cfRule>
  </conditionalFormatting>
  <conditionalFormatting sqref="C14">
    <cfRule type="expression" dxfId="184" priority="18">
      <formula>AND($C14-TODAY()&lt;30,TODAY()&lt;$C14)</formula>
    </cfRule>
  </conditionalFormatting>
  <conditionalFormatting sqref="C14">
    <cfRule type="cellIs" dxfId="183" priority="19" stopIfTrue="1" operator="lessThan">
      <formula>$B$2</formula>
    </cfRule>
  </conditionalFormatting>
  <conditionalFormatting sqref="C14">
    <cfRule type="expression" dxfId="182" priority="16">
      <formula>AND($C14-TODAY()&lt;30,TODAY()&lt;$C14)</formula>
    </cfRule>
  </conditionalFormatting>
  <conditionalFormatting sqref="C14">
    <cfRule type="cellIs" dxfId="181" priority="17" stopIfTrue="1" operator="lessThan">
      <formula>$B$2</formula>
    </cfRule>
  </conditionalFormatting>
  <conditionalFormatting sqref="B14">
    <cfRule type="cellIs" dxfId="180" priority="15" stopIfTrue="1" operator="equal">
      <formula>"已过期"</formula>
    </cfRule>
  </conditionalFormatting>
  <conditionalFormatting sqref="G14">
    <cfRule type="cellIs" dxfId="179" priority="14" stopIfTrue="1" operator="lessThan">
      <formula>$B$2</formula>
    </cfRule>
  </conditionalFormatting>
  <conditionalFormatting sqref="D15">
    <cfRule type="expression" dxfId="178" priority="12">
      <formula>AND($C15-TODAY()&lt;30,TODAY()&lt;$C15)</formula>
    </cfRule>
  </conditionalFormatting>
  <conditionalFormatting sqref="D15">
    <cfRule type="cellIs" dxfId="177" priority="13" stopIfTrue="1" operator="lessThan">
      <formula>$B$2</formula>
    </cfRule>
  </conditionalFormatting>
  <conditionalFormatting sqref="D15">
    <cfRule type="expression" dxfId="176" priority="10">
      <formula>AND($C15-TODAY()&lt;30,TODAY()&lt;$C15)</formula>
    </cfRule>
  </conditionalFormatting>
  <conditionalFormatting sqref="D15">
    <cfRule type="cellIs" dxfId="175" priority="11" stopIfTrue="1" operator="lessThan">
      <formula>$B$2</formula>
    </cfRule>
  </conditionalFormatting>
  <conditionalFormatting sqref="F15">
    <cfRule type="cellIs" dxfId="174" priority="9" stopIfTrue="1" operator="equal">
      <formula>"已过期"</formula>
    </cfRule>
  </conditionalFormatting>
  <conditionalFormatting sqref="C15">
    <cfRule type="expression" dxfId="173" priority="7">
      <formula>AND($C15-TODAY()&lt;30,TODAY()&lt;$C15)</formula>
    </cfRule>
  </conditionalFormatting>
  <conditionalFormatting sqref="C15">
    <cfRule type="cellIs" dxfId="172" priority="8" stopIfTrue="1" operator="lessThan">
      <formula>$B$2</formula>
    </cfRule>
  </conditionalFormatting>
  <conditionalFormatting sqref="C15">
    <cfRule type="expression" dxfId="171" priority="5">
      <formula>AND($C15-TODAY()&lt;30,TODAY()&lt;$C15)</formula>
    </cfRule>
  </conditionalFormatting>
  <conditionalFormatting sqref="C15">
    <cfRule type="cellIs" dxfId="170" priority="6" stopIfTrue="1" operator="lessThan">
      <formula>$B$2</formula>
    </cfRule>
  </conditionalFormatting>
  <conditionalFormatting sqref="B15">
    <cfRule type="cellIs" dxfId="169" priority="4" stopIfTrue="1" operator="equal">
      <formula>"已过期"</formula>
    </cfRule>
  </conditionalFormatting>
  <conditionalFormatting sqref="G15">
    <cfRule type="cellIs" dxfId="168" priority="3" stopIfTrue="1" operator="lessThan">
      <formula>$B$2</formula>
    </cfRule>
  </conditionalFormatting>
  <conditionalFormatting sqref="G20">
    <cfRule type="expression" dxfId="167" priority="1" stopIfTrue="1">
      <formula>AND(#REF!-TODAY()&lt;30,TODAY()&lt;#REF!)</formula>
    </cfRule>
  </conditionalFormatting>
  <conditionalFormatting sqref="G20">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分幢价值</vt:lpstr>
      <vt:lpstr>成本法</vt:lpstr>
      <vt:lpstr>比较法-商业</vt:lpstr>
      <vt:lpstr>基准地价修正</vt:lpstr>
      <vt:lpstr>收益法（汇总）</vt:lpstr>
      <vt:lpstr>收益法-车间</vt:lpstr>
      <vt:lpstr>比较法-租金</vt:lpstr>
      <vt:lpstr>比较法-办公</vt:lpstr>
      <vt:lpstr>收益法-办公</vt:lpstr>
      <vt:lpstr>Sheet1</vt:lpstr>
      <vt:lpstr>收益法 (元)</vt:lpstr>
      <vt:lpstr>成本法 (元)</vt:lpstr>
      <vt:lpstr>假设开发法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Sheet3</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'收益法-残值'!Print_Area</vt:lpstr>
      <vt:lpstr>'收益法-车间'!Print_Area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2024-03-29T08:19:58Z</dcterms:modified>
</cp:coreProperties>
</file>