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1-1-0363吉林省延吉市爱丹路1709号101\"/>
    </mc:Choice>
  </mc:AlternateContent>
  <xr:revisionPtr revIDLastSave="0" documentId="13_ncr:1_{34D804C3-3ECD-49E0-93F6-75A524DFBFE4}" xr6:coauthVersionLast="45" xr6:coauthVersionMax="45" xr10:uidLastSave="{00000000-0000-0000-0000-000000000000}"/>
  <bookViews>
    <workbookView xWindow="-120" yWindow="-120" windowWidth="21840" windowHeight="1314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经营性测算" sheetId="82" r:id="rId16"/>
    <sheet name="Sheet1" sheetId="8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比较法-土地" sheetId="78" r:id="rId47"/>
    <sheet name="土地案例（延吉）" sheetId="79" r:id="rId48"/>
    <sheet name="资料" sheetId="80"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46" hidden="1">'比较法-土地'!$A$1:$L$50</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6">'比较法-土地'!$A$1:$K$67,'比较法-土地'!$A$71:$N$134</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1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1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15" l="1"/>
  <c r="C36" i="68"/>
  <c r="D36" i="68"/>
  <c r="Z6" i="1" l="1"/>
  <c r="I13" i="3" l="1"/>
  <c r="R7" i="82" l="1"/>
  <c r="R14" i="82" s="1"/>
  <c r="N43" i="82"/>
  <c r="R43" i="82" s="1"/>
  <c r="R40" i="82"/>
  <c r="R41" i="82" s="1"/>
  <c r="R35" i="82" s="1"/>
  <c r="U34" i="82" s="1"/>
  <c r="R34" i="82"/>
  <c r="R33" i="82"/>
  <c r="C30" i="82"/>
  <c r="R27" i="82"/>
  <c r="M24" i="82"/>
  <c r="N19" i="82"/>
  <c r="M14" i="82"/>
  <c r="N14" i="82" s="1"/>
  <c r="R4" i="82"/>
  <c r="R3" i="82"/>
  <c r="F1" i="82"/>
  <c r="R24" i="82" l="1"/>
  <c r="R19" i="82"/>
  <c r="R25" i="82"/>
  <c r="Y6" i="1"/>
  <c r="AD6" i="1" s="1"/>
  <c r="R5" i="82" l="1"/>
  <c r="D30" i="81"/>
  <c r="D29" i="81"/>
  <c r="F14" i="81"/>
  <c r="H35" i="81" s="1"/>
  <c r="I35" i="81" s="1"/>
  <c r="B43" i="81" s="1"/>
  <c r="C24" i="81"/>
  <c r="D35" i="81" s="1"/>
  <c r="E35" i="81" s="1"/>
  <c r="B39" i="81" s="1"/>
  <c r="A5" i="81"/>
  <c r="A2" i="81"/>
  <c r="A4" i="81" s="1"/>
  <c r="A6" i="81" s="1"/>
  <c r="A7" i="81" s="1"/>
  <c r="U5" i="82" l="1"/>
  <c r="D6" i="82"/>
  <c r="H37" i="81"/>
  <c r="I37" i="81" s="1"/>
  <c r="B45" i="81" s="1"/>
  <c r="H36" i="81"/>
  <c r="I36" i="81" s="1"/>
  <c r="B44" i="81" s="1"/>
  <c r="B46" i="81" s="1"/>
  <c r="D36" i="81"/>
  <c r="E36" i="81" s="1"/>
  <c r="B40" i="81" s="1"/>
  <c r="B42" i="81" s="1"/>
  <c r="D37" i="81"/>
  <c r="E37" i="81" s="1"/>
  <c r="B41" i="81" s="1"/>
  <c r="O34" i="79"/>
  <c r="S33" i="79"/>
  <c r="S32" i="79"/>
  <c r="S31" i="79"/>
  <c r="O31" i="79"/>
  <c r="S30" i="79"/>
  <c r="S29" i="79"/>
  <c r="S28" i="79"/>
  <c r="S27" i="79"/>
  <c r="S26" i="79"/>
  <c r="O26" i="79"/>
  <c r="S25" i="79"/>
  <c r="S24" i="79"/>
  <c r="S23" i="79"/>
  <c r="S22" i="79"/>
  <c r="S21" i="79"/>
  <c r="S20" i="79"/>
  <c r="S19" i="79"/>
  <c r="S18" i="79"/>
  <c r="O18" i="79"/>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E105" i="78"/>
  <c r="F105" i="78" s="1"/>
  <c r="G105" i="78" s="1"/>
  <c r="D105" i="78"/>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H11" i="78" s="1"/>
  <c r="AB11" i="78" s="1"/>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G48" i="78"/>
  <c r="Q47" i="78"/>
  <c r="Z47" i="78" s="1"/>
  <c r="J47" i="78"/>
  <c r="AC47" i="78" s="1"/>
  <c r="H47" i="78"/>
  <c r="AB47" i="78" s="1"/>
  <c r="F47" i="78"/>
  <c r="AA47" i="78" s="1"/>
  <c r="Q46" i="78"/>
  <c r="Z46" i="78" s="1"/>
  <c r="H46" i="78"/>
  <c r="AB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J38" i="78"/>
  <c r="AC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H33" i="78"/>
  <c r="AB33" i="78" s="1"/>
  <c r="F33" i="78"/>
  <c r="AA33" i="78" s="1"/>
  <c r="Q31" i="78"/>
  <c r="Z31" i="78" s="1"/>
  <c r="J31" i="78"/>
  <c r="AC31" i="78" s="1"/>
  <c r="H31" i="78"/>
  <c r="AB31" i="78" s="1"/>
  <c r="F31" i="78"/>
  <c r="AA31" i="78" s="1"/>
  <c r="C31" i="78"/>
  <c r="Q29" i="78"/>
  <c r="Z29" i="78" s="1"/>
  <c r="J29" i="78"/>
  <c r="AC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H17" i="78"/>
  <c r="AB17" i="78" s="1"/>
  <c r="F17" i="78"/>
  <c r="AA17" i="78" s="1"/>
  <c r="C17" i="78"/>
  <c r="Q16" i="78"/>
  <c r="Z16" i="78" s="1"/>
  <c r="J16" i="78"/>
  <c r="AC16" i="78" s="1"/>
  <c r="F16" i="78"/>
  <c r="AA16" i="78" s="1"/>
  <c r="Q15" i="78"/>
  <c r="Z15" i="78" s="1"/>
  <c r="J15" i="78"/>
  <c r="AC15" i="78" s="1"/>
  <c r="H15" i="78"/>
  <c r="AB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C23" i="82" l="1"/>
  <c r="D18" i="82"/>
  <c r="D16" i="82"/>
  <c r="D10" i="82"/>
  <c r="D17" i="82"/>
  <c r="D15" i="82"/>
  <c r="D9" i="82"/>
  <c r="F93" i="78"/>
  <c r="G93" i="78" s="1"/>
  <c r="H19" i="78"/>
  <c r="AB19" i="78" s="1"/>
  <c r="J19" i="78"/>
  <c r="AC19" i="78" s="1"/>
  <c r="F19" i="78"/>
  <c r="AA19" i="78" s="1"/>
  <c r="B47" i="81"/>
  <c r="B49" i="81" s="1"/>
  <c r="H29" i="78"/>
  <c r="AB29" i="78" s="1"/>
  <c r="F34" i="78"/>
  <c r="AA34" i="78" s="1"/>
  <c r="J34" i="78"/>
  <c r="AC34" i="78" s="1"/>
  <c r="AC37" i="78"/>
  <c r="J40" i="78"/>
  <c r="W40" i="78" s="1"/>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19" i="78"/>
  <c r="W19" i="78"/>
  <c r="S21" i="78"/>
  <c r="W21" i="78"/>
  <c r="S23" i="78"/>
  <c r="W23" i="78"/>
  <c r="S25" i="78"/>
  <c r="W25" i="78"/>
  <c r="S29" i="78"/>
  <c r="W29" i="78"/>
  <c r="S31" i="78"/>
  <c r="W31" i="78"/>
  <c r="U33" i="78"/>
  <c r="S34" i="78"/>
  <c r="W34" i="78"/>
  <c r="S37" i="78"/>
  <c r="U38" i="78"/>
  <c r="W39" i="78"/>
  <c r="AC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S46" i="78"/>
  <c r="W46" i="78"/>
  <c r="U47" i="78"/>
  <c r="S45" i="78"/>
  <c r="W45" i="78"/>
  <c r="U46" i="78"/>
  <c r="S47" i="78"/>
  <c r="W47" i="78"/>
  <c r="T48" i="78"/>
  <c r="E55" i="78"/>
  <c r="F55" i="78" s="1"/>
  <c r="D14" i="9"/>
  <c r="C6" i="69"/>
  <c r="C19" i="6"/>
  <c r="F19" i="6"/>
  <c r="B3" i="4"/>
  <c r="D23" i="82" l="1"/>
  <c r="C29" i="82"/>
  <c r="U40" i="78"/>
  <c r="S40" i="78"/>
  <c r="W27" i="78"/>
  <c r="W13" i="78"/>
  <c r="S27" i="78"/>
  <c r="S13" i="78"/>
  <c r="U27" i="78"/>
  <c r="E70" i="78"/>
  <c r="D72" i="78"/>
  <c r="D26" i="82" l="1"/>
  <c r="D29" i="82"/>
  <c r="E23" i="82"/>
  <c r="E72" i="78"/>
  <c r="F70" i="78"/>
  <c r="E20" i="43"/>
  <c r="E26" i="82" l="1"/>
  <c r="E29" i="82"/>
  <c r="E32" i="82" s="1"/>
  <c r="D32" i="82"/>
  <c r="G70" i="78"/>
  <c r="F72" i="78"/>
  <c r="AH5" i="71"/>
  <c r="AG5" i="71"/>
  <c r="AE5" i="71"/>
  <c r="AF5" i="71" s="1"/>
  <c r="AD5" i="71"/>
  <c r="Q5" i="71"/>
  <c r="P5" i="71"/>
  <c r="O5" i="71"/>
  <c r="N5" i="71"/>
  <c r="G72" i="78" l="1"/>
  <c r="H70" i="78"/>
  <c r="AH6" i="71"/>
  <c r="AG6" i="71"/>
  <c r="AE6" i="71"/>
  <c r="AF6" i="71" s="1"/>
  <c r="AD6" i="71"/>
  <c r="Q6" i="71"/>
  <c r="P6" i="71"/>
  <c r="O6" i="71"/>
  <c r="N6" i="71"/>
  <c r="I70" i="78" l="1"/>
  <c r="H72" i="78"/>
  <c r="AH7" i="71"/>
  <c r="AG7" i="71"/>
  <c r="AE7" i="71"/>
  <c r="AF7" i="71" s="1"/>
  <c r="AD7" i="71"/>
  <c r="Q7" i="71"/>
  <c r="P7" i="71"/>
  <c r="O7" i="71"/>
  <c r="N7" i="71"/>
  <c r="I72" i="78" l="1"/>
  <c r="J70" i="78"/>
  <c r="K70" i="78" l="1"/>
  <c r="J72" i="78"/>
  <c r="H16" i="49"/>
  <c r="D16" i="49"/>
  <c r="D15" i="49"/>
  <c r="B2" i="49"/>
  <c r="F15" i="49" s="1"/>
  <c r="H15" i="49" s="1"/>
  <c r="K72" i="78" l="1"/>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D12" i="43"/>
  <c r="AC9" i="43"/>
  <c r="AC10" i="43" s="1"/>
  <c r="AC12" i="43"/>
  <c r="AB9" i="43"/>
  <c r="AB12" i="43"/>
  <c r="AA9" i="43"/>
  <c r="AA12" i="43" s="1"/>
  <c r="Z9" i="43"/>
  <c r="Z12" i="43" s="1"/>
  <c r="Z10" i="43"/>
  <c r="AB10" i="43"/>
  <c r="AF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B65" i="71"/>
  <c r="B64" i="71" s="1"/>
  <c r="Q64" i="71"/>
  <c r="P64" i="71"/>
  <c r="O64" i="71"/>
  <c r="N64" i="71"/>
  <c r="Q63" i="71"/>
  <c r="P63" i="71"/>
  <c r="O63" i="71"/>
  <c r="N63" i="71"/>
  <c r="D63" i="71"/>
  <c r="F62" i="71"/>
  <c r="V62" i="71" s="1"/>
  <c r="E62" i="71"/>
  <c r="P62" i="71" s="1"/>
  <c r="C62" i="71"/>
  <c r="O62" i="71" s="1"/>
  <c r="B62" i="71"/>
  <c r="F61" i="71"/>
  <c r="F60" i="71" s="1"/>
  <c r="Q60" i="71" s="1"/>
  <c r="D59" i="71"/>
  <c r="Q58" i="71"/>
  <c r="P58" i="71"/>
  <c r="O58" i="71"/>
  <c r="N58" i="71"/>
  <c r="Q57" i="71"/>
  <c r="P57" i="71"/>
  <c r="O57" i="71"/>
  <c r="N57" i="71"/>
  <c r="Q56" i="71"/>
  <c r="P56" i="71"/>
  <c r="O56" i="71"/>
  <c r="N56" i="71"/>
  <c r="Q55" i="71"/>
  <c r="F56" i="71" s="1"/>
  <c r="F57" i="71" s="1"/>
  <c r="F58" i="71" s="1"/>
  <c r="V58" i="71" s="1"/>
  <c r="P55" i="71"/>
  <c r="E56"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c r="F54" i="71" s="1"/>
  <c r="V54" i="71" s="1"/>
  <c r="P51" i="71"/>
  <c r="E52" i="7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c r="O39" i="71"/>
  <c r="C40" i="71" s="1"/>
  <c r="N39" i="71"/>
  <c r="B40" i="71" s="1"/>
  <c r="B41"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N62" i="71"/>
  <c r="E28" i="71"/>
  <c r="AA28" i="71"/>
  <c r="X32" i="71"/>
  <c r="D32" i="71"/>
  <c r="P22" i="71"/>
  <c r="E22" i="71" s="1"/>
  <c r="E57" i="71"/>
  <c r="E58" i="71" s="1"/>
  <c r="U58" i="71" s="1"/>
  <c r="Q59" i="71"/>
  <c r="Q22" i="71"/>
  <c r="C49" i="71"/>
  <c r="D49" i="71" s="1"/>
  <c r="D56" i="71"/>
  <c r="T62" i="71"/>
  <c r="D62" i="71"/>
  <c r="Q62" i="71"/>
  <c r="E65" i="71"/>
  <c r="E64" i="71" s="1"/>
  <c r="C69" i="71"/>
  <c r="C68" i="71" s="1"/>
  <c r="D70" i="71"/>
  <c r="C73" i="71"/>
  <c r="C72" i="71" s="1"/>
  <c r="D72" i="71" s="1"/>
  <c r="D74" i="71"/>
  <c r="C77" i="71"/>
  <c r="D77" i="71" s="1"/>
  <c r="C81" i="71"/>
  <c r="C80" i="71" s="1"/>
  <c r="D80" i="71" s="1"/>
  <c r="F22" i="71"/>
  <c r="F21" i="71" s="1"/>
  <c r="F20" i="71" s="1"/>
  <c r="D68" i="71"/>
  <c r="D81" i="71"/>
  <c r="D7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Z18" i="35"/>
  <c r="Q18" i="35"/>
  <c r="D68" i="35"/>
  <c r="E68" i="35" s="1"/>
  <c r="F68" i="35" s="1"/>
  <c r="F18" i="35"/>
  <c r="C18" i="35"/>
  <c r="Q21" i="37"/>
  <c r="Z21" i="37" s="1"/>
  <c r="D77" i="37"/>
  <c r="E77" i="37"/>
  <c r="F77" i="37" s="1"/>
  <c r="G77" i="37" s="1"/>
  <c r="C21" i="37"/>
  <c r="Z21" i="34"/>
  <c r="Q21" i="34"/>
  <c r="D84" i="34"/>
  <c r="E84" i="34" s="1"/>
  <c r="F84" i="34" s="1"/>
  <c r="F21" i="34"/>
  <c r="AA21" i="34" s="1"/>
  <c r="C21" i="34"/>
  <c r="Q21" i="33"/>
  <c r="Z21" i="33" s="1"/>
  <c r="D83" i="33"/>
  <c r="E83" i="33"/>
  <c r="F83" i="33" s="1"/>
  <c r="G83" i="33" s="1"/>
  <c r="C21" i="33"/>
  <c r="C21" i="21"/>
  <c r="Q21" i="21"/>
  <c r="Z21" i="21" s="1"/>
  <c r="H19" i="21"/>
  <c r="D83" i="2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E83" i="21"/>
  <c r="F83" i="21" s="1"/>
  <c r="G83" i="21" s="1"/>
  <c r="S21" i="21"/>
  <c r="H1" i="69"/>
  <c r="W18" i="36"/>
  <c r="U21" i="34"/>
  <c r="AB18" i="35"/>
  <c r="J21" i="37"/>
  <c r="AC21" i="37" s="1"/>
  <c r="G84" i="34"/>
  <c r="J21" i="34"/>
  <c r="W21" i="34" s="1"/>
  <c r="J21" i="33"/>
  <c r="AC21" i="33" s="1"/>
  <c r="H21" i="21"/>
  <c r="AB21" i="21" s="1"/>
  <c r="F38" i="69"/>
  <c r="E37" i="69"/>
  <c r="F36" i="69"/>
  <c r="F35" i="69"/>
  <c r="F21" i="69"/>
  <c r="F40" i="69" s="1"/>
  <c r="F20" i="69"/>
  <c r="F39" i="69" s="1"/>
  <c r="E10" i="69"/>
  <c r="E9" i="69"/>
  <c r="C7" i="69"/>
  <c r="W21" i="37"/>
  <c r="AC21" i="34"/>
  <c r="J21" i="21"/>
  <c r="AC21" i="21" s="1"/>
  <c r="F38" i="68"/>
  <c r="E37"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I20" i="66"/>
  <c r="E15" i="66"/>
  <c r="I14" i="66"/>
  <c r="I13" i="66"/>
  <c r="I12" i="66"/>
  <c r="I15" i="66" s="1"/>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s="1"/>
  <c r="K87" i="43"/>
  <c r="J87" i="43" s="1"/>
  <c r="M86" i="43"/>
  <c r="N86" i="43"/>
  <c r="K86" i="43"/>
  <c r="J86" i="43"/>
  <c r="M85" i="43"/>
  <c r="N85" i="43"/>
  <c r="K85" i="43"/>
  <c r="J85" i="43" s="1"/>
  <c r="M84" i="43"/>
  <c r="N84" i="43" s="1"/>
  <c r="K84" i="43"/>
  <c r="J84" i="43" s="1"/>
  <c r="M83" i="43"/>
  <c r="N83" i="43"/>
  <c r="K83" i="43"/>
  <c r="J83" i="43"/>
  <c r="M82" i="43"/>
  <c r="N82" i="43"/>
  <c r="K82" i="43"/>
  <c r="J82" i="43" s="1"/>
  <c r="M81" i="43"/>
  <c r="N81" i="43" s="1"/>
  <c r="K81" i="43"/>
  <c r="J81" i="43" s="1"/>
  <c r="M78" i="43"/>
  <c r="N78" i="43"/>
  <c r="K78" i="43"/>
  <c r="J78" i="43"/>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c r="K72" i="43"/>
  <c r="J72" i="43"/>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5" i="3" s="1"/>
  <c r="G28" i="6" s="1"/>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B5" i="3" s="1"/>
  <c r="BC14" i="3"/>
  <c r="BD14" i="3"/>
  <c r="BE14" i="3"/>
  <c r="BE5" i="3" s="1"/>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s="1"/>
  <c r="I55" i="34"/>
  <c r="J55" i="34" s="1"/>
  <c r="G55" i="34"/>
  <c r="H55" i="34" s="1"/>
  <c r="E55" i="34"/>
  <c r="F55" i="34" s="1"/>
  <c r="I48" i="40"/>
  <c r="J48" i="40" s="1"/>
  <c r="G48" i="40"/>
  <c r="H48" i="40" s="1"/>
  <c r="E48" i="40"/>
  <c r="F48" i="40" s="1"/>
  <c r="I53" i="39"/>
  <c r="J53" i="39"/>
  <c r="G53" i="39"/>
  <c r="H53" i="39" s="1"/>
  <c r="E53" i="39"/>
  <c r="F53" i="39" s="1"/>
  <c r="I42" i="36"/>
  <c r="J42" i="36"/>
  <c r="G42" i="36"/>
  <c r="H42" i="36"/>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L540" i="3" s="1"/>
  <c r="BT540" i="3"/>
  <c r="H541" i="3"/>
  <c r="AC541" i="3"/>
  <c r="BB541" i="3"/>
  <c r="BC541" i="3"/>
  <c r="BD541" i="3"/>
  <c r="BE541" i="3"/>
  <c r="BF541" i="3"/>
  <c r="BG541" i="3"/>
  <c r="BH541" i="3"/>
  <c r="BI541" i="3"/>
  <c r="BJ541" i="3"/>
  <c r="BA541" i="3" s="1"/>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AB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37" i="33"/>
  <c r="S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F39" i="40" s="1"/>
  <c r="AA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AA34" i="39"/>
  <c r="D107" i="39"/>
  <c r="E107" i="39"/>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D75" i="37"/>
  <c r="E75" i="37" s="1"/>
  <c r="D73" i="37"/>
  <c r="E73" i="37" s="1"/>
  <c r="F73" i="37" s="1"/>
  <c r="D71" i="37"/>
  <c r="E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c r="Q31" i="36"/>
  <c r="Z31" i="36"/>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H11" i="35" s="1"/>
  <c r="B61" i="35"/>
  <c r="B59" i="35"/>
  <c r="H12" i="35" s="1"/>
  <c r="B131" i="34"/>
  <c r="H47" i="34" s="1"/>
  <c r="U47" i="34" s="1"/>
  <c r="B129" i="34"/>
  <c r="B127" i="34"/>
  <c r="B99" i="34"/>
  <c r="B97" i="34"/>
  <c r="J31" i="34" s="1"/>
  <c r="AC31" i="34" s="1"/>
  <c r="B95" i="34"/>
  <c r="B93" i="34"/>
  <c r="B75" i="34"/>
  <c r="B73" i="34"/>
  <c r="B71" i="34"/>
  <c r="B130" i="33"/>
  <c r="B128" i="33"/>
  <c r="H45" i="33" s="1"/>
  <c r="U45" i="33" s="1"/>
  <c r="B126" i="33"/>
  <c r="H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c r="Q42" i="34"/>
  <c r="Z42" i="34"/>
  <c r="Q41" i="34"/>
  <c r="Z41" i="34"/>
  <c r="Q40" i="34"/>
  <c r="Z40" i="34"/>
  <c r="Q39" i="34"/>
  <c r="Z39" i="34" s="1"/>
  <c r="H39" i="34"/>
  <c r="AB39" i="34" s="1"/>
  <c r="Q38" i="34"/>
  <c r="Z38" i="34"/>
  <c r="Q37" i="34"/>
  <c r="Z37" i="34"/>
  <c r="Q36" i="34"/>
  <c r="Z36" i="34"/>
  <c r="Q35" i="34"/>
  <c r="Z35" i="34"/>
  <c r="Q34" i="34"/>
  <c r="Z34" i="34" s="1"/>
  <c r="J34" i="34"/>
  <c r="AC34" i="34" s="1"/>
  <c r="H34" i="34"/>
  <c r="AB34" i="34"/>
  <c r="F34" i="34"/>
  <c r="AA34" i="34"/>
  <c r="Q33" i="34"/>
  <c r="Z33" i="34"/>
  <c r="Q32" i="34"/>
  <c r="Z32" i="34"/>
  <c r="Q31" i="34"/>
  <c r="Z31" i="34" s="1"/>
  <c r="Q30" i="34"/>
  <c r="Z30" i="34" s="1"/>
  <c r="Q29" i="34"/>
  <c r="Z29" i="34"/>
  <c r="Q28" i="34"/>
  <c r="Z28" i="34"/>
  <c r="Q27" i="34"/>
  <c r="Z27" i="34"/>
  <c r="Q25" i="34"/>
  <c r="Z25" i="34"/>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c r="H38" i="33"/>
  <c r="AB38" i="33" s="1"/>
  <c r="F38" i="33"/>
  <c r="Q37" i="33"/>
  <c r="Z37" i="33" s="1"/>
  <c r="Q36" i="33"/>
  <c r="Z36" i="33" s="1"/>
  <c r="Q35" i="33"/>
  <c r="Z35" i="33" s="1"/>
  <c r="H35" i="33"/>
  <c r="Q34" i="33"/>
  <c r="Z34" i="33" s="1"/>
  <c r="Q33" i="33"/>
  <c r="Z33" i="33"/>
  <c r="J33" i="33"/>
  <c r="AC33" i="33" s="1"/>
  <c r="H33" i="33"/>
  <c r="F33" i="33"/>
  <c r="AA33" i="33"/>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c r="F15" i="33"/>
  <c r="AA15" i="33"/>
  <c r="Q14" i="33"/>
  <c r="Z14" i="33" s="1"/>
  <c r="Q13" i="33"/>
  <c r="Z13" i="33" s="1"/>
  <c r="Q12" i="33"/>
  <c r="Z12" i="33" s="1"/>
  <c r="Q11" i="33"/>
  <c r="Z11" i="33" s="1"/>
  <c r="Q10" i="33"/>
  <c r="Z10" i="33" s="1"/>
  <c r="Q9" i="33"/>
  <c r="Z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H31" i="21" s="1"/>
  <c r="B96" i="21"/>
  <c r="B94" i="21"/>
  <c r="J29" i="21"/>
  <c r="AC29" i="21" s="1"/>
  <c r="B92" i="21"/>
  <c r="J28" i="21" s="1"/>
  <c r="W28" i="21" s="1"/>
  <c r="B90" i="21"/>
  <c r="J27" i="21" s="1"/>
  <c r="W27" i="21" s="1"/>
  <c r="B74" i="21"/>
  <c r="B72" i="21"/>
  <c r="H13" i="21"/>
  <c r="AB13" i="21" s="1"/>
  <c r="B70" i="21"/>
  <c r="F12" i="21"/>
  <c r="S12" i="21" s="1"/>
  <c r="C19" i="21"/>
  <c r="C17" i="21"/>
  <c r="C23" i="21"/>
  <c r="Q9" i="21"/>
  <c r="Z9" i="21" s="1"/>
  <c r="Q10" i="21"/>
  <c r="Z10" i="21" s="1"/>
  <c r="Q11" i="21"/>
  <c r="Z11" i="21" s="1"/>
  <c r="Q12" i="21"/>
  <c r="Z12" i="21"/>
  <c r="Q13" i="21"/>
  <c r="Z13" i="21" s="1"/>
  <c r="Q14" i="21"/>
  <c r="Z14" i="21" s="1"/>
  <c r="Q15" i="21"/>
  <c r="Z15" i="2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c r="J26" i="21"/>
  <c r="W26" i="21"/>
  <c r="F26" i="21"/>
  <c r="S26" i="21"/>
  <c r="S41" i="21"/>
  <c r="F36" i="39"/>
  <c r="S36" i="39" s="1"/>
  <c r="J35" i="39"/>
  <c r="AC35" i="39" s="1"/>
  <c r="F35" i="39"/>
  <c r="AA35" i="39" s="1"/>
  <c r="J36" i="39"/>
  <c r="AC36" i="39" s="1"/>
  <c r="E103" i="37"/>
  <c r="F103" i="37" s="1"/>
  <c r="G103" i="37" s="1"/>
  <c r="H103" i="37" s="1"/>
  <c r="I103" i="37" s="1"/>
  <c r="J103" i="37" s="1"/>
  <c r="K103" i="37" s="1"/>
  <c r="L103" i="37" s="1"/>
  <c r="M103" i="37" s="1"/>
  <c r="F29" i="36"/>
  <c r="AA29" i="36"/>
  <c r="W8" i="36"/>
  <c r="F16" i="36"/>
  <c r="AA16" i="36" s="1"/>
  <c r="S30" i="36"/>
  <c r="AC31" i="36"/>
  <c r="W31" i="36"/>
  <c r="H22" i="35"/>
  <c r="AB22" i="35" s="1"/>
  <c r="AC27" i="35"/>
  <c r="W22" i="35"/>
  <c r="F36" i="34"/>
  <c r="J35" i="34"/>
  <c r="W35" i="34" s="1"/>
  <c r="S34" i="34"/>
  <c r="U34" i="34"/>
  <c r="H39" i="33"/>
  <c r="AB39" i="33"/>
  <c r="S40" i="33"/>
  <c r="W33" i="33"/>
  <c r="W39" i="33"/>
  <c r="F11" i="40"/>
  <c r="AA11" i="40" s="1"/>
  <c r="H11" i="40"/>
  <c r="AB11" i="40" s="1"/>
  <c r="W8" i="40"/>
  <c r="AC40" i="40"/>
  <c r="U9" i="40"/>
  <c r="S40" i="40"/>
  <c r="U34" i="40"/>
  <c r="F42" i="39"/>
  <c r="AA42" i="39" s="1"/>
  <c r="F41" i="39"/>
  <c r="S41" i="39" s="1"/>
  <c r="H40" i="39"/>
  <c r="AB40" i="39"/>
  <c r="H39" i="39"/>
  <c r="U39" i="39"/>
  <c r="H34" i="39"/>
  <c r="U34" i="39" s="1"/>
  <c r="F31" i="39"/>
  <c r="AA31" i="39" s="1"/>
  <c r="H19" i="39"/>
  <c r="AB19" i="39"/>
  <c r="F19" i="39"/>
  <c r="AA19" i="39"/>
  <c r="H17" i="39"/>
  <c r="AB17" i="39" s="1"/>
  <c r="F17" i="39"/>
  <c r="AA17" i="39" s="1"/>
  <c r="J23" i="40"/>
  <c r="AC23" i="40" s="1"/>
  <c r="F21" i="40"/>
  <c r="AA21" i="40" s="1"/>
  <c r="J21" i="40"/>
  <c r="W21" i="40" s="1"/>
  <c r="H42" i="39"/>
  <c r="AB42" i="39" s="1"/>
  <c r="J34" i="39"/>
  <c r="AC34" i="39" s="1"/>
  <c r="J31" i="39"/>
  <c r="H27" i="39"/>
  <c r="U27" i="39" s="1"/>
  <c r="J19" i="39"/>
  <c r="AC19" i="39"/>
  <c r="J17" i="39"/>
  <c r="J27" i="39"/>
  <c r="AC27" i="39" s="1"/>
  <c r="F27" i="39"/>
  <c r="F11" i="21"/>
  <c r="S11" i="21" s="1"/>
  <c r="U34" i="21"/>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F37" i="39"/>
  <c r="AA37" i="39" s="1"/>
  <c r="U30" i="36"/>
  <c r="J30" i="35"/>
  <c r="W30" i="35"/>
  <c r="H30" i="35"/>
  <c r="U30" i="35" s="1"/>
  <c r="AB30" i="35"/>
  <c r="F22" i="35"/>
  <c r="AA22" i="35" s="1"/>
  <c r="H10" i="35"/>
  <c r="U10" i="35" s="1"/>
  <c r="AC16" i="36"/>
  <c r="W30" i="36"/>
  <c r="H16" i="36"/>
  <c r="AB16" i="36"/>
  <c r="E85" i="36"/>
  <c r="F85" i="36" s="1"/>
  <c r="G85" i="36" s="1"/>
  <c r="H85" i="36" s="1"/>
  <c r="I85" i="36" s="1"/>
  <c r="J85" i="36" s="1"/>
  <c r="K85" i="36" s="1"/>
  <c r="L85" i="36" s="1"/>
  <c r="M85" i="36" s="1"/>
  <c r="J29" i="36"/>
  <c r="AC29" i="36" s="1"/>
  <c r="F34" i="36"/>
  <c r="S34" i="36" s="1"/>
  <c r="S10" i="36"/>
  <c r="S8" i="36"/>
  <c r="U8" i="35"/>
  <c r="F14" i="35"/>
  <c r="AA14" i="35" s="1"/>
  <c r="F23" i="35"/>
  <c r="AA23" i="35" s="1"/>
  <c r="J32" i="35"/>
  <c r="AC32" i="35" s="1"/>
  <c r="J16" i="35"/>
  <c r="AC16" i="35" s="1"/>
  <c r="H16" i="35"/>
  <c r="U16" i="35" s="1"/>
  <c r="F16" i="35"/>
  <c r="S16" i="35" s="1"/>
  <c r="H14" i="35"/>
  <c r="AB14" i="35" s="1"/>
  <c r="J29" i="35"/>
  <c r="W29" i="35" s="1"/>
  <c r="H33" i="35"/>
  <c r="J20" i="35"/>
  <c r="W20" i="35"/>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c r="F37" i="34"/>
  <c r="AA37" i="34"/>
  <c r="F28" i="34"/>
  <c r="AA28" i="34" s="1"/>
  <c r="F25" i="34"/>
  <c r="S25" i="34" s="1"/>
  <c r="H23" i="34"/>
  <c r="U23" i="34" s="1"/>
  <c r="J23" i="34"/>
  <c r="F19" i="34"/>
  <c r="H17" i="34"/>
  <c r="F15" i="34"/>
  <c r="J15" i="34"/>
  <c r="H15" i="34"/>
  <c r="AB15" i="34" s="1"/>
  <c r="W8" i="34"/>
  <c r="J28" i="34"/>
  <c r="F41" i="33"/>
  <c r="F32" i="33"/>
  <c r="AA32" i="33" s="1"/>
  <c r="J19" i="33"/>
  <c r="AC19" i="33" s="1"/>
  <c r="J15" i="33"/>
  <c r="AC15" i="33" s="1"/>
  <c r="F11" i="33"/>
  <c r="AA11" i="33" s="1"/>
  <c r="U40" i="33"/>
  <c r="W40" i="33"/>
  <c r="U8" i="33"/>
  <c r="S8" i="33"/>
  <c r="F37" i="40"/>
  <c r="AA37" i="40"/>
  <c r="F36" i="40"/>
  <c r="AA36" i="40"/>
  <c r="H28" i="40"/>
  <c r="U28" i="40" s="1"/>
  <c r="F23" i="40"/>
  <c r="AA23" i="40" s="1"/>
  <c r="F17" i="40"/>
  <c r="AA17" i="40" s="1"/>
  <c r="J17" i="40"/>
  <c r="W17" i="40" s="1"/>
  <c r="F15" i="40"/>
  <c r="S15" i="40" s="1"/>
  <c r="H15" i="40"/>
  <c r="AB15" i="40" s="1"/>
  <c r="AC11" i="40"/>
  <c r="AB30" i="36"/>
  <c r="F29" i="35"/>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H123" i="21"/>
  <c r="I123" i="21" s="1"/>
  <c r="J123" i="21" s="1"/>
  <c r="K123" i="21" s="1"/>
  <c r="L123" i="21" s="1"/>
  <c r="M123" i="21" s="1"/>
  <c r="J42" i="21"/>
  <c r="AC42" i="21" s="1"/>
  <c r="H42" i="21"/>
  <c r="U42" i="21" s="1"/>
  <c r="J44" i="34"/>
  <c r="F44" i="34"/>
  <c r="S44" i="34" s="1"/>
  <c r="AA44" i="34"/>
  <c r="J10" i="35"/>
  <c r="W10" i="35"/>
  <c r="H14" i="21"/>
  <c r="U14" i="21" s="1"/>
  <c r="H28" i="21"/>
  <c r="AB28" i="21" s="1"/>
  <c r="F28" i="21"/>
  <c r="AA28" i="21" s="1"/>
  <c r="F30" i="21"/>
  <c r="S30" i="21" s="1"/>
  <c r="H44" i="21"/>
  <c r="U44" i="21" s="1"/>
  <c r="J46" i="21"/>
  <c r="W46" i="21" s="1"/>
  <c r="E119" i="21"/>
  <c r="F119" i="21" s="1"/>
  <c r="G119" i="21" s="1"/>
  <c r="H119" i="21" s="1"/>
  <c r="I119" i="21" s="1"/>
  <c r="J119" i="21" s="1"/>
  <c r="K119" i="21" s="1"/>
  <c r="L119" i="21" s="1"/>
  <c r="M119" i="21" s="1"/>
  <c r="J28" i="33"/>
  <c r="W28" i="33" s="1"/>
  <c r="F33" i="35"/>
  <c r="S33" i="35"/>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W29" i="33" s="1"/>
  <c r="H29" i="33"/>
  <c r="U29" i="33" s="1"/>
  <c r="F29" i="33"/>
  <c r="S29" i="33" s="1"/>
  <c r="J31" i="33"/>
  <c r="W31" i="33" s="1"/>
  <c r="H31" i="33"/>
  <c r="AB31" i="33" s="1"/>
  <c r="F31" i="33"/>
  <c r="J45" i="33"/>
  <c r="W45" i="33" s="1"/>
  <c r="F45" i="33"/>
  <c r="AA45" i="33" s="1"/>
  <c r="J14" i="34"/>
  <c r="W14" i="34"/>
  <c r="F14" i="34"/>
  <c r="AA14" i="34" s="1"/>
  <c r="H14" i="34"/>
  <c r="U14" i="34" s="1"/>
  <c r="H30" i="34"/>
  <c r="F30" i="34"/>
  <c r="S30" i="34" s="1"/>
  <c r="J30" i="34"/>
  <c r="AC30" i="34" s="1"/>
  <c r="H32" i="34"/>
  <c r="U32" i="34" s="1"/>
  <c r="F32" i="34"/>
  <c r="J32" i="34"/>
  <c r="W32" i="34" s="1"/>
  <c r="H46" i="34"/>
  <c r="AB46" i="34" s="1"/>
  <c r="F46" i="34"/>
  <c r="J46" i="34"/>
  <c r="W46" i="34" s="1"/>
  <c r="J11" i="35"/>
  <c r="AC11" i="35"/>
  <c r="F11" i="35"/>
  <c r="S11" i="35"/>
  <c r="J26" i="36"/>
  <c r="W26" i="36"/>
  <c r="H28" i="36"/>
  <c r="U28" i="36" s="1"/>
  <c r="H32" i="36"/>
  <c r="AB32" i="36" s="1"/>
  <c r="J32" i="36"/>
  <c r="W32" i="36" s="1"/>
  <c r="J11" i="36"/>
  <c r="AC11" i="36" s="1"/>
  <c r="H11" i="36"/>
  <c r="U11" i="36" s="1"/>
  <c r="F11" i="36"/>
  <c r="AA11" i="36" s="1"/>
  <c r="H13" i="36"/>
  <c r="AB13" i="36" s="1"/>
  <c r="J13" i="36"/>
  <c r="AC13" i="36" s="1"/>
  <c r="F13" i="36"/>
  <c r="S13" i="36" s="1"/>
  <c r="J29" i="37"/>
  <c r="W29" i="37"/>
  <c r="F29" i="37"/>
  <c r="S29" i="37" s="1"/>
  <c r="F105" i="37"/>
  <c r="G105" i="37" s="1"/>
  <c r="H36" i="37"/>
  <c r="AB36" i="37" s="1"/>
  <c r="F107" i="37"/>
  <c r="J37" i="37"/>
  <c r="AC37" i="37" s="1"/>
  <c r="H37" i="37"/>
  <c r="U37" i="37" s="1"/>
  <c r="J40" i="37"/>
  <c r="AC40" i="37" s="1"/>
  <c r="W12" i="40"/>
  <c r="H14" i="33"/>
  <c r="U14" i="33" s="1"/>
  <c r="F14" i="33"/>
  <c r="S14" i="33" s="1"/>
  <c r="J14" i="33"/>
  <c r="H30" i="33"/>
  <c r="AB30" i="33" s="1"/>
  <c r="F30" i="33"/>
  <c r="S30" i="33" s="1"/>
  <c r="J30" i="33"/>
  <c r="J44" i="33"/>
  <c r="AC44" i="33" s="1"/>
  <c r="J46" i="33"/>
  <c r="AC46" i="33" s="1"/>
  <c r="F46" i="33"/>
  <c r="AA46" i="33" s="1"/>
  <c r="H46" i="33"/>
  <c r="H13" i="34"/>
  <c r="U13" i="34" s="1"/>
  <c r="J13" i="34"/>
  <c r="W13" i="34" s="1"/>
  <c r="F13" i="34"/>
  <c r="AA13" i="34" s="1"/>
  <c r="J29" i="34"/>
  <c r="F29" i="34"/>
  <c r="S29" i="34" s="1"/>
  <c r="H29" i="34"/>
  <c r="AB29" i="34"/>
  <c r="H31" i="34"/>
  <c r="U31" i="34" s="1"/>
  <c r="AB31" i="34"/>
  <c r="F31" i="34"/>
  <c r="S31" i="34" s="1"/>
  <c r="H45" i="34"/>
  <c r="U45" i="34" s="1"/>
  <c r="J45" i="34"/>
  <c r="W45" i="34" s="1"/>
  <c r="F45" i="34"/>
  <c r="S45" i="34" s="1"/>
  <c r="F47" i="34"/>
  <c r="S47" i="34" s="1"/>
  <c r="J47" i="34"/>
  <c r="AC47" i="34" s="1"/>
  <c r="F13" i="35"/>
  <c r="S13" i="35" s="1"/>
  <c r="J13" i="35"/>
  <c r="AC13" i="35" s="1"/>
  <c r="H13" i="35"/>
  <c r="U13" i="35"/>
  <c r="J25" i="35"/>
  <c r="W25" i="35"/>
  <c r="F25" i="35"/>
  <c r="S25" i="35"/>
  <c r="H25" i="35"/>
  <c r="AB25" i="35"/>
  <c r="J35" i="35"/>
  <c r="AC35" i="35"/>
  <c r="F35" i="35"/>
  <c r="AA35" i="35" s="1"/>
  <c r="H35" i="35"/>
  <c r="AB35" i="35" s="1"/>
  <c r="J25" i="36"/>
  <c r="W25" i="36" s="1"/>
  <c r="F25" i="36"/>
  <c r="S25" i="36" s="1"/>
  <c r="H25" i="36"/>
  <c r="AB25" i="36" s="1"/>
  <c r="AB13" i="37"/>
  <c r="F13" i="37"/>
  <c r="S13" i="37"/>
  <c r="J13" i="37"/>
  <c r="W13" i="37"/>
  <c r="H38" i="37"/>
  <c r="AB38" i="37" s="1"/>
  <c r="J38" i="37"/>
  <c r="AC38" i="37" s="1"/>
  <c r="F38" i="37"/>
  <c r="S38" i="37" s="1"/>
  <c r="F43" i="39"/>
  <c r="AA43" i="39" s="1"/>
  <c r="H43" i="39"/>
  <c r="AB43" i="39" s="1"/>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J13" i="39"/>
  <c r="W13" i="39" s="1"/>
  <c r="H13" i="39"/>
  <c r="AB13" i="39" s="1"/>
  <c r="J14" i="40"/>
  <c r="W14" i="40" s="1"/>
  <c r="J14" i="37"/>
  <c r="AC14" i="37" s="1"/>
  <c r="J27" i="37"/>
  <c r="AC27" i="37" s="1"/>
  <c r="AA13" i="35"/>
  <c r="J36" i="37"/>
  <c r="AC36" i="37" s="1"/>
  <c r="AB11" i="36"/>
  <c r="J10" i="36"/>
  <c r="AC10" i="36" s="1"/>
  <c r="W31" i="34"/>
  <c r="S11" i="36"/>
  <c r="W11" i="35"/>
  <c r="AB45" i="33"/>
  <c r="U31" i="33"/>
  <c r="AC28" i="21"/>
  <c r="BA586" i="3"/>
  <c r="F17" i="21"/>
  <c r="AA17" i="21" s="1"/>
  <c r="H17" i="21"/>
  <c r="AB17" i="21" s="1"/>
  <c r="F15" i="21"/>
  <c r="S15" i="21" s="1"/>
  <c r="AB11" i="21"/>
  <c r="J41" i="39"/>
  <c r="W41" i="39" s="1"/>
  <c r="W36" i="39"/>
  <c r="W35" i="39"/>
  <c r="U36" i="39"/>
  <c r="S35" i="39"/>
  <c r="G544" i="3"/>
  <c r="G540" i="3"/>
  <c r="G536" i="3"/>
  <c r="G535" i="3"/>
  <c r="G532" i="3"/>
  <c r="G531" i="3"/>
  <c r="G527" i="3"/>
  <c r="G523" i="3"/>
  <c r="G518" i="3"/>
  <c r="G514" i="3"/>
  <c r="G510" i="3"/>
  <c r="G508" i="3"/>
  <c r="G504" i="3"/>
  <c r="G500" i="3"/>
  <c r="G496" i="3"/>
  <c r="G584" i="3"/>
  <c r="G580" i="3"/>
  <c r="G576" i="3"/>
  <c r="G572" i="3"/>
  <c r="G568" i="3"/>
  <c r="G564" i="3"/>
  <c r="G560" i="3"/>
  <c r="G554" i="3"/>
  <c r="G550" i="3"/>
  <c r="BL584" i="3"/>
  <c r="BL580" i="3"/>
  <c r="BL576" i="3"/>
  <c r="BL568" i="3"/>
  <c r="BL554" i="3"/>
  <c r="BL546" i="3"/>
  <c r="BL542" i="3"/>
  <c r="BL538" i="3"/>
  <c r="BL534" i="3"/>
  <c r="BL530" i="3"/>
  <c r="BL526" i="3"/>
  <c r="BL522" i="3"/>
  <c r="BL516" i="3"/>
  <c r="BL512" i="3"/>
  <c r="BL502" i="3"/>
  <c r="BL498" i="3"/>
  <c r="BL494" i="3"/>
  <c r="BL582" i="3"/>
  <c r="BL578" i="3"/>
  <c r="BL570" i="3"/>
  <c r="BL566" i="3"/>
  <c r="BL562" i="3"/>
  <c r="BL556" i="3"/>
  <c r="BL552" i="3"/>
  <c r="BL536" i="3"/>
  <c r="G533" i="3"/>
  <c r="BL532" i="3"/>
  <c r="G529" i="3"/>
  <c r="BL528" i="3"/>
  <c r="G525" i="3"/>
  <c r="BL524" i="3"/>
  <c r="BL518" i="3"/>
  <c r="BL514" i="3"/>
  <c r="BL510" i="3"/>
  <c r="BL504" i="3"/>
  <c r="BL500" i="3"/>
  <c r="BL496" i="3"/>
  <c r="AZ496" i="3" s="1"/>
  <c r="G493" i="3"/>
  <c r="BA584" i="3"/>
  <c r="BA582" i="3"/>
  <c r="AZ582" i="3" s="1"/>
  <c r="BA578" i="3"/>
  <c r="BA576" i="3"/>
  <c r="BA574" i="3"/>
  <c r="BA570" i="3"/>
  <c r="AZ570" i="3" s="1"/>
  <c r="BA564" i="3"/>
  <c r="BA562" i="3"/>
  <c r="AZ562" i="3" s="1"/>
  <c r="BA560" i="3"/>
  <c r="BA558" i="3"/>
  <c r="BA556" i="3"/>
  <c r="AZ556" i="3" s="1"/>
  <c r="BA554" i="3"/>
  <c r="AZ554" i="3" s="1"/>
  <c r="BA552" i="3"/>
  <c r="AZ552" i="3" s="1"/>
  <c r="BA546" i="3"/>
  <c r="BA544" i="3"/>
  <c r="BA542" i="3"/>
  <c r="BA540" i="3"/>
  <c r="AZ540" i="3" s="1"/>
  <c r="BA538" i="3"/>
  <c r="AZ538" i="3" s="1"/>
  <c r="BA536" i="3"/>
  <c r="BA534" i="3"/>
  <c r="AZ534" i="3"/>
  <c r="BA532" i="3"/>
  <c r="AZ532" i="3"/>
  <c r="BA530" i="3"/>
  <c r="BA528" i="3"/>
  <c r="AZ528" i="3" s="1"/>
  <c r="BA526" i="3"/>
  <c r="BA524" i="3"/>
  <c r="AZ524" i="3" s="1"/>
  <c r="BA522" i="3"/>
  <c r="BA520" i="3"/>
  <c r="BA518" i="3"/>
  <c r="AZ518" i="3" s="1"/>
  <c r="BA514" i="3"/>
  <c r="AZ514" i="3" s="1"/>
  <c r="BA512" i="3"/>
  <c r="AZ512" i="3"/>
  <c r="BA510" i="3"/>
  <c r="AZ510" i="3"/>
  <c r="BA508" i="3"/>
  <c r="BA506" i="3"/>
  <c r="BA504" i="3"/>
  <c r="AZ504" i="3"/>
  <c r="BA502" i="3"/>
  <c r="BA500" i="3"/>
  <c r="AZ500" i="3" s="1"/>
  <c r="BA496" i="3"/>
  <c r="BA494" i="3"/>
  <c r="AZ494" i="3" s="1"/>
  <c r="BA581" i="3"/>
  <c r="BA579" i="3"/>
  <c r="AZ579" i="3" s="1"/>
  <c r="BA577" i="3"/>
  <c r="BA573" i="3"/>
  <c r="BA567" i="3"/>
  <c r="BA565" i="3"/>
  <c r="BA563" i="3"/>
  <c r="BA561" i="3"/>
  <c r="BA559" i="3"/>
  <c r="BA555" i="3"/>
  <c r="BA553" i="3"/>
  <c r="BA549" i="3"/>
  <c r="BA547" i="3"/>
  <c r="BA545" i="3"/>
  <c r="BA539" i="3"/>
  <c r="BA537" i="3"/>
  <c r="BA535" i="3"/>
  <c r="BA533" i="3"/>
  <c r="BA531" i="3"/>
  <c r="BA529" i="3"/>
  <c r="BA527" i="3"/>
  <c r="BA525" i="3"/>
  <c r="BA523" i="3"/>
  <c r="BA519" i="3"/>
  <c r="BA515" i="3"/>
  <c r="BA513" i="3"/>
  <c r="BA511" i="3"/>
  <c r="BA507" i="3"/>
  <c r="BA505" i="3"/>
  <c r="BA503" i="3"/>
  <c r="BA501" i="3"/>
  <c r="BA499" i="3"/>
  <c r="BA497" i="3"/>
  <c r="BA495" i="3"/>
  <c r="BA493" i="3"/>
  <c r="G583" i="3"/>
  <c r="G581" i="3"/>
  <c r="G579" i="3"/>
  <c r="G577" i="3"/>
  <c r="G575" i="3"/>
  <c r="G573" i="3"/>
  <c r="G571" i="3"/>
  <c r="G569" i="3"/>
  <c r="G567" i="3"/>
  <c r="G565" i="3"/>
  <c r="G563" i="3"/>
  <c r="G561" i="3"/>
  <c r="BA557" i="3"/>
  <c r="AC557" i="3"/>
  <c r="G557" i="3" s="1"/>
  <c r="BQ557" i="3"/>
  <c r="BL557" i="3" s="1"/>
  <c r="BQ583" i="3"/>
  <c r="BL583" i="3" s="1"/>
  <c r="BQ581" i="3"/>
  <c r="BL581" i="3" s="1"/>
  <c r="BQ579" i="3"/>
  <c r="BL579" i="3" s="1"/>
  <c r="BQ577" i="3"/>
  <c r="BQ575" i="3"/>
  <c r="BL575" i="3" s="1"/>
  <c r="BQ573" i="3"/>
  <c r="BL573" i="3" s="1"/>
  <c r="BQ571" i="3"/>
  <c r="BL571" i="3"/>
  <c r="BQ569" i="3"/>
  <c r="BL569" i="3" s="1"/>
  <c r="BQ567" i="3"/>
  <c r="BL567" i="3" s="1"/>
  <c r="BQ565" i="3"/>
  <c r="BL565" i="3" s="1"/>
  <c r="BQ563" i="3"/>
  <c r="BL563" i="3" s="1"/>
  <c r="AZ563" i="3" s="1"/>
  <c r="BQ561" i="3"/>
  <c r="BL561" i="3" s="1"/>
  <c r="BQ559" i="3"/>
  <c r="G559" i="3"/>
  <c r="G555" i="3"/>
  <c r="G553" i="3"/>
  <c r="G549" i="3"/>
  <c r="G547" i="3"/>
  <c r="G545" i="3"/>
  <c r="G543" i="3"/>
  <c r="G541" i="3"/>
  <c r="G539" i="3"/>
  <c r="G537" i="3"/>
  <c r="BQ555" i="3"/>
  <c r="BQ553" i="3"/>
  <c r="BQ551" i="3"/>
  <c r="BL551" i="3" s="1"/>
  <c r="BQ549" i="3"/>
  <c r="BQ547" i="3"/>
  <c r="BL547" i="3" s="1"/>
  <c r="AZ547" i="3" s="1"/>
  <c r="BQ545" i="3"/>
  <c r="BL545" i="3" s="1"/>
  <c r="AZ545" i="3" s="1"/>
  <c r="BQ543" i="3"/>
  <c r="BL543" i="3" s="1"/>
  <c r="BQ541" i="3"/>
  <c r="BL541" i="3" s="1"/>
  <c r="AZ541" i="3" s="1"/>
  <c r="BQ539" i="3"/>
  <c r="BL539" i="3" s="1"/>
  <c r="AZ539" i="3" s="1"/>
  <c r="BQ537" i="3"/>
  <c r="BL537" i="3"/>
  <c r="BQ535" i="3"/>
  <c r="BL535" i="3" s="1"/>
  <c r="AZ535" i="3" s="1"/>
  <c r="BQ533" i="3"/>
  <c r="BL533" i="3" s="1"/>
  <c r="BQ531" i="3"/>
  <c r="BL531" i="3" s="1"/>
  <c r="AZ531" i="3" s="1"/>
  <c r="BQ529" i="3"/>
  <c r="BL529" i="3" s="1"/>
  <c r="BQ527" i="3"/>
  <c r="BL527" i="3" s="1"/>
  <c r="AZ527" i="3" s="1"/>
  <c r="BQ525" i="3"/>
  <c r="BL525" i="3" s="1"/>
  <c r="BQ523" i="3"/>
  <c r="BL523" i="3" s="1"/>
  <c r="AZ523" i="3" s="1"/>
  <c r="AC521" i="3"/>
  <c r="G521" i="3"/>
  <c r="BQ521" i="3"/>
  <c r="BL521" i="3" s="1"/>
  <c r="BL520" i="3"/>
  <c r="AZ520" i="3" s="1"/>
  <c r="G519" i="3"/>
  <c r="G517" i="3"/>
  <c r="G515" i="3"/>
  <c r="G513" i="3"/>
  <c r="G511" i="3"/>
  <c r="BQ519" i="3"/>
  <c r="BQ517" i="3"/>
  <c r="BL517" i="3"/>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BQ503" i="3"/>
  <c r="BL503" i="3" s="1"/>
  <c r="BQ501" i="3"/>
  <c r="BL501" i="3" s="1"/>
  <c r="BQ499" i="3"/>
  <c r="BL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E123" i="33"/>
  <c r="F123" i="33" s="1"/>
  <c r="G123" i="33" s="1"/>
  <c r="H123" i="33" s="1"/>
  <c r="I123" i="33" s="1"/>
  <c r="J123" i="33" s="1"/>
  <c r="K123" i="33" s="1"/>
  <c r="L123" i="33" s="1"/>
  <c r="M123" i="33" s="1"/>
  <c r="F42" i="33"/>
  <c r="AA42" i="33" s="1"/>
  <c r="H28" i="34"/>
  <c r="F14" i="36"/>
  <c r="AA14" i="36" s="1"/>
  <c r="F22" i="36"/>
  <c r="F26" i="36"/>
  <c r="S26" i="36" s="1"/>
  <c r="H27" i="34"/>
  <c r="AB27" i="34" s="1"/>
  <c r="H35" i="34"/>
  <c r="U35" i="34" s="1"/>
  <c r="F41" i="34"/>
  <c r="H41" i="34"/>
  <c r="U41" i="34" s="1"/>
  <c r="J41" i="34"/>
  <c r="F10" i="35"/>
  <c r="S10" i="35" s="1"/>
  <c r="F24" i="35"/>
  <c r="H24" i="35"/>
  <c r="AB24" i="35" s="1"/>
  <c r="H23" i="37"/>
  <c r="J32" i="37"/>
  <c r="AC32" i="37" s="1"/>
  <c r="F36" i="37"/>
  <c r="AA36" i="37" s="1"/>
  <c r="F37" i="37"/>
  <c r="AA37" i="37" s="1"/>
  <c r="F31" i="40"/>
  <c r="AA31" i="40" s="1"/>
  <c r="H31" i="40"/>
  <c r="U31" i="40" s="1"/>
  <c r="F32" i="40"/>
  <c r="S32" i="40" s="1"/>
  <c r="J36" i="40"/>
  <c r="W36" i="40" s="1"/>
  <c r="H19" i="37"/>
  <c r="H42" i="33"/>
  <c r="AB42" i="33"/>
  <c r="J43" i="33"/>
  <c r="AC43" i="33" s="1"/>
  <c r="U43" i="33"/>
  <c r="S28" i="31"/>
  <c r="S27" i="31"/>
  <c r="S26" i="31"/>
  <c r="U14" i="40"/>
  <c r="W23" i="35"/>
  <c r="U33" i="37"/>
  <c r="W26" i="37"/>
  <c r="W47" i="34"/>
  <c r="W37" i="34"/>
  <c r="AB3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AB9" i="37" s="1"/>
  <c r="F9" i="37"/>
  <c r="S9" i="37"/>
  <c r="H12" i="37"/>
  <c r="U12" i="37" s="1"/>
  <c r="F15" i="37"/>
  <c r="E94" i="37"/>
  <c r="F31" i="37"/>
  <c r="S31" i="37" s="1"/>
  <c r="F12" i="39"/>
  <c r="S12" i="39"/>
  <c r="J42" i="39"/>
  <c r="AC42" i="39"/>
  <c r="H21" i="40"/>
  <c r="AB21" i="40" s="1"/>
  <c r="F94" i="37"/>
  <c r="G94" i="37" s="1"/>
  <c r="H94" i="37" s="1"/>
  <c r="I94" i="37" s="1"/>
  <c r="J94" i="37" s="1"/>
  <c r="K94" i="37" s="1"/>
  <c r="L94" i="37" s="1"/>
  <c r="M94" i="37" s="1"/>
  <c r="H31" i="37"/>
  <c r="U31" i="37" s="1"/>
  <c r="F71" i="37"/>
  <c r="G71" i="37" s="1"/>
  <c r="J15" i="37"/>
  <c r="W15" i="37" s="1"/>
  <c r="AT6" i="3"/>
  <c r="AA25" i="21"/>
  <c r="C12" i="43"/>
  <c r="H19" i="40"/>
  <c r="F88" i="40"/>
  <c r="G88" i="40" s="1"/>
  <c r="F19" i="40"/>
  <c r="S19" i="40" s="1"/>
  <c r="AC13" i="40"/>
  <c r="AB33" i="40"/>
  <c r="W23" i="39"/>
  <c r="AC43" i="39"/>
  <c r="AB44" i="39"/>
  <c r="U44" i="39"/>
  <c r="G101" i="39"/>
  <c r="H37" i="39"/>
  <c r="AB37" i="39" s="1"/>
  <c r="AC37" i="39"/>
  <c r="W37" i="39"/>
  <c r="H25" i="39"/>
  <c r="AB25" i="39" s="1"/>
  <c r="J25" i="39"/>
  <c r="F25" i="39"/>
  <c r="F15" i="39"/>
  <c r="AA15" i="39" s="1"/>
  <c r="H15" i="39"/>
  <c r="J15" i="39"/>
  <c r="W15" i="39"/>
  <c r="H41" i="39"/>
  <c r="W27" i="39"/>
  <c r="U40"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A2" i="9"/>
  <c r="F59" i="43"/>
  <c r="H61" i="43" s="1"/>
  <c r="BL549" i="3"/>
  <c r="AZ502"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BL160" i="3"/>
  <c r="AZ160" i="3" s="1"/>
  <c r="G161" i="3"/>
  <c r="BA163" i="3"/>
  <c r="BL164" i="3"/>
  <c r="G165" i="3"/>
  <c r="BA167" i="3"/>
  <c r="BL168" i="3"/>
  <c r="G169" i="3"/>
  <c r="BA171" i="3"/>
  <c r="BL172" i="3"/>
  <c r="G173" i="3"/>
  <c r="BA175" i="3"/>
  <c r="BL176" i="3"/>
  <c r="AZ176" i="3" s="1"/>
  <c r="G177" i="3"/>
  <c r="BA179" i="3"/>
  <c r="BL180" i="3"/>
  <c r="G181" i="3"/>
  <c r="BA183" i="3"/>
  <c r="AZ183" i="3" s="1"/>
  <c r="BL184" i="3"/>
  <c r="G185" i="3"/>
  <c r="BA187" i="3"/>
  <c r="BL188" i="3"/>
  <c r="G189" i="3"/>
  <c r="BA191" i="3"/>
  <c r="BL192" i="3"/>
  <c r="G193" i="3"/>
  <c r="BA195" i="3"/>
  <c r="BL196" i="3"/>
  <c r="G197" i="3"/>
  <c r="BA199" i="3"/>
  <c r="BL200" i="3"/>
  <c r="G201" i="3"/>
  <c r="BA203" i="3"/>
  <c r="BL204" i="3"/>
  <c r="AZ55"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AZ321" i="3" s="1"/>
  <c r="G322" i="3"/>
  <c r="G325" i="3"/>
  <c r="BL326" i="3"/>
  <c r="BA328" i="3"/>
  <c r="BA329" i="3"/>
  <c r="BL329" i="3"/>
  <c r="AZ329" i="3" s="1"/>
  <c r="G330" i="3"/>
  <c r="G333" i="3"/>
  <c r="BL334" i="3"/>
  <c r="BA336" i="3"/>
  <c r="BA337" i="3"/>
  <c r="AZ337" i="3" s="1"/>
  <c r="BL337" i="3"/>
  <c r="G338" i="3"/>
  <c r="G341" i="3"/>
  <c r="BA342" i="3"/>
  <c r="BL342" i="3"/>
  <c r="AZ342" i="3" s="1"/>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G332" i="3"/>
  <c r="BA334" i="3"/>
  <c r="BL335" i="3"/>
  <c r="G336" i="3"/>
  <c r="BA338" i="3"/>
  <c r="AZ338" i="3" s="1"/>
  <c r="BL339" i="3"/>
  <c r="G340" i="3"/>
  <c r="BL343" i="3"/>
  <c r="G344" i="3"/>
  <c r="G348" i="3"/>
  <c r="G355" i="3"/>
  <c r="G342" i="3"/>
  <c r="BL345" i="3"/>
  <c r="AZ345" i="3" s="1"/>
  <c r="G346" i="3"/>
  <c r="BL349" i="3"/>
  <c r="AZ349" i="3" s="1"/>
  <c r="BL352" i="3"/>
  <c r="G353" i="3"/>
  <c r="BA357" i="3"/>
  <c r="BL358" i="3"/>
  <c r="AZ358" i="3" s="1"/>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AZ391" i="3" s="1"/>
  <c r="BL392" i="3"/>
  <c r="G393" i="3"/>
  <c r="BM5" i="3"/>
  <c r="BH5" i="3"/>
  <c r="BD5" i="3"/>
  <c r="AZ506" i="3"/>
  <c r="G548" i="3"/>
  <c r="G538" i="3"/>
  <c r="G520" i="3"/>
  <c r="G502" i="3"/>
  <c r="BS5" i="3"/>
  <c r="BN5" i="3"/>
  <c r="BI5" i="3"/>
  <c r="G17" i="3"/>
  <c r="BA17" i="3"/>
  <c r="BT5" i="3"/>
  <c r="BA15" i="3"/>
  <c r="AZ380" i="3"/>
  <c r="AZ384" i="3"/>
  <c r="G509" i="3"/>
  <c r="BL493" i="3"/>
  <c r="AZ493" i="3" s="1"/>
  <c r="U36" i="40"/>
  <c r="F36" i="43"/>
  <c r="F81" i="43"/>
  <c r="H113" i="43"/>
  <c r="F48" i="43"/>
  <c r="F70" i="43"/>
  <c r="M11" i="43"/>
  <c r="D17" i="43"/>
  <c r="F39" i="43"/>
  <c r="I17" i="43"/>
  <c r="F35" i="43"/>
  <c r="J17" i="43"/>
  <c r="F6" i="1"/>
  <c r="U17" i="39"/>
  <c r="S14" i="35"/>
  <c r="U35" i="21"/>
  <c r="AC35" i="21"/>
  <c r="U10" i="21"/>
  <c r="G8" i="1"/>
  <c r="G9" i="1"/>
  <c r="G10" i="1"/>
  <c r="AC11" i="39"/>
  <c r="AZ501" i="3"/>
  <c r="W37" i="37"/>
  <c r="W44" i="34"/>
  <c r="AC44" i="34"/>
  <c r="U13" i="37"/>
  <c r="AA12" i="40"/>
  <c r="J37" i="33"/>
  <c r="W37" i="33"/>
  <c r="AC17" i="34"/>
  <c r="F106" i="33"/>
  <c r="G106" i="33" s="1"/>
  <c r="H106" i="33" s="1"/>
  <c r="I106" i="33" s="1"/>
  <c r="J106" i="33" s="1"/>
  <c r="K106" i="33" s="1"/>
  <c r="L106" i="33" s="1"/>
  <c r="M106" i="33" s="1"/>
  <c r="J34" i="33"/>
  <c r="W34" i="33" s="1"/>
  <c r="F33" i="34"/>
  <c r="S33" i="34" s="1"/>
  <c r="H20" i="36"/>
  <c r="U20" i="36" s="1"/>
  <c r="J20" i="36"/>
  <c r="J27" i="36"/>
  <c r="AC33" i="40"/>
  <c r="F111" i="40"/>
  <c r="G111" i="40" s="1"/>
  <c r="H111" i="40" s="1"/>
  <c r="I111" i="40" s="1"/>
  <c r="J111" i="40" s="1"/>
  <c r="K111" i="40" s="1"/>
  <c r="L111" i="40" s="1"/>
  <c r="M111" i="40" s="1"/>
  <c r="H35" i="40"/>
  <c r="AC29" i="35"/>
  <c r="H35" i="37"/>
  <c r="U35" i="37" s="1"/>
  <c r="AC14" i="35"/>
  <c r="H20" i="35"/>
  <c r="U20" i="35" s="1"/>
  <c r="F20" i="35"/>
  <c r="AA20" i="35" s="1"/>
  <c r="AB23" i="35"/>
  <c r="AB29" i="36"/>
  <c r="H32" i="37"/>
  <c r="U32" i="37" s="1"/>
  <c r="H27" i="40"/>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F97" i="39"/>
  <c r="G97" i="39" s="1"/>
  <c r="C40" i="11"/>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H23" i="39"/>
  <c r="D48" i="9"/>
  <c r="M52" i="9" s="1"/>
  <c r="H82" i="43"/>
  <c r="K9" i="1"/>
  <c r="M9" i="1" s="1"/>
  <c r="AE9" i="1"/>
  <c r="D93" i="9"/>
  <c r="K6" i="1"/>
  <c r="M6" i="1" s="1"/>
  <c r="O6" i="1" s="1"/>
  <c r="P6" i="1" s="1"/>
  <c r="AC12" i="39"/>
  <c r="W12" i="39"/>
  <c r="AA32" i="36"/>
  <c r="S32" i="36"/>
  <c r="BL14" i="3"/>
  <c r="AC13" i="34"/>
  <c r="S19" i="39"/>
  <c r="F12" i="33"/>
  <c r="H12" i="39"/>
  <c r="U12" i="39" s="1"/>
  <c r="AB12" i="39"/>
  <c r="S12" i="1"/>
  <c r="AR12" i="1" s="1"/>
  <c r="R12" i="1"/>
  <c r="B12" i="1"/>
  <c r="E12" i="1"/>
  <c r="S10" i="1"/>
  <c r="AQ10" i="1" s="1"/>
  <c r="R10" i="1"/>
  <c r="B10" i="1"/>
  <c r="E10" i="1"/>
  <c r="K12" i="1"/>
  <c r="M12" i="1" s="1"/>
  <c r="S13" i="1"/>
  <c r="AR13" i="1" s="1"/>
  <c r="R13" i="1"/>
  <c r="S11" i="1"/>
  <c r="T11" i="1" s="1"/>
  <c r="R11" i="1"/>
  <c r="S9" i="1"/>
  <c r="AQ9" i="1" s="1"/>
  <c r="R9" i="1"/>
  <c r="J51" i="67"/>
  <c r="C42" i="1"/>
  <c r="H100" i="43"/>
  <c r="C30" i="66"/>
  <c r="B41" i="1"/>
  <c r="J100" i="43"/>
  <c r="AB37" i="40"/>
  <c r="S35" i="40"/>
  <c r="AC36" i="40"/>
  <c r="W38" i="40"/>
  <c r="AA32" i="40"/>
  <c r="S17" i="40"/>
  <c r="S23" i="40"/>
  <c r="AC15" i="40"/>
  <c r="AA19" i="40"/>
  <c r="U21" i="40"/>
  <c r="W42" i="39"/>
  <c r="S43" i="39"/>
  <c r="S37" i="39"/>
  <c r="U35" i="39"/>
  <c r="F32" i="39"/>
  <c r="F107" i="39"/>
  <c r="G107" i="39" s="1"/>
  <c r="H107" i="39" s="1"/>
  <c r="I107" i="39" s="1"/>
  <c r="J107" i="39" s="1"/>
  <c r="K107" i="39" s="1"/>
  <c r="L107" i="39" s="1"/>
  <c r="M107" i="39" s="1"/>
  <c r="U25" i="39"/>
  <c r="U31" i="39"/>
  <c r="J21" i="39"/>
  <c r="W21" i="39" s="1"/>
  <c r="F21" i="39"/>
  <c r="G95" i="39"/>
  <c r="H21" i="39"/>
  <c r="U21" i="39" s="1"/>
  <c r="W19" i="39"/>
  <c r="U19" i="39"/>
  <c r="S17" i="39"/>
  <c r="AC15" i="39"/>
  <c r="S15" i="39"/>
  <c r="AA12" i="39"/>
  <c r="S9" i="39"/>
  <c r="U14" i="39"/>
  <c r="AC13" i="39"/>
  <c r="U13" i="36"/>
  <c r="U26" i="36"/>
  <c r="S27" i="36"/>
  <c r="AA26" i="36"/>
  <c r="AA34" i="36"/>
  <c r="S29" i="36"/>
  <c r="AC26" i="36"/>
  <c r="W14" i="36"/>
  <c r="AB14" i="36"/>
  <c r="U22" i="36"/>
  <c r="S16" i="36"/>
  <c r="AA25" i="36"/>
  <c r="U23" i="36"/>
  <c r="AB20" i="36"/>
  <c r="U16" i="36"/>
  <c r="S14" i="36"/>
  <c r="U10" i="36"/>
  <c r="W10" i="36"/>
  <c r="AA25" i="35"/>
  <c r="S23" i="35"/>
  <c r="W24" i="35"/>
  <c r="AB13" i="35"/>
  <c r="U29" i="35"/>
  <c r="U28" i="35"/>
  <c r="AB27" i="35"/>
  <c r="U36" i="35"/>
  <c r="AA33" i="35"/>
  <c r="AC30" i="35"/>
  <c r="S32" i="35"/>
  <c r="AA36" i="35"/>
  <c r="W32" i="35"/>
  <c r="S28" i="35"/>
  <c r="AB16" i="35"/>
  <c r="S20" i="35"/>
  <c r="AC20" i="35"/>
  <c r="S22" i="35"/>
  <c r="AC10" i="35"/>
  <c r="AA10" i="35"/>
  <c r="AB10" i="35"/>
  <c r="AA11" i="35"/>
  <c r="S8" i="35"/>
  <c r="AC9" i="35"/>
  <c r="W9" i="35"/>
  <c r="F9" i="35"/>
  <c r="S9" i="35" s="1"/>
  <c r="H9" i="35"/>
  <c r="F26" i="35"/>
  <c r="J26" i="35"/>
  <c r="H26" i="35"/>
  <c r="U26" i="35" s="1"/>
  <c r="W27" i="37"/>
  <c r="AC29" i="37"/>
  <c r="AB31" i="37"/>
  <c r="S36" i="37"/>
  <c r="W38" i="37"/>
  <c r="AC35" i="37"/>
  <c r="S37" i="37"/>
  <c r="AC15" i="37"/>
  <c r="J17" i="37"/>
  <c r="W17" i="37" s="1"/>
  <c r="G73" i="37"/>
  <c r="F17" i="37"/>
  <c r="F75" i="37"/>
  <c r="G75" i="37" s="1"/>
  <c r="F19" i="37"/>
  <c r="S19" i="37" s="1"/>
  <c r="F79" i="37"/>
  <c r="F23" i="37"/>
  <c r="S23" i="37"/>
  <c r="U15" i="37"/>
  <c r="AC13" i="37"/>
  <c r="U9" i="37"/>
  <c r="AA13" i="37"/>
  <c r="AA9" i="37"/>
  <c r="H10" i="37"/>
  <c r="U10" i="37" s="1"/>
  <c r="F63" i="37"/>
  <c r="F11" i="37"/>
  <c r="S11" i="37"/>
  <c r="W25" i="34"/>
  <c r="AB8" i="34"/>
  <c r="AA33" i="34"/>
  <c r="AC39" i="34"/>
  <c r="AC42" i="34"/>
  <c r="AB35" i="34"/>
  <c r="U39" i="34"/>
  <c r="AB41" i="34"/>
  <c r="AA45" i="34"/>
  <c r="AA25" i="34"/>
  <c r="S17" i="34"/>
  <c r="S23" i="34"/>
  <c r="U15" i="34"/>
  <c r="S10" i="34"/>
  <c r="H67" i="34"/>
  <c r="I67" i="34" s="1"/>
  <c r="H10" i="34"/>
  <c r="U10" i="34" s="1"/>
  <c r="F11"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AA37" i="33"/>
  <c r="F101" i="33"/>
  <c r="G101" i="33" s="1"/>
  <c r="H101" i="33" s="1"/>
  <c r="I101" i="33" s="1"/>
  <c r="J101" i="33" s="1"/>
  <c r="K101" i="33" s="1"/>
  <c r="L101" i="33" s="1"/>
  <c r="M101" i="33" s="1"/>
  <c r="J32" i="33"/>
  <c r="S43" i="33"/>
  <c r="F91" i="33"/>
  <c r="H27" i="33"/>
  <c r="AB27" i="33" s="1"/>
  <c r="H25" i="33"/>
  <c r="U25" i="33" s="1"/>
  <c r="F25" i="33"/>
  <c r="S25" i="33" s="1"/>
  <c r="J23" i="33"/>
  <c r="W23" i="33" s="1"/>
  <c r="F85" i="33"/>
  <c r="H23" i="33"/>
  <c r="F19" i="33"/>
  <c r="W19" i="33"/>
  <c r="J17" i="33"/>
  <c r="AC17" i="33" s="1"/>
  <c r="F79" i="33"/>
  <c r="G79" i="33" s="1"/>
  <c r="S15" i="33"/>
  <c r="I66" i="33"/>
  <c r="J10" i="33"/>
  <c r="H10" i="33"/>
  <c r="AA10" i="33"/>
  <c r="AB14" i="33"/>
  <c r="W43" i="21"/>
  <c r="W36" i="21"/>
  <c r="W41" i="21"/>
  <c r="AB39" i="21"/>
  <c r="S39" i="21"/>
  <c r="AA38" i="21"/>
  <c r="AA36" i="21"/>
  <c r="J15" i="21"/>
  <c r="F77" i="21"/>
  <c r="G77" i="21" s="1"/>
  <c r="F23" i="21"/>
  <c r="S23" i="21" s="1"/>
  <c r="E85" i="21"/>
  <c r="F85" i="21" s="1"/>
  <c r="G85" i="21" s="1"/>
  <c r="AC11" i="21"/>
  <c r="AB8" i="21"/>
  <c r="S8" i="21"/>
  <c r="M3" i="43"/>
  <c r="M1" i="43"/>
  <c r="N8" i="43"/>
  <c r="D120" i="9"/>
  <c r="D121" i="9" s="1"/>
  <c r="D7" i="52" s="1"/>
  <c r="C18" i="9"/>
  <c r="D18" i="9" s="1"/>
  <c r="F34" i="67"/>
  <c r="F62" i="67" s="1"/>
  <c r="M20" i="67"/>
  <c r="F34" i="15"/>
  <c r="F62" i="15" s="1"/>
  <c r="G13" i="3"/>
  <c r="BA13" i="3"/>
  <c r="AZ13" i="3" s="1"/>
  <c r="BL17" i="3"/>
  <c r="AZ17" i="3" s="1"/>
  <c r="BL13" i="3"/>
  <c r="J56" i="9"/>
  <c r="J57" i="9" s="1"/>
  <c r="J59" i="9" s="1"/>
  <c r="J61" i="9" s="1"/>
  <c r="A24" i="51"/>
  <c r="B18" i="72" s="1"/>
  <c r="U29" i="34"/>
  <c r="E5" i="6"/>
  <c r="E32" i="6"/>
  <c r="L19" i="6"/>
  <c r="G1" i="68"/>
  <c r="K1" i="12"/>
  <c r="T12" i="1"/>
  <c r="E19" i="69"/>
  <c r="E19" i="68"/>
  <c r="E19" i="11"/>
  <c r="E1" i="73"/>
  <c r="G22" i="69"/>
  <c r="G22" i="68"/>
  <c r="G26" i="12"/>
  <c r="G22" i="11"/>
  <c r="C100" i="43"/>
  <c r="E11" i="43"/>
  <c r="E10" i="43"/>
  <c r="E9" i="43"/>
  <c r="E8" i="43"/>
  <c r="E81" i="43"/>
  <c r="B79" i="43" s="1"/>
  <c r="E48" i="43"/>
  <c r="B46" i="43" s="1"/>
  <c r="E70" i="43"/>
  <c r="B68" i="43" s="1"/>
  <c r="F100" i="43"/>
  <c r="H17" i="43"/>
  <c r="G6" i="1"/>
  <c r="H81" i="43"/>
  <c r="H88" i="43"/>
  <c r="H78"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3" i="43"/>
  <c r="H55" i="43"/>
  <c r="H72" i="43"/>
  <c r="L20" i="6"/>
  <c r="B6" i="1"/>
  <c r="E6" i="1" s="1"/>
  <c r="S8" i="1"/>
  <c r="K11" i="1"/>
  <c r="M11" i="1" s="1"/>
  <c r="AP6" i="1"/>
  <c r="B9" i="1"/>
  <c r="E9" i="1" s="1"/>
  <c r="K7" i="1"/>
  <c r="M7" i="1" s="1"/>
  <c r="G1" i="15"/>
  <c r="G1" i="69"/>
  <c r="G1" i="67"/>
  <c r="W23" i="40"/>
  <c r="AB31" i="40"/>
  <c r="S37" i="40"/>
  <c r="AB28" i="40"/>
  <c r="W34" i="40"/>
  <c r="W19" i="40"/>
  <c r="W27" i="40"/>
  <c r="S36" i="40"/>
  <c r="W37" i="40"/>
  <c r="S13" i="40"/>
  <c r="AA15" i="40"/>
  <c r="U11" i="40"/>
  <c r="S31" i="40"/>
  <c r="U15" i="40"/>
  <c r="AB17" i="40"/>
  <c r="U8" i="40"/>
  <c r="S8" i="40"/>
  <c r="AA39" i="39"/>
  <c r="U42" i="39"/>
  <c r="U41" i="39"/>
  <c r="AB41" i="39"/>
  <c r="W25" i="39"/>
  <c r="AC25" i="39"/>
  <c r="U13" i="39"/>
  <c r="AA13" i="39"/>
  <c r="S13" i="39"/>
  <c r="S14" i="39"/>
  <c r="U43" i="39"/>
  <c r="AB11" i="39"/>
  <c r="U11" i="39"/>
  <c r="AA27" i="39"/>
  <c r="S27" i="39"/>
  <c r="W17" i="39"/>
  <c r="AC17" i="39"/>
  <c r="W31" i="39"/>
  <c r="AC31" i="39"/>
  <c r="S23" i="39"/>
  <c r="AB39" i="39"/>
  <c r="U38" i="39"/>
  <c r="S8" i="39"/>
  <c r="S20" i="36"/>
  <c r="S28" i="36"/>
  <c r="W29" i="36"/>
  <c r="U25" i="36"/>
  <c r="AB28" i="36"/>
  <c r="AA13" i="36"/>
  <c r="W22" i="36"/>
  <c r="AB20" i="35"/>
  <c r="AC25" i="35"/>
  <c r="U25" i="35"/>
  <c r="W33" i="35"/>
  <c r="U24" i="35"/>
  <c r="S35" i="35"/>
  <c r="W35" i="35"/>
  <c r="AA16" i="35"/>
  <c r="AA35" i="37"/>
  <c r="S27" i="37"/>
  <c r="W32" i="37"/>
  <c r="U36" i="37"/>
  <c r="U38" i="37"/>
  <c r="S33" i="37"/>
  <c r="AC34" i="37"/>
  <c r="AB35" i="37"/>
  <c r="AA11" i="37"/>
  <c r="AA31" i="37"/>
  <c r="AA29" i="37"/>
  <c r="U8" i="37"/>
  <c r="AB40" i="34"/>
  <c r="U19" i="34"/>
  <c r="W19" i="34"/>
  <c r="AC45" i="34"/>
  <c r="AA31" i="34"/>
  <c r="AA30" i="34"/>
  <c r="AB47" i="34"/>
  <c r="U25" i="34"/>
  <c r="AB36" i="34"/>
  <c r="AC14" i="34"/>
  <c r="AC32" i="34"/>
  <c r="AC29" i="34"/>
  <c r="W29" i="34"/>
  <c r="AC46" i="34"/>
  <c r="S32" i="34"/>
  <c r="AA32" i="34"/>
  <c r="U30" i="34"/>
  <c r="AB30" i="34"/>
  <c r="S37" i="34"/>
  <c r="U38" i="34"/>
  <c r="AC40" i="34"/>
  <c r="W40" i="34"/>
  <c r="AA19" i="34"/>
  <c r="S19" i="34"/>
  <c r="AA36" i="34"/>
  <c r="S36" i="34"/>
  <c r="AA8" i="34"/>
  <c r="S8" i="34"/>
  <c r="S46" i="34"/>
  <c r="AA46" i="34"/>
  <c r="AB32" i="34"/>
  <c r="AB14" i="34"/>
  <c r="AC43" i="34"/>
  <c r="W43" i="34"/>
  <c r="W23" i="34"/>
  <c r="AC23" i="34"/>
  <c r="AC35" i="34"/>
  <c r="AC37" i="33"/>
  <c r="W46" i="33"/>
  <c r="U39" i="33"/>
  <c r="U38" i="33"/>
  <c r="S33" i="33"/>
  <c r="AB34" i="33"/>
  <c r="U44" i="33"/>
  <c r="AB44" i="33"/>
  <c r="AA30" i="33"/>
  <c r="AC14" i="33"/>
  <c r="W14" i="33"/>
  <c r="AC30" i="33"/>
  <c r="W30" i="33"/>
  <c r="S31" i="33"/>
  <c r="AA31" i="33"/>
  <c r="W13" i="33"/>
  <c r="AC13" i="33"/>
  <c r="S11" i="33"/>
  <c r="U37" i="33"/>
  <c r="AC28" i="33"/>
  <c r="W8" i="33"/>
  <c r="AB42" i="21"/>
  <c r="U28" i="21"/>
  <c r="AA11" i="21"/>
  <c r="S45" i="21"/>
  <c r="I101" i="21"/>
  <c r="J101" i="21" s="1"/>
  <c r="K101" i="21" s="1"/>
  <c r="L101" i="21" s="1"/>
  <c r="M101" i="21" s="1"/>
  <c r="F33" i="21"/>
  <c r="AA33" i="21" s="1"/>
  <c r="J33" i="21"/>
  <c r="H33" i="21"/>
  <c r="AB33" i="21" s="1"/>
  <c r="F37" i="21"/>
  <c r="AA37" i="21" s="1"/>
  <c r="AA26" i="21"/>
  <c r="AB14" i="21"/>
  <c r="U40" i="21"/>
  <c r="AB31" i="21"/>
  <c r="U31" i="21"/>
  <c r="U13" i="21"/>
  <c r="W8" i="21"/>
  <c r="AB37" i="21"/>
  <c r="J37" i="21"/>
  <c r="W37" i="21" s="1"/>
  <c r="H15" i="21"/>
  <c r="U15" i="21" s="1"/>
  <c r="J17" i="21"/>
  <c r="AC17" i="21" s="1"/>
  <c r="AC19" i="21"/>
  <c r="H45" i="21"/>
  <c r="U45" i="21" s="1"/>
  <c r="F29" i="21"/>
  <c r="S29" i="21" s="1"/>
  <c r="F13" i="21"/>
  <c r="AA13" i="21"/>
  <c r="H32" i="21"/>
  <c r="U32" i="21" s="1"/>
  <c r="H9" i="21"/>
  <c r="AB9" i="21" s="1"/>
  <c r="J9" i="21"/>
  <c r="J32" i="21"/>
  <c r="W32" i="21" s="1"/>
  <c r="F32" i="21"/>
  <c r="S32" i="21" s="1"/>
  <c r="U17" i="21"/>
  <c r="W29" i="21"/>
  <c r="S19" i="21"/>
  <c r="S9" i="21"/>
  <c r="AA9" i="21"/>
  <c r="K141" i="21"/>
  <c r="K144" i="21"/>
  <c r="K143" i="21"/>
  <c r="U27" i="21"/>
  <c r="AB25" i="21"/>
  <c r="AB44" i="21"/>
  <c r="AA30" i="21"/>
  <c r="W13" i="21"/>
  <c r="W42" i="21"/>
  <c r="AC45" i="21"/>
  <c r="F10" i="21"/>
  <c r="AA10" i="21" s="1"/>
  <c r="K145" i="21"/>
  <c r="W25" i="21"/>
  <c r="W31" i="21"/>
  <c r="S27"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S39" i="40"/>
  <c r="J32" i="39"/>
  <c r="W32" i="39" s="1"/>
  <c r="H32" i="39"/>
  <c r="AA32" i="39"/>
  <c r="S32" i="39"/>
  <c r="AB21" i="39"/>
  <c r="AA21" i="39"/>
  <c r="S21" i="39"/>
  <c r="AC21" i="39"/>
  <c r="U9" i="35"/>
  <c r="AB9" i="35"/>
  <c r="AA9" i="35"/>
  <c r="AC26" i="35"/>
  <c r="W26" i="35"/>
  <c r="AB26" i="35"/>
  <c r="AC17" i="37"/>
  <c r="J19" i="37"/>
  <c r="W19" i="37" s="1"/>
  <c r="AA23" i="37"/>
  <c r="J23" i="37"/>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U27" i="33"/>
  <c r="G91" i="33"/>
  <c r="H91" i="33"/>
  <c r="I91" i="33" s="1"/>
  <c r="J91" i="33" s="1"/>
  <c r="K91" i="33" s="1"/>
  <c r="L91" i="33" s="1"/>
  <c r="M91" i="33" s="1"/>
  <c r="J27" i="33"/>
  <c r="W27" i="33" s="1"/>
  <c r="G87" i="33"/>
  <c r="H87" i="33" s="1"/>
  <c r="I87" i="33" s="1"/>
  <c r="J87" i="33" s="1"/>
  <c r="K87" i="33" s="1"/>
  <c r="L87" i="33" s="1"/>
  <c r="M87" i="33" s="1"/>
  <c r="J25" i="33"/>
  <c r="W25" i="33" s="1"/>
  <c r="F23" i="33"/>
  <c r="AA23" i="33" s="1"/>
  <c r="G85" i="33"/>
  <c r="AC23" i="33"/>
  <c r="H19" i="33"/>
  <c r="AB19" i="33" s="1"/>
  <c r="H17" i="33"/>
  <c r="AB17" i="33" s="1"/>
  <c r="F17" i="33"/>
  <c r="AA17" i="33" s="1"/>
  <c r="W17" i="33"/>
  <c r="U10" i="33"/>
  <c r="AB10" i="33"/>
  <c r="AA23" i="21"/>
  <c r="J23" i="21"/>
  <c r="AC23" i="21" s="1"/>
  <c r="H23" i="21"/>
  <c r="S13" i="21"/>
  <c r="AR8" i="1"/>
  <c r="AP7" i="1"/>
  <c r="AB45" i="21"/>
  <c r="S33" i="21"/>
  <c r="U9" i="21"/>
  <c r="AA32" i="21"/>
  <c r="AB32" i="21"/>
  <c r="A18" i="62"/>
  <c r="B64" i="72" s="1"/>
  <c r="AC32" i="39"/>
  <c r="W23" i="37"/>
  <c r="AC23" i="37"/>
  <c r="U11" i="37"/>
  <c r="J11" i="37"/>
  <c r="AC11" i="37" s="1"/>
  <c r="U11" i="34"/>
  <c r="J11" i="34"/>
  <c r="AC11" i="34" s="1"/>
  <c r="AC36" i="33"/>
  <c r="W36" i="33"/>
  <c r="AC25" i="33"/>
  <c r="S17" i="33"/>
  <c r="U17" i="33"/>
  <c r="M18" i="9"/>
  <c r="B118" i="9" s="1"/>
  <c r="B14" i="74" s="1"/>
  <c r="B1" i="74" s="1"/>
  <c r="W11" i="37"/>
  <c r="R7" i="1"/>
  <c r="F34" i="11"/>
  <c r="F11" i="12"/>
  <c r="C23" i="12" s="1"/>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F7" i="73"/>
  <c r="AO9" i="1"/>
  <c r="F42" i="15"/>
  <c r="F16" i="15"/>
  <c r="E7" i="76"/>
  <c r="E12" i="76"/>
  <c r="F13" i="67"/>
  <c r="E13" i="76"/>
  <c r="F20" i="31"/>
  <c r="B9" i="76"/>
  <c r="M8" i="15"/>
  <c r="L48" i="15"/>
  <c r="B10" i="76"/>
  <c r="B13" i="76"/>
  <c r="D9" i="68"/>
  <c r="F36" i="15"/>
  <c r="M24" i="15"/>
  <c r="M23" i="15"/>
  <c r="D3" i="73"/>
  <c r="C36" i="69"/>
  <c r="M9" i="15"/>
  <c r="D7" i="73"/>
  <c r="E10" i="76"/>
  <c r="E11" i="76"/>
  <c r="F4" i="73"/>
  <c r="M26" i="15"/>
  <c r="M6" i="67"/>
  <c r="M28" i="15"/>
  <c r="B12" i="76"/>
  <c r="D2" i="35"/>
  <c r="AO13" i="1"/>
  <c r="F6" i="73"/>
  <c r="D2" i="21"/>
  <c r="D2" i="33"/>
  <c r="F5" i="73"/>
  <c r="F6" i="15"/>
  <c r="B8" i="76"/>
  <c r="D2" i="34"/>
  <c r="AO11" i="1"/>
  <c r="AO8" i="1"/>
  <c r="AO7" i="1"/>
  <c r="E8" i="76"/>
  <c r="M29" i="15"/>
  <c r="AO10" i="1"/>
  <c r="D2" i="36"/>
  <c r="E9" i="76"/>
  <c r="F7" i="15"/>
  <c r="B11" i="76"/>
  <c r="F38" i="15"/>
  <c r="D2" i="37"/>
  <c r="F3" i="73"/>
  <c r="D9" i="69"/>
  <c r="B7" i="76"/>
  <c r="AO12" i="1"/>
  <c r="F13" i="15"/>
  <c r="E2" i="68"/>
  <c r="E2" i="69"/>
  <c r="T10" i="1" l="1"/>
  <c r="AQ12" i="1"/>
  <c r="BA14" i="3"/>
  <c r="T13" i="1"/>
  <c r="L27" i="6"/>
  <c r="BP5" i="3"/>
  <c r="G29" i="6" s="1"/>
  <c r="BK5" i="3"/>
  <c r="BG5" i="3"/>
  <c r="U23" i="2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BA516" i="3"/>
  <c r="AZ516" i="3" s="1"/>
  <c r="BA498" i="3"/>
  <c r="BL410" i="3"/>
  <c r="BL587" i="3"/>
  <c r="AZ587" i="3" s="1"/>
  <c r="BA583" i="3"/>
  <c r="AZ583" i="3" s="1"/>
  <c r="BA580" i="3"/>
  <c r="G578" i="3"/>
  <c r="BA571" i="3"/>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AZ417" i="3" s="1"/>
  <c r="BL417" i="3"/>
  <c r="G418" i="3"/>
  <c r="G420" i="3"/>
  <c r="BA421" i="3"/>
  <c r="BA422" i="3"/>
  <c r="BL422" i="3"/>
  <c r="BL424" i="3"/>
  <c r="G425" i="3"/>
  <c r="G426" i="3"/>
  <c r="BL426" i="3"/>
  <c r="BA429" i="3"/>
  <c r="BL429" i="3"/>
  <c r="G430" i="3"/>
  <c r="BL430" i="3"/>
  <c r="BA432" i="3"/>
  <c r="BL432" i="3"/>
  <c r="G433" i="3"/>
  <c r="BA434" i="3"/>
  <c r="AZ434" i="3" s="1"/>
  <c r="BL434" i="3"/>
  <c r="G435" i="3"/>
  <c r="BL436" i="3"/>
  <c r="G437" i="3"/>
  <c r="G439" i="3"/>
  <c r="BA440" i="3"/>
  <c r="BA441" i="3"/>
  <c r="BA442" i="3"/>
  <c r="AZ442" i="3" s="1"/>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AZ446" i="3"/>
  <c r="BL446" i="3"/>
  <c r="BA467" i="3"/>
  <c r="BL468" i="3"/>
  <c r="BL470" i="3"/>
  <c r="BL473" i="3"/>
  <c r="BA478" i="3"/>
  <c r="AZ478" i="3" s="1"/>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AZ96" i="3" s="1"/>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AZ571" i="3"/>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Z498" i="3"/>
  <c r="AA25" i="33"/>
  <c r="AA19" i="37"/>
  <c r="AZ195" i="3"/>
  <c r="J12" i="35"/>
  <c r="AZ566" i="3"/>
  <c r="W14" i="39"/>
  <c r="AC29" i="33"/>
  <c r="H40" i="37"/>
  <c r="F40" i="37"/>
  <c r="AZ575" i="3"/>
  <c r="AZ572" i="3"/>
  <c r="AZ517" i="3"/>
  <c r="W11" i="34"/>
  <c r="AC9" i="37"/>
  <c r="AZ307" i="3"/>
  <c r="AZ364" i="3"/>
  <c r="AZ351" i="3"/>
  <c r="AZ567" i="3"/>
  <c r="AZ526" i="3"/>
  <c r="S14" i="37"/>
  <c r="AA14" i="37"/>
  <c r="U12" i="35"/>
  <c r="AB12" i="35"/>
  <c r="AA38" i="40"/>
  <c r="S38" i="40"/>
  <c r="S31" i="35"/>
  <c r="AA31" i="35"/>
  <c r="AZ580" i="3"/>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AA9" i="33"/>
  <c r="F9" i="34"/>
  <c r="G585" i="3"/>
  <c r="BL548" i="3"/>
  <c r="AZ548" i="3" s="1"/>
  <c r="BL577" i="3"/>
  <c r="AZ577" i="3" s="1"/>
  <c r="AZ495" i="3"/>
  <c r="W28" i="35"/>
  <c r="W40" i="39"/>
  <c r="H25" i="37"/>
  <c r="J25" i="37"/>
  <c r="G408" i="3"/>
  <c r="G409" i="3"/>
  <c r="BL435" i="3"/>
  <c r="BL438" i="3"/>
  <c r="G443" i="3"/>
  <c r="G445" i="3"/>
  <c r="G467" i="3"/>
  <c r="BL482" i="3"/>
  <c r="G488" i="3"/>
  <c r="BA332" i="3"/>
  <c r="AZ332" i="3" s="1"/>
  <c r="BA335" i="3"/>
  <c r="AZ335" i="3" s="1"/>
  <c r="BL348" i="3"/>
  <c r="AZ348" i="3" s="1"/>
  <c r="BL354" i="3"/>
  <c r="AZ354" i="3" s="1"/>
  <c r="BL226" i="3"/>
  <c r="AZ226" i="3" s="1"/>
  <c r="BL227" i="3"/>
  <c r="AZ227" i="3" s="1"/>
  <c r="BL255" i="3"/>
  <c r="BA292" i="3"/>
  <c r="AZ292" i="3" s="1"/>
  <c r="BA294" i="3"/>
  <c r="AZ294" i="3" s="1"/>
  <c r="BA295" i="3"/>
  <c r="AZ295" i="3" s="1"/>
  <c r="BA296" i="3"/>
  <c r="AZ296" i="3" s="1"/>
  <c r="BA297" i="3"/>
  <c r="AZ297" i="3" s="1"/>
  <c r="BL301" i="3"/>
  <c r="AZ301" i="3" s="1"/>
  <c r="BL115" i="3"/>
  <c r="AZ115" i="3" s="1"/>
  <c r="BL123" i="3"/>
  <c r="AZ123" i="3" s="1"/>
  <c r="BA129" i="3"/>
  <c r="BA158" i="3"/>
  <c r="BL195" i="3"/>
  <c r="BL199" i="3"/>
  <c r="AZ199" i="3" s="1"/>
  <c r="G207" i="3"/>
  <c r="BA400" i="3"/>
  <c r="AZ400" i="3" s="1"/>
  <c r="BA401" i="3"/>
  <c r="AZ401" i="3" s="1"/>
  <c r="BA402" i="3"/>
  <c r="BL404" i="3"/>
  <c r="BA419" i="3"/>
  <c r="BL421" i="3"/>
  <c r="BL440" i="3"/>
  <c r="BA456" i="3"/>
  <c r="AZ456" i="3" s="1"/>
  <c r="BA457" i="3"/>
  <c r="AZ457" i="3" s="1"/>
  <c r="BA458" i="3"/>
  <c r="BL460" i="3"/>
  <c r="BL462" i="3"/>
  <c r="G469" i="3"/>
  <c r="G471" i="3"/>
  <c r="BL484" i="3"/>
  <c r="AZ484" i="3" s="1"/>
  <c r="G490" i="3"/>
  <c r="BL350" i="3"/>
  <c r="AZ350" i="3" s="1"/>
  <c r="BA353" i="3"/>
  <c r="AZ353" i="3" s="1"/>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AZ435" i="3" s="1"/>
  <c r="BA436" i="3"/>
  <c r="AZ436" i="3" s="1"/>
  <c r="BA437" i="3"/>
  <c r="AZ437" i="3" s="1"/>
  <c r="BA438" i="3"/>
  <c r="BA439" i="3"/>
  <c r="AZ439" i="3" s="1"/>
  <c r="BL441" i="3"/>
  <c r="AZ441" i="3" s="1"/>
  <c r="G447" i="3"/>
  <c r="BL464" i="3"/>
  <c r="G473" i="3"/>
  <c r="BA483" i="3"/>
  <c r="AZ483" i="3" s="1"/>
  <c r="BL486" i="3"/>
  <c r="BA307" i="3"/>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AZ461" i="3" s="1"/>
  <c r="BA462" i="3"/>
  <c r="AZ462" i="3" s="1"/>
  <c r="BA463" i="3"/>
  <c r="AZ463" i="3" s="1"/>
  <c r="BL465" i="3"/>
  <c r="AZ465" i="3" s="1"/>
  <c r="G476" i="3"/>
  <c r="BA485" i="3"/>
  <c r="AZ485" i="3" s="1"/>
  <c r="G339" i="3"/>
  <c r="BL365" i="3"/>
  <c r="AZ365" i="3" s="1"/>
  <c r="BL208" i="3"/>
  <c r="AZ208" i="3" s="1"/>
  <c r="G218" i="3"/>
  <c r="G219" i="3"/>
  <c r="BA231" i="3"/>
  <c r="AZ231" i="3" s="1"/>
  <c r="BA232" i="3"/>
  <c r="AZ232" i="3" s="1"/>
  <c r="BA233" i="3"/>
  <c r="AZ233" i="3" s="1"/>
  <c r="BA234" i="3"/>
  <c r="AZ234" i="3" s="1"/>
  <c r="BA235" i="3"/>
  <c r="AZ235" i="3" s="1"/>
  <c r="BL237" i="3"/>
  <c r="AZ237" i="3" s="1"/>
  <c r="BL260" i="3"/>
  <c r="AZ260" i="3" s="1"/>
  <c r="BL261" i="3"/>
  <c r="G272" i="3"/>
  <c r="G273" i="3"/>
  <c r="G274" i="3"/>
  <c r="G275" i="3"/>
  <c r="G146" i="3"/>
  <c r="BL173" i="3"/>
  <c r="AZ173" i="3" s="1"/>
  <c r="BA196" i="3"/>
  <c r="AZ196" i="3" s="1"/>
  <c r="BL18" i="3"/>
  <c r="BA22" i="3"/>
  <c r="BA58" i="3"/>
  <c r="BA405" i="3"/>
  <c r="AZ405" i="3" s="1"/>
  <c r="BA406" i="3"/>
  <c r="BL409" i="3"/>
  <c r="G414" i="3"/>
  <c r="BL445" i="3"/>
  <c r="AZ445" i="3" s="1"/>
  <c r="BL467" i="3"/>
  <c r="BL469" i="3"/>
  <c r="BL488" i="3"/>
  <c r="BL363" i="3"/>
  <c r="AZ363" i="3" s="1"/>
  <c r="BL367" i="3"/>
  <c r="AZ367" i="3" s="1"/>
  <c r="BA397" i="3"/>
  <c r="AZ397" i="3" s="1"/>
  <c r="BL209" i="3"/>
  <c r="AZ209" i="3" s="1"/>
  <c r="G221" i="3"/>
  <c r="BL238" i="3"/>
  <c r="AZ238" i="3" s="1"/>
  <c r="BL239" i="3"/>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AZ408" i="3" s="1"/>
  <c r="BL425" i="3"/>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AZ266" i="3" s="1"/>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AZ52" i="3"/>
  <c r="BL15" i="3"/>
  <c r="AZ15" i="3" s="1"/>
  <c r="G399" i="3"/>
  <c r="BL411" i="3"/>
  <c r="BA424" i="3"/>
  <c r="AZ424" i="3" s="1"/>
  <c r="G432" i="3"/>
  <c r="BL447" i="3"/>
  <c r="AZ447" i="3" s="1"/>
  <c r="BA468" i="3"/>
  <c r="AZ468" i="3" s="1"/>
  <c r="BA469" i="3"/>
  <c r="BA470" i="3"/>
  <c r="AZ470" i="3" s="1"/>
  <c r="BL474" i="3"/>
  <c r="G480" i="3"/>
  <c r="BA489" i="3"/>
  <c r="AZ489" i="3" s="1"/>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AZ212" i="3" s="1"/>
  <c r="BA213" i="3"/>
  <c r="AZ213" i="3" s="1"/>
  <c r="BA214" i="3"/>
  <c r="AZ214" i="3" s="1"/>
  <c r="BA215" i="3"/>
  <c r="AZ215" i="3" s="1"/>
  <c r="BL219" i="3"/>
  <c r="AZ219" i="3" s="1"/>
  <c r="BA241" i="3"/>
  <c r="AZ241" i="3" s="1"/>
  <c r="BA242" i="3"/>
  <c r="AZ242" i="3" s="1"/>
  <c r="BA243" i="3"/>
  <c r="AZ243" i="3" s="1"/>
  <c r="BL245" i="3"/>
  <c r="AZ245" i="3" s="1"/>
  <c r="BA267" i="3"/>
  <c r="AZ267" i="3" s="1"/>
  <c r="BA268" i="3"/>
  <c r="AZ268" i="3" s="1"/>
  <c r="BA269" i="3"/>
  <c r="AZ269" i="3" s="1"/>
  <c r="BL271" i="3"/>
  <c r="AZ271" i="3" s="1"/>
  <c r="BL274" i="3"/>
  <c r="BL275" i="3"/>
  <c r="AZ275" i="3" s="1"/>
  <c r="G294" i="3"/>
  <c r="G299" i="3"/>
  <c r="BL143" i="3"/>
  <c r="AZ143" i="3" s="1"/>
  <c r="BA149" i="3"/>
  <c r="AZ149" i="3" s="1"/>
  <c r="BA150" i="3"/>
  <c r="BL166" i="3"/>
  <c r="BA169" i="3"/>
  <c r="AZ169" i="3" s="1"/>
  <c r="BA186" i="3"/>
  <c r="AZ186" i="3" s="1"/>
  <c r="BL27" i="3"/>
  <c r="AZ27" i="3" s="1"/>
  <c r="BA29" i="3"/>
  <c r="D24" i="71"/>
  <c r="C25" i="71"/>
  <c r="G401" i="3"/>
  <c r="G402" i="3"/>
  <c r="BL414" i="3"/>
  <c r="AZ414" i="3" s="1"/>
  <c r="G419" i="3"/>
  <c r="BA426" i="3"/>
  <c r="AZ426" i="3" s="1"/>
  <c r="BL428" i="3"/>
  <c r="AZ428" i="3" s="1"/>
  <c r="BA448" i="3"/>
  <c r="AZ448" i="3" s="1"/>
  <c r="BL451" i="3"/>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1" i="3"/>
  <c r="AZ452" i="3"/>
  <c r="BL480" i="3"/>
  <c r="BL223" i="3"/>
  <c r="AZ223" i="3" s="1"/>
  <c r="BL249" i="3"/>
  <c r="AZ249" i="3" s="1"/>
  <c r="BL250" i="3"/>
  <c r="AZ250" i="3" s="1"/>
  <c r="BA282" i="3"/>
  <c r="AZ282" i="3" s="1"/>
  <c r="BL291" i="3"/>
  <c r="AZ291" i="3" s="1"/>
  <c r="BL129" i="3"/>
  <c r="BA140" i="3"/>
  <c r="AZ140" i="3" s="1"/>
  <c r="BL158" i="3"/>
  <c r="BA165" i="3"/>
  <c r="AZ165" i="3" s="1"/>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AZ20" i="3" s="1"/>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AZ44" i="3" s="1"/>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09" i="3"/>
  <c r="AZ411" i="3"/>
  <c r="AZ421" i="3"/>
  <c r="AZ423" i="3"/>
  <c r="AZ425" i="3"/>
  <c r="AZ430" i="3"/>
  <c r="AZ440" i="3"/>
  <c r="AZ449" i="3"/>
  <c r="AZ453" i="3"/>
  <c r="AZ460" i="3"/>
  <c r="AZ492" i="3"/>
  <c r="AZ432" i="3"/>
  <c r="AZ464" i="3"/>
  <c r="AZ467" i="3"/>
  <c r="AZ474" i="3"/>
  <c r="AZ480" i="3"/>
  <c r="AZ482" i="3"/>
  <c r="AZ486" i="3"/>
  <c r="AZ488" i="3"/>
  <c r="AZ230" i="3"/>
  <c r="AZ239" i="3"/>
  <c r="AZ255" i="3"/>
  <c r="AZ274" i="3"/>
  <c r="AZ277" i="3"/>
  <c r="AZ290" i="3"/>
  <c r="AZ293" i="3"/>
  <c r="AZ185" i="3"/>
  <c r="AZ49" i="3"/>
  <c r="AZ112" i="3"/>
  <c r="AZ22" i="3"/>
  <c r="AZ54"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59"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O8" i="1"/>
  <c r="P8" i="1" s="1"/>
  <c r="O14" i="1"/>
  <c r="P14" i="1" s="1"/>
  <c r="O12" i="1"/>
  <c r="P12" i="1" s="1"/>
  <c r="F30"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C36" i="43"/>
  <c r="E36" i="43" s="1"/>
  <c r="T9" i="43"/>
  <c r="V9" i="43" s="1"/>
  <c r="C39" i="43"/>
  <c r="C37" i="43"/>
  <c r="E37" i="43" s="1"/>
  <c r="X10" i="71"/>
  <c r="AB10" i="71"/>
  <c r="T15" i="43"/>
  <c r="V15" i="43" s="1"/>
  <c r="Y3" i="71"/>
  <c r="Z3" i="71" s="1"/>
  <c r="F10" i="71"/>
  <c r="F9" i="71" s="1"/>
  <c r="F8" i="71" s="1"/>
  <c r="F7" i="71" s="1"/>
  <c r="F6" i="71" s="1"/>
  <c r="F5" i="71" s="1"/>
  <c r="AF3" i="71"/>
  <c r="P22" i="43" s="1"/>
  <c r="C34" i="43"/>
  <c r="T10" i="43"/>
  <c r="V10" i="43" s="1"/>
  <c r="C33" i="43"/>
  <c r="T16" i="43"/>
  <c r="V16" i="43" s="1"/>
  <c r="T13" i="43"/>
  <c r="V13" i="43" s="1"/>
  <c r="T8" i="43"/>
  <c r="V8" i="43" s="1"/>
  <c r="C38" i="43"/>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F26" i="67"/>
  <c r="C76" i="15"/>
  <c r="F37" i="15"/>
  <c r="M23" i="67"/>
  <c r="F7" i="67"/>
  <c r="F9" i="15"/>
  <c r="L47" i="15"/>
  <c r="L47" i="67"/>
  <c r="M28" i="67"/>
  <c r="F40" i="15"/>
  <c r="D6" i="73"/>
  <c r="M22" i="15"/>
  <c r="F8" i="15"/>
  <c r="F40" i="67"/>
  <c r="F16" i="67"/>
  <c r="M24" i="67"/>
  <c r="M26" i="67"/>
  <c r="M22" i="67"/>
  <c r="M6" i="15"/>
  <c r="M29" i="67"/>
  <c r="F36" i="67"/>
  <c r="J15" i="67"/>
  <c r="F38" i="67"/>
  <c r="M9" i="67"/>
  <c r="F8" i="67"/>
  <c r="M8" i="67"/>
  <c r="J15" i="15"/>
  <c r="D5" i="73"/>
  <c r="F37" i="67"/>
  <c r="F6" i="67"/>
  <c r="F9" i="67"/>
  <c r="F43" i="67"/>
  <c r="L48" i="67"/>
  <c r="D4" i="73"/>
  <c r="F26" i="15"/>
  <c r="F43" i="15"/>
  <c r="F42" i="67"/>
  <c r="C76" i="67"/>
  <c r="E29" i="6" l="1"/>
  <c r="G30" i="6"/>
  <c r="G31" i="6" s="1"/>
  <c r="E65" i="39"/>
  <c r="AZ287" i="3"/>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275" i="3" s="1"/>
  <c r="AZ150" i="3"/>
  <c r="E285" i="3"/>
  <c r="AZ117" i="3"/>
  <c r="AZ402" i="3"/>
  <c r="AZ481" i="3"/>
  <c r="AB39" i="37"/>
  <c r="U39" i="37"/>
  <c r="AC39" i="37"/>
  <c r="W39" i="37"/>
  <c r="W12" i="36"/>
  <c r="AC12" i="36"/>
  <c r="U12" i="33"/>
  <c r="AB12" i="33"/>
  <c r="U46" i="21"/>
  <c r="AB46" i="21"/>
  <c r="AC28" i="37"/>
  <c r="W28" i="37"/>
  <c r="S12" i="37"/>
  <c r="AA12" i="37"/>
  <c r="E11" i="6"/>
  <c r="E12" i="6"/>
  <c r="E10" i="6"/>
  <c r="E14" i="6"/>
  <c r="W33" i="36"/>
  <c r="AC33" i="36"/>
  <c r="AC24" i="36"/>
  <c r="W24" i="36"/>
  <c r="AA27" i="34"/>
  <c r="S27" i="34"/>
  <c r="AB9" i="33"/>
  <c r="U9" i="33"/>
  <c r="U26" i="33"/>
  <c r="AB26" i="33"/>
  <c r="AC26" i="33"/>
  <c r="W26" i="33"/>
  <c r="W14" i="21"/>
  <c r="AC14" i="21"/>
  <c r="M7" i="67"/>
  <c r="J6" i="67" s="1"/>
  <c r="J18" i="67" s="1"/>
  <c r="F50" i="67"/>
  <c r="F70" i="67"/>
  <c r="F51" i="67"/>
  <c r="Q71" i="67"/>
  <c r="F64" i="67"/>
  <c r="E146" i="3"/>
  <c r="E350" i="3"/>
  <c r="E339" i="3"/>
  <c r="E213" i="3"/>
  <c r="E286" i="3"/>
  <c r="E444" i="3"/>
  <c r="E316" i="3"/>
  <c r="E249" i="3"/>
  <c r="E264" i="3"/>
  <c r="E305" i="3"/>
  <c r="AA6" i="3"/>
  <c r="E124" i="3"/>
  <c r="AR6" i="3"/>
  <c r="E439" i="3"/>
  <c r="E216" i="3"/>
  <c r="E217" i="3"/>
  <c r="E387" i="3"/>
  <c r="E551" i="3"/>
  <c r="E445" i="3"/>
  <c r="E97" i="3"/>
  <c r="E382" i="3"/>
  <c r="E290" i="3"/>
  <c r="E204" i="3"/>
  <c r="E525" i="3"/>
  <c r="E405" i="3"/>
  <c r="E512" i="3"/>
  <c r="E360" i="3"/>
  <c r="E13" i="3"/>
  <c r="E470" i="3"/>
  <c r="E104" i="3"/>
  <c r="E198" i="3"/>
  <c r="E281" i="3"/>
  <c r="E391" i="3"/>
  <c r="E42" i="3"/>
  <c r="E482" i="3"/>
  <c r="E190" i="3"/>
  <c r="E383" i="3"/>
  <c r="E49" i="3"/>
  <c r="E102" i="3"/>
  <c r="E326" i="3"/>
  <c r="E361" i="3"/>
  <c r="E229" i="3"/>
  <c r="E434" i="3"/>
  <c r="E223" i="3"/>
  <c r="E327" i="3"/>
  <c r="AG6" i="3"/>
  <c r="E485" i="3"/>
  <c r="E443" i="3"/>
  <c r="E460" i="3"/>
  <c r="E131" i="3"/>
  <c r="E348" i="3"/>
  <c r="E540" i="3"/>
  <c r="E266" i="3"/>
  <c r="E341" i="3"/>
  <c r="E570" i="3"/>
  <c r="N6" i="3"/>
  <c r="E128" i="3"/>
  <c r="E550" i="3"/>
  <c r="E353" i="3"/>
  <c r="E303" i="3"/>
  <c r="E221" i="3"/>
  <c r="E167" i="3"/>
  <c r="K6" i="3"/>
  <c r="E437" i="3"/>
  <c r="E406" i="3"/>
  <c r="E344" i="3"/>
  <c r="E577" i="3"/>
  <c r="E496" i="3"/>
  <c r="E106" i="3"/>
  <c r="E203" i="3"/>
  <c r="E394" i="3"/>
  <c r="E74" i="3"/>
  <c r="E15" i="3"/>
  <c r="E137" i="3"/>
  <c r="E325" i="3"/>
  <c r="E123" i="3"/>
  <c r="E20" i="3"/>
  <c r="E524" i="3"/>
  <c r="E17" i="3"/>
  <c r="E201" i="3"/>
  <c r="E453" i="3"/>
  <c r="E148" i="3"/>
  <c r="E277" i="3"/>
  <c r="E312" i="3"/>
  <c r="E552" i="3"/>
  <c r="E487" i="3"/>
  <c r="E459" i="3"/>
  <c r="E547" i="3"/>
  <c r="E476" i="3"/>
  <c r="E71" i="3"/>
  <c r="E162" i="3"/>
  <c r="E272" i="3"/>
  <c r="E331" i="3"/>
  <c r="AM6" i="3"/>
  <c r="E441" i="3"/>
  <c r="E103" i="3"/>
  <c r="E300" i="3"/>
  <c r="E67" i="3"/>
  <c r="E381" i="3"/>
  <c r="E283" i="3"/>
  <c r="E319" i="3"/>
  <c r="E426" i="3"/>
  <c r="X6" i="3"/>
  <c r="E293" i="3"/>
  <c r="E523" i="3"/>
  <c r="E338" i="3"/>
  <c r="E169" i="3"/>
  <c r="E510" i="3"/>
  <c r="E130" i="3"/>
  <c r="E535" i="3"/>
  <c r="E385" i="3"/>
  <c r="E263" i="3"/>
  <c r="E161" i="3"/>
  <c r="E145" i="3"/>
  <c r="E493" i="3"/>
  <c r="E427" i="3"/>
  <c r="E422" i="3"/>
  <c r="E376" i="3"/>
  <c r="E498" i="3"/>
  <c r="E401" i="3"/>
  <c r="E25" i="3"/>
  <c r="E119" i="3"/>
  <c r="E226" i="3"/>
  <c r="E333" i="3"/>
  <c r="E60" i="3"/>
  <c r="E412" i="3"/>
  <c r="E174" i="3"/>
  <c r="E342" i="3"/>
  <c r="E206" i="3"/>
  <c r="E80" i="3"/>
  <c r="E22" i="3"/>
  <c r="E503" i="3"/>
  <c r="E151" i="3"/>
  <c r="E306" i="3"/>
  <c r="E228" i="3"/>
  <c r="E238" i="3"/>
  <c r="E379" i="3"/>
  <c r="E515" i="3"/>
  <c r="E548" i="3"/>
  <c r="E477" i="3"/>
  <c r="E554" i="3"/>
  <c r="E491" i="3"/>
  <c r="E56" i="3"/>
  <c r="E152" i="3"/>
  <c r="E258" i="3"/>
  <c r="E363" i="3"/>
  <c r="E544" i="3"/>
  <c r="E462" i="3"/>
  <c r="E138" i="3"/>
  <c r="E307" i="3"/>
  <c r="E48" i="3"/>
  <c r="Y6" i="3"/>
  <c r="E323" i="3"/>
  <c r="E388" i="3"/>
  <c r="E495" i="3"/>
  <c r="E301" i="3"/>
  <c r="E180" i="3"/>
  <c r="E199" i="3"/>
  <c r="E532" i="3"/>
  <c r="E458" i="3"/>
  <c r="E438" i="3"/>
  <c r="E562" i="3"/>
  <c r="E537" i="3"/>
  <c r="E433" i="3"/>
  <c r="E54" i="3"/>
  <c r="E150" i="3"/>
  <c r="E257" i="3"/>
  <c r="E318" i="3"/>
  <c r="E93" i="3"/>
  <c r="E455" i="3"/>
  <c r="E194" i="3"/>
  <c r="E392" i="3"/>
  <c r="E147" i="3"/>
  <c r="E62" i="3"/>
  <c r="E302" i="3"/>
  <c r="E397" i="3"/>
  <c r="E368" i="3"/>
  <c r="E269" i="3"/>
  <c r="E224" i="3"/>
  <c r="E575" i="3"/>
  <c r="E502" i="3"/>
  <c r="E541" i="3"/>
  <c r="E255" i="3"/>
  <c r="E581" i="3"/>
  <c r="E489" i="3"/>
  <c r="E88" i="3"/>
  <c r="E182" i="3"/>
  <c r="E295" i="3"/>
  <c r="E377" i="3"/>
  <c r="E30" i="3"/>
  <c r="E484" i="3"/>
  <c r="E160" i="3"/>
  <c r="E371" i="3"/>
  <c r="E33" i="3"/>
  <c r="E68" i="3"/>
  <c r="E309" i="3"/>
  <c r="E530" i="3"/>
  <c r="E508" i="3"/>
  <c r="E399" i="3"/>
  <c r="E270" i="3"/>
  <c r="E561" i="3"/>
  <c r="E380" i="3"/>
  <c r="E185" i="3"/>
  <c r="E69" i="3"/>
  <c r="O6" i="3"/>
  <c r="E518" i="3"/>
  <c r="E245" i="3"/>
  <c r="E117" i="3"/>
  <c r="E164" i="3"/>
  <c r="E534" i="3"/>
  <c r="E456" i="3"/>
  <c r="E408" i="3"/>
  <c r="E556" i="3"/>
  <c r="E494" i="3"/>
  <c r="E420" i="3"/>
  <c r="E41" i="3"/>
  <c r="E139" i="3"/>
  <c r="E243" i="3"/>
  <c r="E356" i="3"/>
  <c r="E94" i="3"/>
  <c r="E18" i="3"/>
  <c r="E220" i="3"/>
  <c r="E522" i="3"/>
  <c r="E232" i="3"/>
  <c r="E113" i="3"/>
  <c r="E83" i="3"/>
  <c r="E239" i="3"/>
  <c r="E314" i="3"/>
  <c r="E296" i="3"/>
  <c r="E181" i="3"/>
  <c r="E197" i="3"/>
  <c r="E576" i="3"/>
  <c r="AO6" i="3"/>
  <c r="P6" i="3"/>
  <c r="E345" i="3"/>
  <c r="E582" i="3"/>
  <c r="E520" i="3"/>
  <c r="E90" i="3"/>
  <c r="E187" i="3"/>
  <c r="E378" i="3"/>
  <c r="E58" i="3"/>
  <c r="E521" i="3"/>
  <c r="E195" i="3"/>
  <c r="E386" i="3"/>
  <c r="E87" i="3"/>
  <c r="E51" i="3"/>
  <c r="E373" i="3"/>
  <c r="E526" i="3"/>
  <c r="AJ6" i="3"/>
  <c r="E461" i="3"/>
  <c r="E311" i="3"/>
  <c r="M6" i="3"/>
  <c r="E335" i="3"/>
  <c r="E114" i="3"/>
  <c r="E555" i="3"/>
  <c r="AN6" i="3"/>
  <c r="E149" i="3"/>
  <c r="E141" i="3"/>
  <c r="Q6" i="3"/>
  <c r="E472" i="3"/>
  <c r="E424" i="3"/>
  <c r="E587" i="3"/>
  <c r="E429" i="3"/>
  <c r="E454" i="3"/>
  <c r="E73" i="3"/>
  <c r="E171" i="3"/>
  <c r="E362" i="3"/>
  <c r="E32" i="3"/>
  <c r="E79" i="3"/>
  <c r="E234" i="3"/>
  <c r="AQ6" i="3"/>
  <c r="E289" i="3"/>
  <c r="E176" i="3"/>
  <c r="E237" i="3"/>
  <c r="E509" i="3"/>
  <c r="E568" i="3"/>
  <c r="E244" i="3"/>
  <c r="E122" i="3"/>
  <c r="E177" i="3"/>
  <c r="AD6" i="3"/>
  <c r="E421" i="3"/>
  <c r="E398" i="3"/>
  <c r="E374" i="3"/>
  <c r="AS6" i="3"/>
  <c r="E546" i="3"/>
  <c r="E27" i="3"/>
  <c r="E126" i="3"/>
  <c r="E210" i="3"/>
  <c r="E317" i="3"/>
  <c r="E44" i="3"/>
  <c r="E425" i="3"/>
  <c r="E142" i="3"/>
  <c r="E310" i="3"/>
  <c r="E144" i="3"/>
  <c r="E63" i="3"/>
  <c r="E513" i="3"/>
  <c r="E501" i="3"/>
  <c r="E328" i="3"/>
  <c r="E336" i="3"/>
  <c r="E390" i="3"/>
  <c r="E506" i="3"/>
  <c r="E321" i="3"/>
  <c r="E278" i="3"/>
  <c r="E574" i="3"/>
  <c r="AI6" i="3"/>
  <c r="E191" i="3"/>
  <c r="E207" i="3"/>
  <c r="E107" i="3"/>
  <c r="E564" i="3"/>
  <c r="E486" i="3"/>
  <c r="E440" i="3"/>
  <c r="AH6" i="3"/>
  <c r="E463" i="3"/>
  <c r="E108" i="3"/>
  <c r="E202" i="3"/>
  <c r="E276" i="3"/>
  <c r="E372" i="3"/>
  <c r="E43" i="3"/>
  <c r="E251" i="3"/>
  <c r="E158" i="3"/>
  <c r="E261" i="3"/>
  <c r="E516" i="3"/>
  <c r="E511" i="3"/>
  <c r="E262" i="3"/>
  <c r="E157" i="3"/>
  <c r="E116" i="3"/>
  <c r="E411" i="3"/>
  <c r="E367" i="3"/>
  <c r="E517" i="3"/>
  <c r="E417" i="3"/>
  <c r="E37" i="3"/>
  <c r="E132" i="3"/>
  <c r="E241" i="3"/>
  <c r="E349" i="3"/>
  <c r="E446" i="3"/>
  <c r="E163" i="3"/>
  <c r="E354" i="3"/>
  <c r="E127" i="3"/>
  <c r="E19" i="3"/>
  <c r="E82" i="3"/>
  <c r="E553" i="3"/>
  <c r="E329" i="3"/>
  <c r="E352" i="3"/>
  <c r="E358" i="3"/>
  <c r="V6" i="3"/>
  <c r="E294" i="3"/>
  <c r="E415" i="3"/>
  <c r="E410" i="3"/>
  <c r="E586" i="3"/>
  <c r="E134" i="3"/>
  <c r="E77" i="3"/>
  <c r="E313" i="3"/>
  <c r="E57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15"/>
  <c r="J18" i="15" s="1"/>
  <c r="B17" i="71"/>
  <c r="B16" i="71" s="1"/>
  <c r="B15" i="71" s="1"/>
  <c r="B14" i="71" s="1"/>
  <c r="S18" i="71"/>
  <c r="B60" i="71"/>
  <c r="N61" i="71"/>
  <c r="B21" i="71"/>
  <c r="B20" i="71" s="1"/>
  <c r="S22" i="71"/>
  <c r="D29" i="71"/>
  <c r="C30" i="71"/>
  <c r="AB34" i="35"/>
  <c r="U34" i="35"/>
  <c r="B38" i="72"/>
  <c r="D20" i="53"/>
  <c r="B40" i="72" s="1"/>
  <c r="K14" i="1"/>
  <c r="M14" i="1" s="1"/>
  <c r="M16" i="1" s="1"/>
  <c r="N16" i="1" s="1"/>
  <c r="F50" i="11" s="1"/>
  <c r="C17" i="71"/>
  <c r="D18" i="71"/>
  <c r="U18" i="71" s="1"/>
  <c r="T18" i="71"/>
  <c r="D60" i="71"/>
  <c r="O59" i="71"/>
  <c r="O60" i="71"/>
  <c r="AC36" i="35"/>
  <c r="W36" i="35"/>
  <c r="AA34" i="35"/>
  <c r="S34" i="35"/>
  <c r="AB9" i="34"/>
  <c r="U9" i="34"/>
  <c r="B5" i="78"/>
  <c r="B3" i="78"/>
  <c r="F48" i="69"/>
  <c r="C30" i="69"/>
  <c r="F48" i="68"/>
  <c r="C30" i="68"/>
  <c r="C48" i="68"/>
  <c r="H6" i="3"/>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G1" i="73"/>
  <c r="F27" i="69"/>
  <c r="C16" i="67"/>
  <c r="F27" i="68"/>
  <c r="K25" i="6" l="1"/>
  <c r="M25" i="6" s="1"/>
  <c r="I25" i="6" s="1"/>
  <c r="S25" i="6" s="1"/>
  <c r="K26" i="6"/>
  <c r="M26" i="6" s="1"/>
  <c r="I26" i="6" s="1"/>
  <c r="S26" i="6" s="1"/>
  <c r="E175" i="3"/>
  <c r="E355" i="3"/>
  <c r="E480" i="3"/>
  <c r="E121" i="3"/>
  <c r="E466" i="3"/>
  <c r="E236" i="3"/>
  <c r="E50" i="3"/>
  <c r="E72" i="3"/>
  <c r="E280" i="3"/>
  <c r="E84" i="3"/>
  <c r="E46" i="3"/>
  <c r="E572" i="3"/>
  <c r="E211" i="3"/>
  <c r="E28" i="3"/>
  <c r="AP6" i="3"/>
  <c r="AC6" i="3" s="1"/>
  <c r="R6" i="3"/>
  <c r="E45" i="3"/>
  <c r="E549" i="3"/>
  <c r="E365" i="3"/>
  <c r="E112" i="3"/>
  <c r="E31" i="3"/>
  <c r="E529" i="3"/>
  <c r="E92" i="3"/>
  <c r="E159" i="3"/>
  <c r="K19" i="6"/>
  <c r="K23" i="6"/>
  <c r="M23" i="6" s="1"/>
  <c r="I23" i="6" s="1"/>
  <c r="S23" i="6" s="1"/>
  <c r="K24" i="6"/>
  <c r="M24" i="6" s="1"/>
  <c r="I24" i="6" s="1"/>
  <c r="S24" i="6" s="1"/>
  <c r="E279" i="3"/>
  <c r="E288" i="3"/>
  <c r="E253" i="3"/>
  <c r="E423" i="3"/>
  <c r="E260" i="3"/>
  <c r="E402" i="3"/>
  <c r="E35" i="3"/>
  <c r="E170" i="3"/>
  <c r="E357" i="3"/>
  <c r="E168" i="3"/>
  <c r="E571" i="3"/>
  <c r="E527" i="3"/>
  <c r="E519" i="3"/>
  <c r="E91" i="3"/>
  <c r="E143" i="3"/>
  <c r="E259" i="3"/>
  <c r="E76" i="3"/>
  <c r="E96" i="3"/>
  <c r="E299" i="3"/>
  <c r="E432" i="3"/>
  <c r="E273" i="3"/>
  <c r="AC10" i="39"/>
  <c r="E297" i="3"/>
  <c r="B4" i="82"/>
  <c r="E247" i="3"/>
  <c r="E558" i="3"/>
  <c r="E473" i="3"/>
  <c r="E490" i="3"/>
  <c r="E16" i="6"/>
  <c r="E585" i="3"/>
  <c r="E469" i="3"/>
  <c r="E447" i="3"/>
  <c r="AZ5" i="3"/>
  <c r="AY6" i="3" s="1"/>
  <c r="E214" i="3"/>
  <c r="E414" i="3"/>
  <c r="E419" i="3"/>
  <c r="E471" i="3"/>
  <c r="E219" i="3"/>
  <c r="E542" i="3"/>
  <c r="E449" i="3"/>
  <c r="E488" i="3"/>
  <c r="E64" i="39"/>
  <c r="E59" i="40"/>
  <c r="E57" i="40"/>
  <c r="E62" i="39"/>
  <c r="E274" i="3"/>
  <c r="E179" i="3"/>
  <c r="E75" i="3"/>
  <c r="E6" i="3"/>
  <c r="E61" i="39"/>
  <c r="E56" i="40"/>
  <c r="C49" i="67"/>
  <c r="E3" i="6"/>
  <c r="E6" i="6" s="1"/>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C16" i="71"/>
  <c r="D17" i="71"/>
  <c r="S6" i="1"/>
  <c r="M19" i="6"/>
  <c r="N59" i="71"/>
  <c r="N60" i="71"/>
  <c r="B13" i="71"/>
  <c r="B12" i="71" s="1"/>
  <c r="B11" i="71" s="1"/>
  <c r="B10" i="71" s="1"/>
  <c r="S14" i="71"/>
  <c r="D37" i="11"/>
  <c r="C37" i="11" s="1"/>
  <c r="D3" i="37"/>
  <c r="AA10" i="40"/>
  <c r="U10" i="40"/>
  <c r="W10" i="40"/>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D10" i="68"/>
  <c r="F41" i="15"/>
  <c r="C14" i="67"/>
  <c r="C17" i="67"/>
  <c r="C17" i="15"/>
  <c r="C34" i="69"/>
  <c r="D10" i="69"/>
  <c r="AE6" i="1"/>
  <c r="C36" i="82" l="1"/>
  <c r="F36" i="82" s="1"/>
  <c r="D3" i="21"/>
  <c r="D14" i="12"/>
  <c r="D17" i="12" s="1"/>
  <c r="C17" i="12" s="1"/>
  <c r="C17" i="4"/>
  <c r="B4" i="52" s="1"/>
  <c r="B43" i="72" s="1"/>
  <c r="D19" i="11"/>
  <c r="C19" i="11" s="1"/>
  <c r="D3" i="33"/>
  <c r="D3" i="34"/>
  <c r="K27" i="6"/>
  <c r="E66" i="39"/>
  <c r="AY51" i="3"/>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C14" i="12"/>
  <c r="C16" i="12" s="1"/>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60" i="15"/>
  <c r="C66" i="15"/>
  <c r="C26" i="69"/>
  <c r="D22" i="69" s="1"/>
  <c r="C44" i="69"/>
  <c r="D41" i="69" s="1"/>
  <c r="C23" i="69"/>
  <c r="C38" i="67"/>
  <c r="C38" i="15"/>
  <c r="F41" i="67"/>
  <c r="M27" i="67"/>
  <c r="M27" i="15"/>
  <c r="E6" i="76"/>
  <c r="C14" i="15"/>
  <c r="C34" i="68"/>
  <c r="B6" i="76"/>
  <c r="C20" i="11" l="1"/>
  <c r="C28" i="11" s="1"/>
  <c r="C27" i="11" s="1"/>
  <c r="B2" i="34"/>
  <c r="B3" i="34" s="1"/>
  <c r="F69" i="67"/>
  <c r="C60" i="67"/>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D22" i="6"/>
  <c r="R22" i="6" s="1"/>
  <c r="D26" i="6"/>
  <c r="D6" i="6"/>
  <c r="B5" i="82" s="1"/>
  <c r="D21" i="6"/>
  <c r="C18" i="4"/>
  <c r="D24" i="6"/>
  <c r="D8" i="6"/>
  <c r="H68" i="39"/>
  <c r="G70" i="39"/>
  <c r="C23" i="68"/>
  <c r="C26" i="68"/>
  <c r="D22" i="68" s="1"/>
  <c r="C44" i="11"/>
  <c r="D41" i="11" s="1"/>
  <c r="C25" i="11"/>
  <c r="C24" i="11"/>
  <c r="C26" i="11"/>
  <c r="D22" i="11" s="1"/>
  <c r="C19" i="67"/>
  <c r="C20" i="67" s="1"/>
  <c r="C38" i="68"/>
  <c r="C35" i="68"/>
  <c r="C15" i="15"/>
  <c r="C18" i="15"/>
  <c r="C19" i="68"/>
  <c r="D37" i="68"/>
  <c r="C37" i="68" s="1"/>
  <c r="C19" i="69"/>
  <c r="D37" i="69"/>
  <c r="C37" i="69" s="1"/>
  <c r="C33" i="69" s="1"/>
  <c r="L18" i="9"/>
  <c r="I27" i="6"/>
  <c r="S19" i="6"/>
  <c r="S27" i="6" s="1"/>
  <c r="H19" i="6"/>
  <c r="C14" i="71"/>
  <c r="D15" i="71"/>
  <c r="T16" i="1"/>
  <c r="B5" i="71"/>
  <c r="S6" i="71"/>
  <c r="C18" i="12"/>
  <c r="C21" i="12" s="1"/>
  <c r="C22" i="12" s="1"/>
  <c r="C27" i="12" s="1"/>
  <c r="C25" i="12" s="1"/>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69"/>
  <c r="J59" i="67"/>
  <c r="J60" i="67" s="1"/>
  <c r="R21" i="6" l="1"/>
  <c r="R25" i="6"/>
  <c r="C43" i="1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F7" i="21"/>
  <c r="J48" i="35"/>
  <c r="Q48" i="15"/>
  <c r="Q48" i="67"/>
  <c r="C41" i="11" l="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U7" i="21"/>
  <c r="AB7" i="21"/>
  <c r="T48" i="21" s="1"/>
  <c r="G48" i="21" s="1"/>
  <c r="S7" i="21"/>
  <c r="AA7" i="21"/>
  <c r="R48" i="21" s="1"/>
  <c r="J63" i="40"/>
  <c r="I65" i="40"/>
  <c r="K48" i="35"/>
  <c r="L48" i="35" s="1"/>
  <c r="M48" i="35" s="1"/>
  <c r="N48" i="35" s="1"/>
  <c r="O48" i="35" s="1"/>
  <c r="H7" i="35" s="1"/>
  <c r="J7" i="35"/>
  <c r="F35" i="67"/>
  <c r="F35" i="15"/>
  <c r="M21" i="67"/>
  <c r="M21" i="15"/>
  <c r="D14" i="82" l="1"/>
  <c r="C46" i="68"/>
  <c r="C45" i="68" s="1"/>
  <c r="C49" i="68" s="1"/>
  <c r="C51"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C31" i="15" s="1"/>
  <c r="F63" i="15"/>
  <c r="C62" i="15" s="1"/>
  <c r="J20" i="15"/>
  <c r="C34" i="67"/>
  <c r="F63" i="67"/>
  <c r="C62" i="67" s="1"/>
  <c r="J20" i="67"/>
  <c r="J14" i="15"/>
  <c r="C36" i="15"/>
  <c r="C13" i="15"/>
  <c r="D13" i="82" s="1"/>
  <c r="D12" i="82" s="1"/>
  <c r="D11" i="82" s="1"/>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52" i="68" l="1"/>
  <c r="B2" i="68" s="1"/>
  <c r="F35" i="9"/>
  <c r="E11" i="82"/>
  <c r="E7" i="82" s="1"/>
  <c r="C27" i="82" s="1"/>
  <c r="D7" i="82"/>
  <c r="C26" i="82" s="1"/>
  <c r="C32" i="82" s="1"/>
  <c r="C38" i="82" s="1"/>
  <c r="C39" i="82" s="1"/>
  <c r="C40" i="82" s="1"/>
  <c r="D19" i="9" s="1"/>
  <c r="D20" i="9" s="1"/>
  <c r="C31" i="67"/>
  <c r="C30" i="67" s="1"/>
  <c r="C39" i="67" s="1"/>
  <c r="L68" i="39"/>
  <c r="K70" i="39"/>
  <c r="J17" i="67"/>
  <c r="J22" i="67"/>
  <c r="C64" i="67"/>
  <c r="C59" i="67"/>
  <c r="C10" i="71"/>
  <c r="D11" i="71"/>
  <c r="C61" i="15"/>
  <c r="C59" i="15" s="1"/>
  <c r="C64" i="15"/>
  <c r="C75" i="15"/>
  <c r="C56" i="15"/>
  <c r="C65" i="15" s="1"/>
  <c r="C37" i="15"/>
  <c r="C30" i="15" s="1"/>
  <c r="C39" i="15" s="1"/>
  <c r="Q70" i="15"/>
  <c r="J22" i="15"/>
  <c r="J13" i="15"/>
  <c r="J23" i="15"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L51" i="67"/>
  <c r="B3" i="68"/>
  <c r="C19" i="9"/>
  <c r="C57" i="68" l="1"/>
  <c r="C56" i="68" s="1"/>
  <c r="C102" i="9"/>
  <c r="C21" i="9"/>
  <c r="C41" i="82"/>
  <c r="B2" i="82"/>
  <c r="B3" i="82" s="1"/>
  <c r="Q69" i="67"/>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80" i="15"/>
  <c r="C79" i="15" s="1"/>
  <c r="C9" i="71"/>
  <c r="T10" i="71"/>
  <c r="D10" i="71"/>
  <c r="U10" i="71" s="1"/>
  <c r="C40" i="15"/>
  <c r="Q69" i="15"/>
  <c r="Q68" i="15" s="1"/>
  <c r="R39" i="35"/>
  <c r="E38" i="35"/>
  <c r="M63" i="40"/>
  <c r="L65" i="40"/>
  <c r="C20" i="9"/>
  <c r="L51" i="15"/>
  <c r="Q47" i="67" l="1"/>
  <c r="Q53" i="67" s="1"/>
  <c r="C43" i="67"/>
  <c r="Q65" i="67"/>
  <c r="Q75" i="67" s="1"/>
  <c r="C45" i="67"/>
  <c r="C46" i="67" s="1"/>
  <c r="N68" i="39"/>
  <c r="M70" i="39"/>
  <c r="D2" i="67"/>
  <c r="B2" i="67" s="1"/>
  <c r="Q56" i="67"/>
  <c r="Q62" i="67" s="1"/>
  <c r="C103" i="9"/>
  <c r="Q67" i="15"/>
  <c r="Q56" i="15"/>
  <c r="Q62" i="15" s="1"/>
  <c r="C43" i="15"/>
  <c r="C83" i="15"/>
  <c r="C82" i="15" s="1"/>
  <c r="Q65" i="15"/>
  <c r="Q75" i="15" s="1"/>
  <c r="Q47" i="15"/>
  <c r="Q53" i="15" s="1"/>
  <c r="B2" i="15"/>
  <c r="C8" i="71"/>
  <c r="D9" i="71"/>
  <c r="C46" i="15"/>
  <c r="C39" i="35"/>
  <c r="B2" i="35" s="1"/>
  <c r="B3" i="35" s="1"/>
  <c r="C38" i="35"/>
  <c r="N63" i="40"/>
  <c r="M65" i="40"/>
  <c r="E43" i="35"/>
  <c r="F43" i="35" s="1"/>
  <c r="E42" i="35"/>
  <c r="F42" i="35" s="1"/>
  <c r="I43" i="35"/>
  <c r="J43" i="35" s="1"/>
  <c r="AO6" i="1"/>
  <c r="N70" i="39" l="1"/>
  <c r="F7" i="39" s="1"/>
  <c r="O68" i="39"/>
  <c r="O70" i="39" s="1"/>
  <c r="B3" i="67"/>
  <c r="B6" i="70"/>
  <c r="B2" i="70" s="1"/>
  <c r="B3" i="70" s="1"/>
  <c r="D102" i="9"/>
  <c r="G19" i="9"/>
  <c r="G21" i="9" s="1"/>
  <c r="D21" i="9"/>
  <c r="D22" i="9"/>
  <c r="C7" i="71"/>
  <c r="D8" i="71"/>
  <c r="B3" i="15"/>
  <c r="O63" i="40"/>
  <c r="O65" i="40" s="1"/>
  <c r="N65" i="40"/>
  <c r="D35" i="9"/>
  <c r="H7" i="39" l="1"/>
  <c r="J7" i="39"/>
  <c r="S7" i="39"/>
  <c r="AA7" i="39"/>
  <c r="R47" i="39" s="1"/>
  <c r="AB7" i="39"/>
  <c r="T47" i="39" s="1"/>
  <c r="G47" i="39" s="1"/>
  <c r="U7" i="39"/>
  <c r="W7" i="39"/>
  <c r="AC7" i="39"/>
  <c r="V47" i="39" s="1"/>
  <c r="I47" i="39" s="1"/>
  <c r="D103" i="9"/>
  <c r="G20" i="9"/>
  <c r="C32" i="9" s="1"/>
  <c r="C35" i="9" s="1"/>
  <c r="C6" i="71"/>
  <c r="D7" i="71"/>
  <c r="J7" i="40"/>
  <c r="F7" i="40"/>
  <c r="H7" i="40"/>
  <c r="R48" i="39" l="1"/>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E52" i="39" l="1"/>
  <c r="F52" i="39" s="1"/>
  <c r="E51" i="39"/>
  <c r="F51" i="39" s="1"/>
  <c r="C47" i="39"/>
  <c r="C48" i="39"/>
  <c r="D5" i="71"/>
  <c r="M20" i="43"/>
  <c r="I46" i="40"/>
  <c r="J46" i="40" s="1"/>
  <c r="R43" i="40"/>
  <c r="E42" i="40"/>
  <c r="G47" i="40"/>
  <c r="H47" i="40" s="1"/>
  <c r="G46" i="40"/>
  <c r="H46" i="40" s="1"/>
  <c r="B64" i="39" l="1"/>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l="1"/>
  <c r="D122" i="9" s="1"/>
  <c r="G14" i="74" l="1"/>
  <c r="B6" i="74" s="1"/>
  <c r="D8" i="52"/>
  <c r="D123" i="9"/>
  <c r="D9" i="52" s="1"/>
  <c r="D13" i="53"/>
  <c r="H108" i="9"/>
  <c r="D15" i="53" s="1"/>
  <c r="B31" i="72" s="1"/>
  <c r="D14" i="53" l="1"/>
  <c r="B32" i="72" s="1"/>
  <c r="B30" i="72"/>
  <c r="C6" i="74"/>
  <c r="D6" i="74"/>
  <c r="I118" i="9"/>
  <c r="H118" i="9" s="1"/>
  <c r="G118" i="9"/>
  <c r="F118" i="9" s="1"/>
  <c r="F119" i="9" s="1"/>
  <c r="F5" i="52" s="1"/>
  <c r="B53" i="72" s="1"/>
  <c r="I4" i="52" l="1"/>
  <c r="G4" i="52"/>
  <c r="B52" i="72" s="1"/>
  <c r="H102" i="9"/>
  <c r="D7" i="53" s="1"/>
  <c r="B21" i="72" s="1"/>
  <c r="C105" i="9"/>
  <c r="H101" i="9"/>
  <c r="H119" i="9"/>
  <c r="H5" i="52" s="1"/>
  <c r="H4" i="52"/>
  <c r="D14" i="74"/>
  <c r="C104" i="9"/>
  <c r="F4" i="52"/>
  <c r="B51" i="72" s="1"/>
  <c r="B5" i="74" l="1"/>
  <c r="F14" i="74"/>
  <c r="E14" i="74"/>
  <c r="H109" i="9"/>
  <c r="D45" i="9"/>
  <c r="D5" i="53"/>
  <c r="M48" i="9"/>
  <c r="D6" i="53" l="1"/>
  <c r="B22" i="72" s="1"/>
  <c r="B20" i="72"/>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2D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<sst xmlns="http://schemas.openxmlformats.org/spreadsheetml/2006/main" count="8327" uniqueCount="3546">
  <si>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</si>
  <si>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</si>
  <si>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</si>
  <si>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</si>
  <si>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</si>
  <si>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</si>
  <si>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</si>
  <si>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</si>
  <si>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</si>
  <si>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</si>
  <si>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</si>
  <si>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</si>
  <si>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</si>
  <si>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</si>
  <si>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</si>
  <si>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</si>
  <si>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</si>
  <si>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</si>
  <si>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</si>
  <si>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</si>
  <si>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</si>
  <si>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</si>
  <si>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</si>
  <si>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</si>
  <si>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</si>
  <si>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</si>
  <si>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</si>
  <si>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</si>
  <si>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</si>
  <si>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</si>
  <si>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</si>
  <si>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</si>
  <si>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</si>
  <si>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</si>
  <si>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</si>
  <si>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</si>
  <si>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</si>
  <si>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</si>
  <si>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</si>
  <si>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</si>
  <si>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</si>
  <si>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</si>
  <si>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</si>
  <si>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</si>
  <si>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</si>
  <si>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</si>
  <si>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</si>
  <si>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</si>
  <si>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</si>
  <si>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</si>
  <si>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</si>
  <si>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</si>
  <si>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</si>
  <si>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</si>
  <si>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</si>
  <si>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</si>
  <si>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</si>
  <si>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</si>
  <si>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</si>
  <si>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</si>
  <si>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</si>
  <si>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</si>
  <si>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</si>
  <si>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</si>
  <si>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</si>
  <si>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</si>
  <si>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</si>
  <si>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</si>
  <si>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</si>
  <si>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</si>
  <si>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</si>
  <si>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</si>
  <si>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</si>
  <si>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</si>
  <si>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</si>
  <si>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</si>
  <si>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</si>
  <si>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</si>
  <si>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</si>
  <si>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</si>
  <si>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</si>
  <si>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</si>
  <si>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</si>
  <si>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</si>
  <si>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</si>
  <si>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</si>
  <si>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</si>
  <si>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</si>
  <si>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</si>
  <si>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</si>
  <si>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</si>
  <si>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</si>
  <si>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</si>
  <si>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</si>
  <si>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</si>
  <si>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</si>
  <si>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</si>
  <si>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</si>
  <si>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</si>
  <si>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</si>
  <si>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</si>
  <si>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</si>
  <si>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</si>
  <si>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</si>
  <si>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</si>
  <si>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</si>
  <si>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</si>
  <si>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</si>
  <si>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</si>
  <si>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</si>
  <si>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</si>
  <si>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</si>
  <si>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</si>
  <si>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</si>
  <si>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</si>
  <si>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</si>
  <si>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</si>
  <si>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</si>
  <si>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</si>
  <si>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</si>
  <si>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</si>
  <si>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</si>
  <si>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</si>
  <si>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</si>
  <si>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</si>
  <si>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</si>
  <si>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</si>
  <si>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</si>
  <si>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</si>
  <si>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</si>
  <si>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</si>
  <si>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</si>
  <si>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</si>
  <si>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</si>
  <si>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</si>
  <si>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</si>
  <si>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</si>
  <si>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</si>
  <si>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</si>
  <si>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</si>
  <si>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</si>
  <si>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</si>
  <si>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</si>
  <si>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</si>
  <si>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</si>
  <si>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</si>
  <si>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</si>
  <si>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</si>
  <si>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</si>
  <si>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</si>
  <si>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</si>
  <si>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</si>
  <si>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</si>
  <si>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</si>
  <si>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</si>
  <si>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</si>
  <si>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</si>
  <si>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</si>
  <si>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</si>
  <si>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</si>
  <si>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</si>
  <si>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</si>
  <si>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</si>
  <si>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</si>
  <si>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</si>
  <si>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</si>
  <si>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</si>
  <si>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</si>
  <si>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</si>
  <si>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</si>
  <si>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</si>
  <si>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</si>
  <si>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</si>
  <si>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</si>
  <si>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</si>
  <si>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</si>
  <si>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</si>
  <si>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</si>
  <si>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</si>
  <si>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</si>
  <si>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</si>
  <si>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</si>
  <si>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</si>
  <si>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</si>
  <si>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</si>
  <si>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</si>
  <si>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</si>
  <si>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</si>
  <si>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</si>
  <si>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</si>
  <si>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</si>
  <si>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</si>
  <si>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</si>
  <si>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</si>
  <si>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</si>
  <si>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</si>
  <si>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</si>
  <si>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</si>
  <si>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</si>
  <si>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</si>
  <si>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</si>
  <si>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</si>
  <si>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</si>
  <si>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</si>
  <si>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</si>
  <si>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</si>
  <si>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</si>
  <si>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</si>
  <si>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</si>
  <si>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</si>
  <si>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</si>
  <si>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</si>
  <si>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</si>
  <si>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</si>
  <si>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</si>
  <si>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</si>
  <si>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</si>
  <si>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</si>
  <si>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</si>
  <si>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</si>
  <si>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</si>
  <si>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</si>
  <si>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</si>
  <si>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</si>
  <si>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</si>
  <si>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</si>
  <si>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</si>
  <si>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</si>
  <si>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</si>
  <si>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</si>
  <si>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</si>
  <si>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</si>
  <si>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</si>
  <si>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</si>
  <si>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</si>
  <si>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</si>
  <si>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</si>
  <si>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</si>
  <si>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</si>
  <si>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</si>
  <si>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</si>
  <si>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</si>
  <si>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</si>
  <si>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</si>
  <si>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</si>
  <si>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</si>
  <si>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</si>
  <si>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</si>
  <si>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</si>
  <si>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</si>
  <si>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</si>
  <si>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</si>
  <si>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</si>
  <si>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</si>
  <si>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</si>
  <si>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</si>
  <si>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</si>
  <si>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</si>
  <si>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</si>
  <si>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</si>
  <si>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</si>
  <si>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</si>
  <si>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</si>
  <si>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</si>
  <si>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</si>
  <si>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</si>
  <si>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</si>
  <si>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</si>
  <si>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</si>
  <si>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</si>
  <si>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</si>
  <si>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</si>
  <si>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</si>
  <si>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</si>
  <si>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</si>
  <si>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</si>
  <si>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</si>
  <si>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</si>
  <si>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</si>
  <si>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</si>
  <si>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</si>
  <si>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</si>
  <si>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</si>
  <si>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</si>
  <si>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</si>
  <si>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</si>
  <si>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</si>
  <si>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</si>
  <si>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</si>
  <si>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</si>
  <si>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</si>
  <si>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</si>
  <si>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</si>
  <si>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</si>
  <si>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</si>
  <si>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</si>
  <si>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</si>
  <si>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</si>
  <si>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</si>
  <si>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</si>
  <si>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</si>
  <si>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</si>
  <si>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</si>
  <si>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</si>
  <si>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</si>
  <si>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</si>
  <si>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</si>
  <si>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</si>
  <si>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</si>
  <si>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</si>
  <si>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</si>
  <si>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</si>
  <si>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</si>
  <si>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</si>
  <si>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</si>
  <si>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</si>
  <si>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</si>
  <si>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</si>
  <si>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</si>
  <si>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</si>
  <si>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</si>
  <si>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</si>
  <si>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</si>
  <si>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</si>
  <si>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</si>
  <si>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</si>
  <si>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</si>
  <si>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</si>
  <si>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</si>
  <si>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</si>
  <si>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</si>
  <si>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</si>
  <si>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</si>
  <si>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</si>
  <si>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</si>
  <si>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</si>
  <si>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</si>
  <si>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</si>
  <si>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</si>
  <si>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</si>
  <si>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</si>
  <si>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</si>
  <si>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</si>
  <si>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</si>
  <si>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</si>
  <si>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</si>
  <si>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</si>
  <si>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</si>
  <si>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</si>
  <si>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</si>
  <si>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</si>
  <si>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</si>
  <si>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</si>
  <si>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</si>
  <si>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</si>
  <si>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</si>
  <si>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</si>
  <si>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</si>
  <si>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</si>
  <si>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</si>
  <si>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</si>
  <si>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</si>
  <si>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</si>
  <si>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</si>
  <si>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</si>
  <si>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</si>
  <si>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</si>
  <si>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</si>
  <si>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</si>
  <si>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</si>
  <si>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</si>
  <si>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</si>
  <si>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</si>
  <si>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</si>
  <si>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</si>
  <si>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</si>
  <si>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</si>
  <si>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</si>
  <si>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</si>
  <si>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</si>
  <si>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</si>
  <si>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</si>
  <si>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</si>
  <si>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</si>
  <si>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</si>
  <si>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</si>
  <si>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</si>
  <si>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</si>
  <si>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</si>
  <si>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</si>
  <si>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</si>
  <si>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</si>
  <si>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</si>
  <si>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</si>
  <si>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</si>
  <si>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</si>
  <si>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</si>
  <si>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</si>
  <si>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</si>
  <si>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</si>
  <si>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</si>
  <si>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</si>
  <si>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</si>
  <si>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</si>
  <si>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</si>
  <si>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</si>
  <si>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</si>
  <si>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</si>
  <si>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</si>
  <si>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</si>
  <si>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</si>
  <si>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</si>
  <si>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</si>
  <si>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</si>
  <si>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</si>
  <si>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</si>
  <si>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</si>
  <si>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</si>
  <si>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</si>
  <si>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</si>
  <si>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</si>
  <si>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</si>
  <si>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</si>
  <si>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</si>
  <si>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</si>
  <si>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</si>
  <si>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</si>
  <si>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</si>
  <si>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</si>
  <si>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</si>
  <si>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</si>
  <si>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</si>
  <si>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</si>
  <si>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</si>
  <si>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</si>
  <si>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</si>
  <si>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</si>
  <si>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</si>
  <si>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</si>
  <si>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</si>
  <si>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</si>
  <si>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</si>
  <si>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</si>
  <si>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</si>
  <si>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</si>
  <si>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</si>
  <si>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</si>
  <si>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</si>
  <si>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</si>
  <si>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</si>
  <si>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</si>
  <si>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</si>
  <si>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</si>
  <si>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</si>
  <si>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</si>
  <si>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</si>
  <si>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</si>
  <si>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</si>
  <si>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</si>
  <si>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</si>
  <si>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</si>
  <si>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</si>
  <si>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</si>
  <si>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</si>
  <si>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</si>
  <si>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</si>
  <si>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</si>
  <si>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</si>
  <si>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</si>
  <si>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</si>
  <si>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</si>
  <si>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</si>
  <si>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</si>
  <si>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</si>
  <si>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</si>
  <si>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</si>
  <si>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</si>
  <si>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</si>
  <si>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</si>
  <si>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</si>
  <si>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</si>
  <si>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</si>
  <si>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</si>
  <si>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</si>
  <si>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</si>
  <si>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</si>
  <si>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</si>
  <si>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</si>
  <si>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</si>
  <si>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</si>
  <si>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</si>
  <si>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</si>
  <si>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</si>
  <si>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</si>
  <si>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</si>
  <si>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</si>
  <si>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</si>
  <si>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</si>
  <si>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</si>
  <si>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</si>
  <si>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</si>
  <si>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</si>
  <si>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</si>
  <si>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</si>
  <si>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</si>
  <si>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</si>
  <si>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</si>
  <si>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</si>
  <si>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</si>
  <si>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</si>
  <si>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</si>
  <si>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</si>
  <si>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</si>
  <si>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</si>
  <si>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</si>
  <si>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</si>
  <si>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</si>
  <si>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</si>
  <si>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</si>
  <si>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</si>
  <si>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</si>
  <si>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</si>
  <si>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</si>
  <si>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</si>
  <si>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</si>
  <si>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</si>
  <si>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</si>
  <si>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</si>
  <si>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</si>
  <si>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</si>
  <si>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</si>
  <si>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</si>
  <si>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</si>
  <si>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</si>
  <si>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</si>
  <si>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</si>
  <si>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</si>
  <si>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</si>
  <si>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</si>
  <si>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</si>
  <si>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</si>
  <si>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</si>
  <si>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</si>
  <si>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</si>
  <si>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</si>
  <si>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</si>
  <si>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</si>
  <si>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</si>
  <si>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</si>
  <si>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</si>
  <si>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</si>
  <si>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</si>
  <si>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</si>
  <si>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</si>
  <si>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</si>
  <si>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</si>
  <si>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</si>
  <si>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</si>
  <si>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</si>
  <si>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</si>
  <si>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</si>
  <si>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</si>
  <si>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</si>
  <si>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</si>
  <si>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</si>
  <si>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</si>
  <si>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</si>
  <si>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</si>
  <si>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</si>
  <si>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</si>
  <si>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</si>
  <si>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</si>
  <si>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</si>
  <si>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</si>
  <si>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</si>
  <si>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</si>
  <si>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</si>
  <si>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</si>
  <si>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</si>
  <si>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</si>
  <si>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</si>
  <si>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</si>
  <si>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</si>
  <si>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</si>
  <si>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</si>
  <si>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</si>
  <si>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</si>
  <si>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</si>
  <si>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</si>
  <si>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</si>
  <si>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</si>
  <si>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</si>
  <si>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</si>
  <si>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</si>
  <si>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</si>
  <si>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</si>
  <si>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</si>
  <si>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</si>
  <si>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</si>
  <si>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</si>
  <si>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</si>
  <si>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</si>
  <si>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</si>
  <si>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</si>
  <si>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</si>
  <si>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</si>
  <si>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</si>
  <si>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</si>
  <si>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</si>
  <si>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</si>
  <si>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</si>
  <si>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</si>
  <si>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</si>
  <si>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</si>
  <si>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</si>
  <si>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</si>
  <si>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</si>
  <si>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</si>
  <si>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</si>
  <si>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</si>
  <si>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</si>
  <si>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</si>
  <si>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</si>
  <si>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</si>
  <si>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</si>
  <si>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</si>
  <si>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</si>
  <si>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</si>
  <si>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</si>
  <si>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</si>
  <si>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</si>
  <si>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</si>
  <si>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</si>
  <si>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</si>
  <si>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</si>
  <si>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</si>
  <si>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</si>
  <si>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</si>
  <si>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</si>
  <si>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</si>
  <si>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</si>
  <si>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</si>
  <si>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</si>
  <si>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</si>
  <si>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</si>
  <si>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</si>
  <si>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</si>
  <si>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</si>
  <si>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</si>
  <si>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</si>
  <si>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</si>
  <si>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</si>
  <si>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</si>
  <si>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</si>
  <si>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</si>
  <si>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</si>
  <si>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</si>
  <si>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</si>
  <si>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</si>
  <si>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</si>
  <si>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</si>
  <si>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</si>
  <si>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</si>
  <si>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</si>
  <si>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</si>
  <si>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</si>
  <si>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</si>
  <si>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</si>
  <si>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</si>
  <si>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</si>
  <si>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</si>
  <si>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</si>
  <si>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</si>
  <si>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</si>
  <si>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</si>
  <si>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</si>
  <si>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</si>
  <si>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</si>
  <si>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</si>
  <si>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</si>
  <si>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</si>
  <si>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</si>
  <si>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</si>
  <si>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</si>
  <si>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</si>
  <si>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</si>
  <si>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</si>
  <si>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</si>
  <si>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</si>
  <si>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</si>
  <si>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</si>
  <si>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</si>
  <si>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</si>
  <si>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</si>
  <si>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</si>
  <si>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</si>
  <si>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</si>
  <si>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</si>
  <si>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</si>
  <si>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</si>
  <si>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</si>
  <si>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</si>
  <si>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</si>
  <si>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</si>
  <si>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</si>
  <si>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</si>
  <si>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</si>
  <si>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</si>
  <si>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</si>
  <si>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</si>
  <si>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</si>
  <si>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</si>
  <si>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</si>
  <si>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</si>
  <si>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</si>
  <si>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</si>
  <si>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</si>
  <si>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</si>
  <si>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</si>
  <si>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</si>
  <si>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</si>
  <si>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</si>
  <si>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</si>
  <si>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</si>
  <si>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</si>
  <si>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</si>
  <si>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</si>
  <si>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</si>
  <si>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</si>
  <si>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</si>
  <si>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</si>
  <si>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</si>
  <si>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</si>
  <si>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</si>
  <si>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</si>
  <si>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</si>
  <si>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</si>
  <si>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</si>
  <si>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</si>
  <si>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</si>
  <si>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</si>
  <si>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</si>
  <si>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</si>
  <si>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</si>
  <si>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</si>
  <si>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</si>
  <si>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</si>
  <si>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</si>
  <si>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</si>
  <si>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</si>
  <si>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</si>
  <si>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</si>
  <si>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</si>
  <si>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</si>
  <si>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</si>
  <si>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</si>
  <si>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</si>
  <si>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</si>
  <si>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</si>
  <si>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</si>
  <si>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</si>
  <si>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</si>
  <si>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</si>
  <si>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</si>
  <si>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</si>
  <si>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</si>
  <si>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</si>
  <si>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</si>
  <si>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</si>
  <si>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</si>
  <si>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</si>
  <si>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</si>
  <si>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</si>
  <si>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</si>
  <si>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</si>
  <si>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</si>
  <si>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</si>
  <si>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</si>
  <si>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</si>
  <si>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</si>
  <si>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</si>
  <si>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</si>
  <si>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</si>
  <si>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</si>
  <si>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</si>
  <si>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</si>
  <si>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</si>
  <si>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</si>
  <si>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</si>
  <si>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</si>
  <si>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</si>
  <si>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</si>
  <si>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</si>
  <si>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</si>
  <si>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</si>
  <si>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</si>
  <si>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</si>
  <si>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</si>
  <si>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</si>
  <si>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</si>
  <si>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</si>
  <si>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</si>
  <si>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</si>
  <si>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</si>
  <si>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</si>
  <si>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</si>
  <si>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</si>
  <si>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</si>
  <si>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</si>
  <si>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</si>
  <si>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</si>
  <si>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</si>
  <si>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</si>
  <si>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</si>
  <si>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</si>
  <si>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</si>
  <si>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</si>
  <si>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</si>
  <si>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</si>
  <si>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</si>
  <si>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</si>
  <si>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</si>
  <si>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</si>
  <si>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</si>
  <si>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</si>
  <si>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</si>
  <si>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</si>
  <si>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</si>
  <si>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</si>
  <si>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</si>
  <si>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</si>
  <si>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</si>
  <si>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</si>
  <si>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</si>
  <si>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</si>
  <si>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</si>
  <si>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</si>
  <si>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</si>
  <si>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</si>
  <si>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</si>
  <si>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</si>
  <si>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</si>
  <si>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</si>
  <si>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</si>
  <si>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</si>
  <si>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</si>
  <si>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</si>
  <si>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</si>
  <si>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</si>
  <si>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</si>
  <si>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</si>
  <si>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</si>
  <si>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</si>
  <si>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</si>
  <si>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</si>
  <si>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</si>
  <si>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</si>
  <si>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</si>
  <si>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</si>
  <si>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</si>
  <si>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</si>
  <si>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</si>
  <si>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</si>
  <si>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</si>
  <si>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</si>
  <si>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</si>
  <si>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</si>
  <si>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</si>
  <si>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</si>
  <si>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</si>
  <si>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</si>
  <si>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</si>
  <si>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</si>
  <si>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</si>
  <si>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</si>
  <si>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</si>
  <si>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</si>
  <si>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</si>
  <si>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</si>
  <si>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</si>
  <si>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</si>
  <si>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</si>
  <si>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</si>
  <si>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</si>
  <si>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</si>
  <si>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</si>
  <si>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</si>
  <si>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</si>
  <si>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</si>
  <si>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</si>
  <si>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</si>
  <si>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</si>
  <si>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</si>
  <si>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</si>
  <si>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</si>
  <si>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</si>
  <si>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</si>
  <si>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</si>
  <si>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</si>
  <si>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</si>
  <si>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</si>
  <si>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</si>
  <si>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</si>
  <si>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</si>
  <si>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</si>
  <si>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</si>
  <si>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</si>
  <si>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</si>
  <si>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</si>
  <si>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</si>
  <si>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</si>
  <si>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</si>
  <si>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</si>
  <si>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</si>
  <si>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</si>
  <si>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</si>
  <si>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</si>
  <si>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</si>
  <si>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</si>
  <si>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</si>
  <si>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</si>
  <si>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</si>
  <si>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</si>
  <si>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</si>
  <si>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</si>
  <si>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</si>
  <si>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</si>
  <si>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</si>
  <si>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</si>
  <si>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</si>
  <si>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</si>
  <si>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</si>
  <si>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</si>
  <si>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</si>
  <si>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</si>
  <si>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</si>
  <si>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</si>
  <si>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</si>
  <si>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</si>
  <si>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</si>
  <si>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</si>
  <si>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</si>
  <si>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</si>
  <si>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</si>
  <si>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</si>
  <si>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</si>
  <si>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</si>
  <si>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</si>
  <si>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</si>
  <si>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</si>
  <si>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</si>
  <si>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</si>
  <si>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</si>
  <si>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</si>
  <si>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</si>
  <si>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</si>
  <si>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</si>
  <si>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</si>
  <si>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</si>
  <si>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</si>
  <si>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</si>
  <si>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</si>
  <si>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</si>
  <si>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</si>
  <si>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</si>
  <si>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</si>
  <si>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</si>
  <si>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</si>
  <si>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</si>
  <si>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</si>
  <si>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</si>
  <si>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</si>
  <si>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</si>
  <si>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</si>
  <si>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</si>
  <si>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</si>
  <si>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</si>
  <si>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</si>
  <si>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</si>
  <si>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</si>
  <si>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</si>
  <si>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</si>
  <si>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</si>
  <si>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</si>
  <si>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</si>
  <si>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</si>
  <si>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</si>
  <si>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</si>
  <si>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</si>
  <si>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</si>
  <si>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</si>
  <si>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</si>
  <si>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</si>
  <si>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</si>
  <si>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</si>
  <si>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</si>
  <si>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</si>
  <si>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</si>
  <si>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</si>
  <si>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</si>
  <si>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</si>
  <si>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</si>
  <si>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</si>
  <si>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</si>
  <si>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</si>
  <si>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</si>
  <si>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</si>
  <si>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</si>
  <si>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</si>
  <si>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</si>
  <si>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</si>
  <si>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</si>
  <si>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</si>
  <si>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</si>
  <si>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</si>
  <si>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</si>
  <si>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</si>
  <si>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</si>
  <si>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</si>
  <si>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</si>
  <si>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</si>
  <si>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</si>
  <si>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</si>
  <si>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</si>
  <si>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</si>
  <si>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</si>
  <si>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</si>
  <si>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</si>
  <si>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</si>
  <si>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</si>
  <si>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</si>
  <si>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</si>
  <si>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</si>
  <si>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</si>
  <si>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</si>
  <si>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</si>
  <si>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</si>
  <si>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</si>
  <si>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</si>
  <si>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</si>
  <si>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</si>
  <si>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</si>
  <si>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</si>
  <si>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</si>
  <si>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</si>
  <si>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</si>
  <si>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</si>
  <si>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</si>
  <si>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</si>
  <si>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</si>
  <si>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</si>
  <si>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</si>
  <si>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</si>
  <si>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</si>
  <si>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</si>
  <si>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</si>
  <si>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</si>
  <si>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</si>
  <si>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</si>
  <si>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</si>
  <si>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</si>
  <si>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</si>
  <si>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</si>
  <si>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</si>
  <si>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</si>
  <si>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</si>
  <si>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</si>
  <si>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</si>
  <si>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</si>
  <si>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</si>
  <si>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</si>
  <si>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</si>
  <si>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</si>
  <si>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</si>
  <si>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</si>
  <si>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</si>
  <si>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</si>
  <si>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</si>
  <si>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</si>
  <si>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</si>
  <si>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</si>
  <si>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</si>
  <si>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</si>
  <si>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</si>
  <si>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</si>
  <si>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</si>
  <si>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</si>
  <si>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</si>
  <si>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</si>
  <si>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</si>
  <si>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</si>
  <si>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</si>
  <si>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</si>
  <si>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</si>
  <si>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</si>
  <si>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</si>
  <si>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</si>
  <si>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</si>
  <si>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</si>
  <si>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</si>
  <si>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</si>
  <si>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</si>
  <si>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</si>
  <si>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</si>
  <si>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</si>
  <si>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</si>
  <si>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</si>
  <si>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</si>
  <si>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</si>
  <si>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</si>
  <si>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</si>
  <si>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</si>
  <si>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</si>
  <si>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</si>
  <si>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</si>
  <si>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</si>
  <si>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</si>
  <si>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</si>
  <si>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</si>
  <si>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</si>
  <si>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</si>
  <si>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</si>
  <si>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</si>
  <si>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</si>
  <si>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</si>
  <si>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</si>
  <si>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</si>
  <si>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</si>
  <si>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</si>
  <si>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</si>
  <si>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</si>
  <si>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</si>
  <si>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</si>
  <si>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</si>
  <si>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</si>
  <si>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</si>
  <si>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</si>
  <si>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</si>
  <si>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</si>
  <si>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</si>
  <si>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</si>
  <si>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</si>
  <si>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</si>
  <si>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</si>
  <si>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</si>
  <si>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</si>
  <si>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</si>
  <si>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</si>
  <si>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</si>
  <si>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</si>
  <si>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</si>
  <si>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</si>
  <si>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</si>
  <si>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</si>
  <si>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</si>
  <si>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</si>
  <si>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</si>
  <si>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</si>
  <si>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</si>
  <si>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</si>
  <si>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</si>
  <si>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</si>
  <si>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</si>
  <si>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</si>
  <si>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</si>
  <si>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</si>
  <si>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</si>
  <si>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</si>
  <si>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</si>
  <si>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</si>
  <si>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</si>
  <si>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</si>
  <si>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</si>
  <si>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</si>
  <si>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</si>
  <si>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</si>
  <si>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</si>
  <si>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</si>
  <si>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</si>
  <si>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</si>
  <si>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</si>
  <si>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</si>
  <si>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</si>
  <si>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</si>
  <si>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</si>
  <si>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</si>
  <si>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</si>
  <si>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</si>
  <si>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</si>
  <si>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</si>
  <si>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</si>
  <si>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</si>
  <si>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</si>
  <si>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</si>
  <si>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</si>
  <si>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</si>
  <si>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</si>
  <si>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</si>
  <si>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</si>
  <si>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</si>
  <si>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</si>
  <si>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</si>
  <si>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</si>
  <si>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</si>
  <si>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</si>
  <si>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</si>
  <si>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</si>
  <si>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</si>
  <si>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</si>
  <si>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</si>
  <si>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</si>
  <si>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</si>
  <si>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</si>
  <si>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</si>
  <si>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</si>
  <si>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</si>
  <si>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</si>
  <si>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</si>
  <si>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</si>
  <si>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</si>
  <si>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</si>
  <si>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</si>
  <si>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</si>
  <si>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</si>
  <si>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</si>
  <si>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</si>
  <si>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</si>
  <si>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</si>
  <si>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</si>
  <si>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</si>
  <si>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</si>
  <si>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</si>
  <si>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</si>
  <si>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</si>
  <si>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</si>
  <si>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</si>
  <si>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</si>
  <si>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</si>
  <si>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</si>
  <si>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</si>
  <si>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</si>
  <si>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</si>
  <si>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</si>
  <si>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</si>
  <si>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</si>
  <si>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</si>
  <si>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</si>
  <si>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</si>
  <si>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</si>
  <si>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</si>
  <si>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</si>
  <si>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</si>
  <si>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</si>
  <si>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</si>
  <si>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</si>
  <si>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</si>
  <si>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</si>
  <si>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</si>
  <si>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</si>
  <si>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</si>
  <si>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</si>
  <si>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</si>
  <si>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</si>
  <si>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</si>
  <si>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</si>
  <si>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</si>
  <si>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</si>
  <si>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</si>
  <si>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</si>
  <si>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</si>
  <si>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</si>
  <si>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</si>
  <si>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</si>
  <si>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</si>
  <si>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</si>
  <si>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</si>
  <si>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</si>
  <si>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</si>
  <si>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</si>
  <si>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</si>
  <si>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</si>
  <si>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</si>
  <si>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</si>
  <si>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</si>
  <si>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</si>
  <si>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</si>
  <si>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</si>
  <si>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</si>
  <si>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</si>
  <si>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</si>
  <si>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</si>
  <si>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</si>
  <si>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</si>
  <si>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</si>
  <si>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</si>
  <si>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</si>
  <si>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</si>
  <si>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</si>
  <si>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</si>
  <si>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</si>
  <si>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</si>
  <si>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</si>
  <si>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</si>
  <si>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</si>
  <si>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</si>
  <si>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</si>
  <si>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</si>
  <si>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</si>
  <si>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</si>
  <si>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</si>
  <si>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</si>
  <si>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</si>
  <si>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</si>
  <si>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</si>
  <si>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</si>
  <si>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</si>
  <si>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</si>
  <si>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</si>
  <si>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</si>
  <si>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</si>
  <si>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</si>
  <si>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</si>
  <si>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</si>
  <si>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</si>
  <si>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</si>
  <si>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</si>
  <si>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</si>
  <si>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</si>
  <si>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</si>
  <si>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</si>
  <si>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</si>
  <si>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</si>
  <si>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</si>
  <si>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</si>
  <si>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</si>
  <si>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</si>
  <si>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</si>
  <si>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</si>
  <si>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</si>
  <si>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</si>
  <si>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</si>
  <si>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</si>
  <si>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</si>
  <si>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</si>
  <si>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</si>
  <si>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</si>
  <si>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</si>
  <si>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</si>
  <si>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</si>
  <si>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</si>
  <si>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</si>
  <si>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</si>
  <si>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</si>
  <si>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</si>
  <si>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</si>
  <si>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</si>
  <si>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</si>
  <si>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</si>
  <si>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</si>
  <si>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</si>
  <si>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</si>
  <si>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</si>
  <si>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</si>
  <si>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</si>
  <si>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</si>
  <si>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</si>
  <si>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</si>
  <si>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</si>
  <si>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</si>
  <si>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</si>
  <si>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</si>
  <si>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</si>
  <si>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</si>
  <si>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</si>
  <si>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</si>
  <si>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</si>
  <si>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</si>
  <si>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</si>
  <si>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</si>
  <si>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</si>
  <si>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</si>
  <si>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</si>
  <si>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</si>
  <si>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</si>
  <si>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</si>
  <si>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</si>
  <si>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</si>
  <si>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</si>
  <si>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</si>
  <si>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</si>
  <si>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</si>
  <si>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</si>
  <si>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</si>
  <si>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</si>
  <si>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</si>
  <si>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</si>
  <si>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</si>
  <si>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</si>
  <si>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</si>
  <si>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</si>
  <si>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</si>
  <si>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</si>
  <si>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</si>
  <si>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</si>
  <si>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</si>
  <si>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</si>
  <si>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</si>
  <si>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</si>
  <si>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</si>
  <si>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</si>
  <si>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</si>
  <si>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</si>
  <si>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</si>
  <si>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</si>
  <si>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</si>
  <si>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</si>
  <si>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</si>
  <si>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</si>
  <si>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</si>
  <si>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</si>
  <si>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</si>
  <si>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</si>
  <si>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</si>
  <si>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</si>
  <si>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</si>
  <si>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</si>
  <si>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</si>
  <si>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</si>
  <si>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</si>
  <si>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</si>
  <si>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</si>
  <si>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</si>
  <si>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</si>
  <si>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</si>
  <si>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</si>
  <si>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</si>
  <si>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</si>
  <si>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</si>
  <si>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</si>
  <si>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</si>
  <si>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</si>
  <si>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</si>
  <si>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</si>
  <si>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</si>
  <si>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</si>
  <si>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</si>
  <si>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</si>
  <si>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</si>
  <si>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</si>
  <si>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</si>
  <si>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</si>
  <si>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</si>
  <si>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</si>
  <si>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</si>
  <si>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</si>
  <si>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</si>
  <si>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</si>
  <si>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</si>
  <si>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</si>
  <si>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</si>
  <si>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</si>
  <si>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</si>
  <si>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</si>
  <si>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</si>
  <si>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</si>
  <si>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</si>
  <si>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</si>
  <si>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</si>
  <si>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</si>
  <si>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</si>
  <si>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</si>
  <si>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</si>
  <si>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</si>
  <si>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</si>
  <si>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</si>
  <si>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</si>
  <si>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</si>
  <si>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</si>
  <si>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</si>
  <si>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</si>
  <si>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</si>
  <si>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</si>
  <si>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</si>
  <si>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</si>
  <si>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</si>
  <si>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</si>
  <si>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</si>
  <si>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</si>
  <si>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</si>
  <si>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</si>
  <si>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</si>
  <si>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</si>
  <si>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</si>
  <si>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</si>
  <si>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</si>
  <si>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</si>
  <si>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</si>
  <si>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</si>
  <si>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</si>
  <si>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</si>
  <si>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</si>
  <si>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</si>
  <si>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</si>
  <si>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</si>
  <si>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</si>
  <si>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</si>
  <si>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</si>
  <si>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</si>
  <si>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</si>
  <si>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</si>
  <si>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</si>
  <si>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</si>
  <si>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</si>
  <si>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</si>
  <si>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</si>
  <si>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</si>
  <si>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</si>
  <si>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</si>
  <si>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</si>
  <si>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</si>
  <si>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</si>
  <si>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</si>
  <si>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</si>
  <si>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</si>
  <si>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</si>
  <si>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</si>
  <si>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</si>
  <si>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</si>
  <si>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</si>
  <si>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</si>
  <si>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</si>
  <si>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</si>
  <si>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</si>
  <si>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</si>
  <si>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</si>
  <si>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</si>
  <si>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</si>
  <si>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</si>
  <si>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</si>
  <si>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</si>
  <si>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</si>
  <si>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</si>
  <si>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</si>
  <si>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</si>
  <si>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</si>
  <si>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</si>
  <si>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</si>
  <si>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</si>
  <si>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</si>
  <si>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</si>
  <si>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</si>
  <si>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</si>
  <si>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</si>
  <si>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</si>
  <si>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</si>
  <si>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</si>
  <si>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</si>
  <si>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</si>
  <si>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</si>
  <si>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</si>
  <si>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</si>
  <si>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</si>
  <si>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</si>
  <si>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</si>
  <si>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</si>
  <si>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</si>
  <si>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</si>
  <si>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</si>
  <si>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</si>
  <si>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</si>
  <si>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</si>
  <si>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</si>
  <si>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</si>
  <si>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</si>
  <si>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</si>
  <si>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</si>
  <si>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</si>
  <si>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</si>
  <si>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</si>
  <si>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</si>
  <si>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</si>
  <si>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</si>
  <si>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</si>
  <si>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</si>
  <si>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</si>
  <si>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</si>
  <si>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</si>
  <si>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</si>
  <si>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</si>
  <si>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</si>
  <si>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</si>
  <si>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</si>
  <si>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</si>
  <si>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</si>
  <si>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</si>
  <si>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</si>
  <si>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</si>
  <si>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</si>
  <si>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</si>
  <si>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</si>
  <si>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</si>
  <si>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</si>
  <si>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</si>
  <si>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</si>
  <si>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</si>
  <si>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</si>
  <si>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</si>
  <si>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</si>
  <si>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</si>
  <si>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</si>
  <si>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</si>
  <si>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</si>
  <si>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</si>
  <si>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</si>
  <si>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</si>
  <si>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</si>
  <si>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</si>
  <si>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</si>
  <si>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</si>
  <si>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</si>
  <si>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</si>
  <si>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</si>
  <si>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</si>
  <si>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</si>
  <si>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</si>
  <si>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</si>
  <si>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</si>
  <si>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</si>
  <si>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</si>
  <si>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</si>
  <si>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</si>
  <si>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</si>
  <si>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</si>
  <si>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</si>
  <si>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</si>
  <si>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</si>
  <si>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</si>
  <si>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</si>
  <si>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</si>
  <si>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</si>
  <si>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</si>
  <si>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</si>
  <si>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</si>
  <si>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</si>
  <si>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</si>
  <si>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</si>
  <si>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</si>
  <si>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</si>
  <si>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</si>
  <si>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</si>
  <si>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</si>
  <si>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</si>
  <si>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</si>
  <si>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</si>
  <si>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</si>
  <si>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</si>
  <si>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</si>
  <si>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</si>
  <si>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</si>
  <si>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</si>
  <si>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</si>
  <si>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</si>
  <si>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</si>
  <si>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</si>
  <si>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</si>
  <si>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</si>
  <si>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</si>
  <si>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</si>
  <si>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</si>
  <si>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</si>
  <si>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</si>
  <si>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</si>
  <si>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</si>
  <si>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</si>
  <si>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</si>
  <si>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</si>
  <si>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</si>
  <si>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</si>
  <si>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</si>
  <si>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</si>
  <si>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</si>
  <si>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</si>
  <si>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</si>
  <si>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</si>
  <si>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</si>
  <si>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</si>
  <si>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</si>
  <si>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</si>
  <si>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</si>
  <si>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</si>
  <si>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</si>
  <si>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</si>
  <si>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</si>
  <si>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</si>
  <si>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</si>
  <si>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</si>
  <si>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</si>
  <si>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</si>
  <si>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</si>
  <si>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</si>
  <si>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</si>
  <si>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</si>
  <si>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</si>
  <si>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</si>
  <si>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</si>
  <si>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</si>
  <si>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</si>
  <si>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</si>
  <si>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</si>
  <si>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</si>
  <si>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</si>
  <si>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</si>
  <si>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</si>
  <si>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</si>
  <si>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</si>
  <si>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</si>
  <si>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</si>
  <si>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</si>
  <si>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</si>
  <si>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</si>
  <si>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</si>
  <si>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</si>
  <si>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</si>
  <si>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</si>
  <si>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</si>
  <si>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</si>
  <si>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</si>
  <si>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</si>
  <si>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</si>
  <si>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</si>
  <si>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</si>
  <si>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</si>
  <si>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</si>
  <si>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</si>
  <si>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</si>
  <si>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</si>
  <si>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</si>
  <si>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</si>
  <si>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</si>
  <si>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</si>
  <si>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</si>
  <si>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</si>
  <si>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</si>
  <si>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</si>
  <si>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</si>
  <si>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</si>
  <si>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</si>
  <si>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</si>
  <si>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</si>
  <si>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</si>
  <si>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</si>
  <si>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</si>
  <si>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</si>
  <si>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</si>
  <si>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</si>
  <si>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</si>
  <si>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</si>
  <si>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</si>
  <si>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</si>
  <si>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</si>
  <si>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</si>
  <si>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</si>
  <si>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</si>
  <si>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</si>
  <si>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</si>
  <si>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</si>
  <si>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</si>
  <si>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</si>
  <si>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</si>
  <si>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</si>
  <si>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</si>
  <si>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</si>
  <si>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</si>
  <si>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</si>
  <si>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</si>
  <si>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</si>
  <si>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</si>
  <si>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</si>
  <si>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</si>
  <si>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</si>
  <si>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</si>
  <si>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</si>
  <si>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</si>
  <si>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</si>
  <si>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</si>
  <si>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</si>
  <si>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</si>
  <si>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</si>
  <si>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</si>
  <si>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</si>
  <si>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</si>
  <si>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</si>
  <si>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</si>
  <si>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</si>
  <si>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</si>
  <si>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</si>
  <si>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</si>
  <si>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</si>
  <si>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</si>
  <si>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</si>
  <si>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</si>
  <si>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</si>
  <si>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</si>
  <si>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</si>
  <si>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</si>
  <si>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</si>
  <si>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</si>
  <si>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</si>
  <si>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</si>
  <si>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</si>
  <si>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</si>
  <si>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</si>
  <si>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</si>
  <si>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</si>
  <si>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</si>
  <si>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</si>
  <si>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</si>
  <si>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</si>
  <si>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</si>
  <si>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</si>
  <si>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</si>
  <si>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</si>
  <si>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</si>
  <si>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</si>
  <si>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</si>
  <si>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</si>
  <si>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</si>
  <si>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</si>
  <si>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</si>
  <si>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</si>
  <si>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</si>
  <si>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</si>
  <si>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</si>
  <si>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</si>
  <si>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</si>
  <si>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</si>
  <si>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</si>
  <si>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</si>
  <si>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</si>
  <si>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</si>
  <si>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</si>
  <si>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</si>
  <si>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</si>
  <si>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</si>
  <si>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</si>
  <si>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</si>
  <si>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</si>
  <si>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</si>
  <si>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</si>
  <si>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</si>
  <si>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</si>
  <si>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</si>
  <si>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</si>
  <si>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</si>
  <si>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</si>
  <si>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</si>
  <si>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</si>
  <si>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</si>
  <si>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</si>
  <si>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</si>
  <si>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</si>
  <si>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</si>
  <si>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</si>
  <si>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</si>
  <si>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</si>
  <si>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</si>
  <si>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</si>
  <si>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</si>
  <si>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</si>
  <si>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</si>
  <si>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</si>
  <si>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</si>
  <si>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</si>
  <si>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</si>
  <si>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</si>
  <si>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</si>
  <si>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</si>
  <si>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</si>
  <si>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</si>
  <si>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</si>
  <si>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</si>
  <si>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</si>
  <si>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</si>
  <si>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</si>
  <si>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</si>
  <si>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</si>
  <si>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</si>
  <si>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</si>
  <si>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</si>
  <si>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</si>
  <si>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</si>
  <si>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</si>
  <si>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</si>
  <si>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</si>
  <si>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</si>
  <si>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</si>
  <si>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</si>
  <si>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</si>
  <si>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</si>
  <si>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</si>
  <si>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</si>
  <si>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</si>
  <si>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</si>
  <si>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</si>
  <si>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</si>
  <si>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</si>
  <si>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</si>
  <si>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</si>
  <si>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</si>
  <si>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</si>
  <si>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</si>
  <si>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</si>
  <si>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</si>
  <si>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</si>
  <si>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</si>
  <si>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</si>
  <si>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</si>
  <si>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</si>
  <si>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</si>
  <si>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</si>
  <si>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</si>
  <si>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</si>
  <si>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</si>
  <si>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</si>
  <si>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</si>
  <si>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</si>
  <si>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</si>
  <si>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</si>
  <si>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</si>
  <si>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</si>
  <si>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</si>
  <si>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</si>
  <si>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</si>
  <si>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</si>
  <si>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</si>
  <si>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</si>
  <si>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</si>
  <si>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</si>
  <si>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</si>
  <si>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</si>
  <si>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</si>
  <si>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</si>
  <si>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</si>
  <si>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</si>
  <si>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</si>
  <si>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</si>
  <si>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</si>
  <si>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</si>
  <si>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</si>
  <si>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</si>
  <si>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</si>
  <si>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</si>
  <si>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</si>
  <si>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</si>
  <si>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</si>
  <si>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</si>
  <si>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</si>
  <si>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</si>
  <si>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</si>
  <si>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</si>
  <si>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</si>
  <si>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</si>
  <si>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</si>
  <si>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</si>
  <si>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</si>
  <si>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</si>
  <si>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</si>
  <si>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</si>
  <si>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</si>
  <si>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</si>
  <si>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</si>
  <si>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</si>
  <si>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</si>
  <si>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</si>
  <si>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</si>
  <si>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</si>
  <si>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</si>
  <si>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</si>
  <si>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</si>
  <si>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</si>
  <si>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</si>
  <si>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</si>
  <si>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</si>
  <si>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</si>
  <si>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</si>
  <si>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</si>
  <si>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</si>
  <si>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</si>
  <si>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</si>
  <si>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</si>
  <si>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</si>
  <si>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</si>
  <si>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</si>
  <si>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</si>
  <si>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</si>
  <si>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</si>
  <si>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</si>
  <si>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</si>
  <si>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</si>
  <si>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</si>
  <si>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</si>
  <si>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</si>
  <si>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</si>
  <si>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</si>
  <si>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</si>
  <si>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</si>
  <si>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</si>
  <si>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</si>
  <si>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</si>
  <si>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</si>
  <si>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</si>
  <si>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</si>
  <si>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</si>
  <si>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</si>
  <si>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</si>
  <si>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</si>
  <si>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</si>
  <si>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</si>
  <si>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</si>
  <si>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</si>
  <si>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</si>
  <si>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</si>
  <si>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</si>
  <si>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</si>
  <si>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</si>
  <si>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</si>
  <si>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</si>
  <si>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</si>
  <si>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</si>
  <si>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</si>
  <si>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</si>
  <si>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</si>
  <si>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</si>
  <si>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</si>
  <si>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</si>
  <si>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</si>
  <si>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</si>
  <si>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</si>
  <si>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</si>
  <si>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</si>
  <si>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</si>
  <si>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</si>
  <si>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</si>
  <si>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</si>
  <si>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</si>
  <si>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</si>
  <si>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</si>
  <si>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</si>
  <si>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</si>
  <si>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</si>
  <si>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</si>
  <si>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</si>
  <si>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</si>
  <si>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</si>
  <si>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</si>
  <si>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</si>
  <si>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</si>
  <si>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</si>
  <si>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</si>
  <si>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</si>
  <si>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</si>
  <si>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</si>
  <si>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</si>
  <si>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</si>
  <si>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</si>
  <si>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</si>
  <si>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</si>
  <si>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</si>
  <si>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</si>
  <si>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</si>
  <si>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</si>
  <si>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</si>
  <si>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</si>
  <si>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</si>
  <si>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</si>
  <si>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</si>
  <si>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</si>
  <si>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</si>
  <si>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</si>
  <si>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</si>
  <si>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</si>
  <si>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</si>
  <si>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</si>
  <si>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</si>
  <si>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</si>
  <si>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</si>
  <si>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</si>
  <si>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</si>
  <si>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</si>
  <si>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</si>
  <si>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</si>
  <si>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</si>
  <si>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</si>
  <si>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</si>
  <si>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</si>
  <si>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</si>
  <si>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</si>
  <si>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</si>
  <si>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</si>
  <si>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</si>
  <si>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</si>
  <si>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</si>
  <si>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</si>
  <si>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</si>
  <si>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</si>
  <si>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</si>
  <si>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</si>
  <si>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</si>
  <si>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</si>
  <si>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</si>
  <si>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</si>
  <si>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</si>
  <si>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</si>
  <si>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</si>
  <si>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</si>
  <si>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</si>
  <si>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</si>
  <si>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</si>
  <si>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</si>
  <si>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</si>
  <si>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</si>
  <si>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</si>
  <si>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</si>
  <si>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</si>
  <si>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</si>
  <si>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</si>
  <si>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</si>
  <si>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</si>
  <si>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</si>
  <si>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</si>
  <si>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</si>
  <si>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</si>
  <si>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</si>
  <si>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</si>
  <si>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</si>
  <si>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</si>
  <si>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</si>
  <si>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</si>
  <si>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</si>
  <si>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</si>
  <si>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</si>
  <si>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</si>
  <si>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</si>
  <si>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</si>
  <si>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</si>
  <si>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</si>
  <si>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</si>
  <si>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</si>
  <si>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</si>
  <si>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</si>
  <si>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</si>
  <si>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</si>
  <si>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</si>
  <si>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</si>
  <si>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</si>
  <si>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</si>
  <si>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</si>
  <si>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</si>
  <si>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</si>
  <si>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</si>
  <si>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</si>
  <si>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</si>
  <si>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</si>
  <si>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</si>
  <si>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</si>
  <si>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</si>
  <si>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</si>
  <si>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</si>
  <si>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</si>
  <si>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</si>
  <si>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</si>
  <si>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</si>
  <si>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</si>
  <si>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</si>
  <si>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</si>
  <si>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</si>
  <si>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</si>
  <si>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</si>
  <si>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</si>
  <si>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</si>
  <si>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</si>
  <si>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</si>
  <si>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</si>
  <si>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</si>
  <si>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</si>
  <si>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</si>
  <si>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</si>
  <si>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</si>
  <si>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</si>
  <si>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</si>
  <si>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</si>
  <si>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</si>
  <si>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</si>
  <si>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</si>
  <si>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</si>
  <si>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</si>
  <si>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</si>
  <si>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</si>
  <si>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</si>
  <si>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</si>
  <si>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</si>
  <si>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</si>
  <si>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</si>
  <si>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</si>
  <si>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</si>
  <si>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</si>
  <si>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</si>
  <si>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</si>
  <si>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</si>
  <si>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</si>
  <si>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</si>
  <si>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</si>
  <si>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</si>
  <si>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</si>
  <si>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</si>
  <si>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</si>
  <si>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</si>
  <si>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</si>
  <si>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</si>
  <si>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</si>
  <si>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</si>
  <si>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</si>
  <si>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</si>
  <si>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</si>
  <si>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</si>
  <si>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</si>
  <si>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</si>
  <si>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</si>
  <si>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</si>
  <si>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</si>
  <si>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</si>
  <si>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</si>
  <si>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</si>
  <si>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</si>
  <si>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</si>
  <si>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</si>
  <si>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</si>
  <si>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</si>
  <si>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</si>
  <si>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</si>
  <si>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</si>
  <si>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</si>
  <si>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</si>
  <si>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</si>
  <si>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</si>
  <si>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</si>
  <si>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</si>
  <si>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</si>
  <si>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</si>
  <si>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</si>
  <si>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</si>
  <si>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</si>
  <si>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</si>
  <si>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</si>
  <si>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</si>
  <si>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</si>
  <si>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</si>
  <si>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</si>
  <si>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</si>
  <si>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</si>
  <si>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</si>
  <si>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</si>
  <si>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</si>
  <si>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</si>
  <si>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</si>
  <si>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</si>
  <si>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</si>
  <si>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</si>
  <si>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</si>
  <si>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</si>
  <si>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</si>
  <si>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</si>
  <si>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</si>
  <si>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</si>
  <si>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</si>
  <si>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</si>
  <si>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</si>
  <si>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</si>
  <si>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</si>
  <si>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</si>
  <si>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</si>
  <si>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</si>
  <si>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</si>
  <si>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</si>
  <si>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</si>
  <si>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</si>
  <si>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</si>
  <si>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</si>
  <si>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</si>
  <si>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</si>
  <si>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</si>
  <si>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</si>
  <si>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</si>
  <si>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</si>
  <si>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</si>
  <si>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</si>
  <si>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</si>
  <si>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</si>
  <si>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</si>
  <si>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</si>
  <si>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</si>
  <si>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</si>
  <si>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</si>
  <si>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</si>
  <si>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</si>
  <si>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</si>
  <si>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</si>
  <si>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</si>
  <si>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</si>
  <si>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</si>
  <si>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</si>
  <si>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</si>
  <si>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</si>
  <si>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</si>
  <si>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</si>
  <si>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</si>
  <si>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</si>
  <si>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</si>
  <si>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</si>
  <si>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</si>
  <si>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</si>
  <si>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</si>
  <si>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</si>
  <si>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</si>
  <si>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</si>
  <si>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</si>
  <si>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</si>
  <si>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</si>
  <si>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</si>
  <si>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</si>
  <si>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</si>
  <si>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</si>
  <si>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</si>
  <si>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</si>
  <si>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</si>
  <si>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</si>
  <si>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</si>
  <si>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</si>
  <si>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</si>
  <si>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</si>
  <si>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</si>
  <si>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</si>
  <si>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</si>
  <si>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</si>
  <si>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</si>
  <si>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</si>
  <si>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</si>
  <si>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</si>
  <si>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</si>
  <si>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</si>
  <si>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</si>
  <si>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</si>
  <si>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</si>
  <si>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</si>
  <si>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</si>
  <si>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</si>
  <si>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</si>
  <si>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</si>
  <si>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</si>
  <si>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</si>
  <si>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</si>
  <si>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</si>
  <si>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</si>
  <si>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</si>
  <si>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</si>
  <si>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</si>
  <si>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</si>
  <si>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</si>
  <si>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</si>
  <si>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</si>
  <si>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</si>
  <si>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</si>
  <si>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</si>
  <si>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</si>
  <si>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</si>
  <si>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</si>
  <si>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</si>
  <si>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</si>
  <si>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</si>
  <si>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</si>
  <si>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</si>
  <si>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</si>
  <si>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</si>
  <si>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</si>
  <si>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</si>
  <si>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</si>
  <si>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</si>
  <si>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</si>
  <si>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</si>
  <si>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</si>
  <si>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</si>
  <si>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</si>
  <si>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</si>
  <si>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</si>
  <si>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</si>
  <si>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</si>
  <si>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</si>
  <si>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</si>
  <si>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</si>
  <si>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</si>
  <si>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</si>
  <si>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</si>
  <si>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</si>
  <si>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</si>
  <si>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</si>
  <si>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</si>
  <si>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</si>
  <si>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</si>
  <si>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</si>
  <si>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</si>
  <si>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</si>
  <si>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</si>
  <si>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</si>
  <si>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</si>
  <si>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</si>
  <si>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</si>
  <si>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</si>
  <si>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</si>
  <si>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</si>
  <si>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</si>
  <si>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</si>
  <si>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</si>
  <si>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</si>
  <si>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</si>
  <si>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</si>
  <si>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</si>
  <si>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</si>
  <si>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</si>
  <si>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</si>
  <si>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</si>
  <si>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</si>
  <si>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</si>
  <si>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</si>
  <si>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</si>
  <si>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</si>
  <si>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</si>
  <si>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</si>
  <si>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</si>
  <si>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</si>
  <si>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</si>
  <si>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</si>
  <si>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</si>
  <si>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</si>
  <si>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</si>
  <si>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</si>
  <si>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</si>
  <si>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</si>
  <si>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</si>
  <si>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</si>
  <si>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</si>
  <si>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</si>
  <si>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</si>
  <si>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</si>
  <si>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</si>
  <si>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</si>
  <si>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</si>
  <si>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</si>
  <si>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</si>
  <si>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</si>
  <si>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</si>
  <si>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</si>
  <si>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</si>
  <si>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</si>
  <si>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</si>
  <si>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</si>
  <si>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</si>
  <si>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</si>
  <si>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</si>
  <si>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</si>
  <si>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</si>
  <si>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</si>
  <si>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</si>
  <si>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</si>
  <si>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</si>
  <si>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</si>
  <si>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</si>
  <si>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</si>
  <si>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</si>
  <si>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</si>
  <si>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</si>
  <si>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</si>
  <si>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</si>
  <si>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</si>
  <si>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</si>
  <si>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</si>
  <si>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</si>
  <si>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</si>
  <si>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</si>
  <si>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</si>
  <si>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</si>
  <si>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</si>
  <si>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</si>
  <si>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</si>
  <si>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</si>
  <si>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</si>
  <si>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</si>
  <si>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</si>
  <si>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</si>
  <si>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</si>
  <si>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</si>
  <si>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</si>
  <si>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</si>
  <si>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</si>
  <si>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</si>
  <si>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</si>
  <si>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</si>
  <si>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</si>
  <si>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</si>
  <si>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</si>
  <si>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</si>
  <si>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</si>
  <si>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</si>
  <si>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</si>
  <si>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</si>
  <si>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</si>
  <si>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</si>
  <si>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</si>
  <si>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</si>
  <si>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</si>
  <si>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</si>
  <si>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</si>
  <si>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</si>
  <si>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</si>
  <si>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</si>
  <si>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</si>
  <si>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</si>
  <si>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</si>
  <si>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</si>
  <si>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</si>
  <si>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</si>
  <si>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</si>
  <si>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</si>
  <si>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</si>
  <si>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</si>
  <si>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</si>
  <si>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</si>
  <si>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</si>
  <si>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</si>
  <si>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</si>
  <si>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</si>
  <si>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</si>
  <si>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</si>
  <si>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</si>
  <si>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</si>
  <si>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</si>
  <si>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</si>
  <si>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</si>
  <si>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</si>
  <si>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</si>
  <si>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</si>
  <si>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</si>
  <si>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</si>
  <si>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</si>
  <si>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</si>
  <si>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</si>
  <si>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</si>
  <si>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</si>
  <si>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</si>
  <si>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</si>
  <si>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</si>
  <si>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</si>
  <si>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</si>
  <si>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</si>
  <si>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</si>
  <si>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</si>
  <si>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</si>
  <si>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</si>
  <si>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</si>
  <si>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</si>
  <si>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</si>
  <si>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</si>
  <si>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</si>
  <si>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</si>
  <si>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</si>
  <si>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</si>
  <si>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</si>
  <si>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</si>
  <si>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</si>
  <si>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</si>
  <si>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</si>
  <si>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</si>
  <si>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</si>
  <si>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</si>
  <si>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</si>
  <si>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</si>
  <si>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</si>
  <si>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</si>
  <si>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</si>
  <si>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</si>
  <si>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</si>
  <si>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</si>
  <si>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</si>
  <si>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</si>
  <si>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</si>
  <si>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</si>
  <si>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</si>
  <si>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</si>
  <si>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</si>
  <si>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</si>
  <si>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</si>
  <si>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</si>
  <si>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</si>
  <si>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</si>
  <si>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</si>
  <si>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</si>
  <si>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</si>
  <si>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</si>
  <si>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</si>
  <si>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</si>
  <si>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</si>
  <si>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</si>
  <si>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</si>
  <si>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</si>
  <si>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</si>
  <si>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</si>
  <si>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</si>
  <si>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</si>
  <si>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</si>
  <si>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</si>
  <si>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</si>
  <si>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</si>
  <si>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</si>
  <si>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</si>
  <si>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</si>
  <si>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</si>
  <si>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</si>
  <si>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</si>
  <si>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</si>
  <si>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</si>
  <si>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</si>
  <si>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</si>
  <si>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</si>
  <si>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</si>
  <si>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</si>
  <si>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</si>
  <si>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</si>
  <si>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</si>
  <si>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</si>
  <si>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</si>
  <si>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</si>
  <si>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</si>
  <si>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</si>
  <si>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</si>
  <si>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</si>
  <si>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</si>
  <si>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</si>
  <si>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</si>
  <si>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</si>
  <si>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</si>
  <si>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</si>
  <si>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</si>
  <si>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</si>
  <si>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</si>
  <si>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</si>
  <si>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</si>
  <si>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</si>
  <si>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</si>
  <si>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</si>
  <si>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</si>
  <si>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</si>
  <si>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</si>
  <si>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</si>
  <si>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</si>
  <si>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</si>
  <si>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</si>
  <si>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</si>
  <si>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</si>
  <si>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</si>
  <si>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</si>
  <si>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</si>
  <si>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</si>
  <si>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</si>
  <si>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</si>
  <si>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</si>
  <si>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</si>
  <si>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</si>
  <si>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</si>
  <si>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</si>
  <si>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</si>
  <si>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</si>
  <si>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</si>
  <si>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</si>
  <si>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</si>
  <si>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</si>
  <si>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</si>
  <si>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</si>
  <si>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</si>
  <si>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</si>
  <si>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</si>
  <si>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</si>
  <si>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</si>
  <si>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</si>
  <si>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</si>
  <si>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</si>
  <si>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</si>
  <si>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</si>
  <si>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</si>
  <si>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</si>
  <si>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</si>
  <si>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</si>
  <si>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</si>
  <si>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</si>
  <si>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</si>
  <si>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</si>
  <si>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</si>
  <si>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</si>
  <si>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</si>
  <si>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</si>
  <si>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</si>
  <si>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</si>
  <si>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</si>
  <si>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</si>
  <si>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</si>
  <si>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</si>
  <si>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</si>
  <si>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</si>
  <si>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</si>
  <si>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</si>
  <si>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</si>
  <si>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</si>
  <si>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</si>
  <si>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</si>
  <si>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</si>
  <si>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</si>
  <si>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</si>
  <si>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</si>
  <si>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</si>
  <si>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</si>
  <si>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</si>
  <si>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</si>
  <si>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</si>
  <si>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</si>
  <si>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</si>
  <si>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</si>
  <si>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</si>
  <si>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</si>
  <si>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</si>
  <si>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</si>
  <si>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</si>
  <si>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</si>
  <si>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</si>
  <si>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</si>
  <si>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</si>
  <si>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</si>
  <si>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</si>
  <si>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</si>
  <si>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</si>
  <si>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</si>
  <si>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</si>
  <si>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</si>
  <si>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</si>
  <si>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</si>
  <si>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</si>
  <si>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</si>
  <si>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</si>
  <si>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</si>
  <si>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</si>
  <si>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</si>
  <si>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</si>
  <si>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</si>
  <si>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</si>
  <si>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</si>
  <si>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</si>
  <si>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</si>
  <si>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</si>
  <si>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</si>
  <si>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</si>
  <si>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</si>
  <si>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</si>
  <si>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</si>
  <si>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</si>
  <si>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</si>
  <si>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</si>
  <si>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</si>
  <si>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</si>
  <si>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</si>
  <si>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</si>
  <si>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</si>
  <si>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</si>
  <si>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</si>
  <si>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</si>
  <si>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</si>
  <si>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</si>
  <si>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</si>
  <si>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</si>
  <si>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</si>
  <si>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</si>
  <si>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</si>
  <si>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</si>
  <si>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</si>
  <si>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</si>
  <si>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</si>
  <si>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</si>
  <si>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</si>
  <si>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</si>
  <si>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</si>
  <si>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</si>
  <si>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</si>
  <si>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</si>
  <si>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</si>
  <si>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</si>
  <si>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</si>
  <si>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</si>
  <si>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</si>
  <si>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</si>
  <si>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</si>
  <si>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</si>
  <si>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</si>
  <si>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</si>
  <si>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</si>
  <si>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</si>
  <si>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</si>
  <si>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</si>
  <si>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</si>
  <si>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</si>
  <si>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</si>
  <si>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</si>
  <si>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</si>
  <si>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</si>
  <si>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</si>
  <si>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</si>
  <si>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</si>
  <si>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</si>
  <si>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</si>
  <si>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</si>
  <si>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</si>
  <si>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</si>
  <si>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</si>
  <si>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</si>
  <si>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</si>
  <si>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</si>
  <si>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</si>
  <si>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</si>
  <si>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</si>
  <si>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</si>
  <si>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</si>
  <si>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</si>
  <si>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</si>
  <si>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</si>
  <si>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</si>
  <si>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</si>
  <si>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</si>
  <si>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</si>
  <si>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</si>
  <si>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</si>
  <si>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</si>
  <si>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</si>
  <si>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</si>
  <si>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</si>
  <si>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</si>
  <si>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</si>
  <si>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</si>
  <si>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</si>
  <si>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</si>
  <si>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</si>
  <si>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</si>
  <si>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</si>
  <si>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</si>
  <si>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</si>
  <si>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</si>
  <si>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</si>
  <si>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</si>
  <si>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</si>
  <si>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</si>
  <si>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</si>
  <si>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</si>
  <si>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</si>
  <si>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</si>
  <si>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</si>
  <si>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</si>
  <si>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</si>
  <si>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</si>
  <si>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</si>
  <si>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</si>
  <si>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</si>
  <si>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</si>
  <si>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</si>
  <si>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</si>
  <si>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</si>
  <si>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</si>
  <si>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</si>
  <si>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</si>
  <si>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</si>
  <si>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</si>
  <si>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</si>
  <si>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</si>
  <si>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</si>
  <si>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</si>
  <si>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</si>
  <si>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</si>
  <si>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</si>
  <si>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</si>
  <si>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</si>
  <si>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</si>
  <si>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</si>
  <si>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</si>
  <si>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</si>
  <si>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</si>
  <si>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</si>
  <si>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</si>
  <si>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</si>
  <si>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</si>
  <si>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</si>
  <si>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</si>
  <si>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</si>
  <si>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</si>
  <si>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</si>
  <si>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</si>
  <si>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</si>
  <si>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</si>
  <si>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</si>
  <si>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</si>
  <si>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</si>
  <si>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</si>
  <si>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</si>
  <si>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</si>
  <si>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</si>
  <si>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</si>
  <si>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</si>
  <si>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</si>
  <si>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</si>
  <si>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</si>
  <si>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</si>
  <si>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</si>
  <si>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</si>
  <si>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</si>
  <si>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</si>
  <si>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</si>
  <si>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</si>
  <si>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</si>
  <si>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</si>
  <si>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</si>
  <si>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</si>
  <si>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</si>
  <si>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</si>
  <si>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</si>
  <si>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</si>
  <si>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</si>
  <si>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</si>
  <si>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</si>
  <si>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</si>
  <si>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</si>
  <si>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</si>
  <si>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</si>
  <si>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</si>
  <si>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</si>
  <si>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</si>
  <si>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</si>
  <si>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</si>
  <si>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</si>
  <si>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</si>
  <si>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</si>
  <si>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</si>
  <si>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</si>
  <si>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</si>
  <si>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</si>
  <si>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</si>
  <si>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</si>
  <si>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</si>
  <si>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</si>
  <si>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</si>
  <si>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</si>
  <si>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</si>
  <si>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</si>
  <si>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</si>
  <si>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</si>
  <si>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</si>
  <si>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</si>
  <si>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</si>
  <si>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</si>
  <si>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</si>
  <si>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</si>
  <si>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</si>
  <si>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</si>
  <si>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</si>
  <si>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</si>
  <si>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</si>
  <si>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</si>
  <si>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</si>
  <si>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</si>
  <si>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</si>
  <si>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</si>
  <si>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</si>
  <si>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</si>
  <si>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</si>
  <si>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</si>
  <si>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</si>
  <si>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</si>
  <si>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</si>
  <si>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</si>
  <si>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</si>
  <si>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</si>
  <si>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</si>
  <si>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</si>
  <si>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</si>
  <si>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</si>
  <si>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</si>
  <si>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</si>
  <si>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</si>
  <si>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</si>
  <si>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</si>
  <si>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</si>
  <si>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</si>
  <si>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</si>
  <si>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</si>
  <si>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</si>
  <si>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</si>
  <si>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</si>
  <si>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</si>
  <si>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</si>
  <si>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</si>
  <si>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</si>
  <si>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</si>
  <si>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</si>
  <si>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</si>
  <si>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</si>
  <si>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</si>
  <si>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</si>
  <si>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</si>
  <si>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</si>
  <si>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</si>
  <si>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</si>
  <si>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</si>
  <si>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</si>
  <si>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</si>
  <si>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</si>
  <si>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</si>
  <si>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</si>
  <si>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</si>
  <si>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</si>
  <si>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</si>
  <si>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</si>
  <si>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</si>
  <si>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</si>
  <si>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</si>
  <si>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</si>
  <si>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</si>
  <si>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</si>
  <si>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</si>
  <si>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</si>
  <si>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</si>
  <si>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</si>
  <si>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</si>
  <si>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</si>
  <si>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</si>
  <si>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</si>
  <si>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</si>
  <si>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</si>
  <si>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</si>
  <si>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</si>
  <si>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</si>
  <si>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</si>
  <si>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</si>
  <si>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</si>
  <si>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</si>
  <si>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</si>
  <si>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</si>
  <si>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</si>
  <si>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</si>
  <si>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</si>
  <si>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</si>
  <si>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</si>
  <si>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</si>
  <si>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</si>
  <si>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</si>
  <si>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</si>
  <si>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</si>
  <si>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</si>
  <si>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</si>
  <si>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</si>
  <si>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</si>
  <si>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</si>
  <si>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</si>
  <si>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</si>
  <si>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</si>
  <si>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</si>
  <si>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</si>
  <si>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</si>
  <si>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</si>
  <si>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</si>
  <si>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</si>
  <si>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</si>
  <si>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</si>
  <si>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</si>
  <si>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按租金收入计税</t>
  </si>
  <si>
    <t>成本法</t>
  </si>
  <si>
    <t>收益法</t>
  </si>
  <si>
    <t>钢混</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</si>
  <si>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</si>
  <si>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</si>
  <si>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</si>
  <si>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</si>
  <si>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</si>
  <si>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</si>
  <si>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</si>
  <si>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</si>
  <si>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</si>
  <si>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</si>
  <si>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</si>
  <si>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</si>
  <si>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</si>
  <si>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</si>
  <si>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</si>
  <si>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</si>
  <si>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</si>
  <si>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</si>
  <si>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</si>
  <si>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</si>
  <si>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</si>
  <si>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</si>
  <si>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</si>
  <si>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</si>
  <si>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</si>
  <si>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</si>
  <si>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</si>
  <si>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</si>
  <si>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</si>
  <si>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</si>
  <si>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</si>
  <si>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</si>
  <si>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</si>
  <si>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</si>
  <si>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</si>
  <si>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</si>
  <si>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</si>
  <si>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</si>
  <si>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</si>
  <si>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</si>
  <si>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</si>
  <si>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</si>
  <si>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</si>
  <si>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</si>
  <si>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</si>
  <si>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</si>
  <si>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</si>
  <si>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</si>
  <si>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</si>
  <si>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</si>
  <si>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</si>
  <si>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</si>
  <si>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</si>
  <si>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</si>
  <si>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</si>
  <si>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</si>
  <si>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</si>
  <si>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</si>
  <si>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</si>
  <si>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</si>
  <si>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</si>
  <si>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</si>
  <si>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</si>
  <si>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</si>
  <si>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</si>
  <si>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</si>
  <si>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</si>
  <si>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</si>
  <si>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</si>
  <si>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</si>
  <si>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</si>
  <si>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</si>
  <si>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</si>
  <si>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</si>
  <si>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</si>
  <si>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</si>
  <si>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</si>
  <si>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</si>
  <si>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</si>
  <si>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</si>
  <si>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</si>
  <si>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</si>
  <si>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</si>
  <si>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</si>
  <si>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</si>
  <si>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</si>
  <si>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</si>
  <si>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</si>
  <si>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</si>
  <si>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</si>
  <si>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</si>
  <si>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</si>
  <si>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</si>
  <si>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</si>
  <si>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</si>
  <si>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</si>
  <si>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</si>
  <si>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</si>
  <si>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</si>
  <si>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</si>
  <si>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</si>
  <si>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</si>
  <si>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</si>
  <si>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</si>
  <si>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</si>
  <si>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</si>
  <si>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</si>
  <si>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</si>
  <si>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</si>
  <si>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</si>
  <si>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</si>
  <si>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</si>
  <si>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</si>
  <si>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</si>
  <si>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</si>
  <si>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</si>
  <si>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</si>
  <si>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</si>
  <si>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</si>
  <si>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</si>
  <si>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</si>
  <si>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</si>
  <si>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</si>
  <si>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</si>
  <si>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</si>
  <si>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</si>
  <si>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</si>
  <si>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</si>
  <si>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</si>
  <si>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</si>
  <si>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</si>
  <si>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</si>
  <si>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</si>
  <si>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</si>
  <si>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</si>
  <si>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</si>
  <si>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</si>
  <si>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</si>
  <si>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</si>
  <si>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</si>
  <si>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</si>
  <si>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</si>
  <si>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</si>
  <si>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</si>
  <si>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</si>
  <si>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</si>
  <si>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</si>
  <si>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</si>
  <si>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</si>
  <si>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</si>
  <si>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</si>
  <si>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</si>
  <si>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</si>
  <si>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</si>
  <si>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</si>
  <si>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</si>
  <si>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</si>
  <si>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</si>
  <si>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</si>
  <si>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</si>
  <si>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</si>
  <si>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</si>
  <si>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</si>
  <si>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</si>
  <si>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</si>
  <si>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</si>
  <si>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</si>
  <si>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</si>
  <si>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</si>
  <si>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</si>
  <si>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</si>
  <si>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</si>
  <si>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</si>
  <si>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</si>
  <si>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</si>
  <si>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</si>
  <si>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</si>
  <si>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</si>
  <si>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</si>
  <si>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</si>
  <si>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</si>
  <si>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</si>
  <si>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</si>
  <si>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</si>
  <si>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</si>
  <si>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</si>
  <si>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</si>
  <si>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</si>
  <si>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</si>
  <si>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</si>
  <si>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</si>
  <si>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</si>
  <si>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</si>
  <si>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</si>
  <si>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</si>
  <si>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</si>
  <si>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</si>
  <si>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</si>
  <si>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</si>
  <si>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</si>
  <si>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</si>
  <si>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</si>
  <si>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</si>
  <si>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</si>
  <si>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</si>
  <si>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</si>
  <si>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</si>
  <si>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</si>
  <si>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</si>
  <si>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</si>
  <si>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</si>
  <si>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</si>
  <si>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</si>
  <si>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</si>
  <si>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</si>
  <si>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</si>
  <si>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</si>
  <si>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</si>
  <si>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</si>
  <si>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</si>
  <si>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</si>
  <si>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</si>
  <si>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</si>
  <si>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</si>
  <si>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</si>
  <si>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</si>
  <si>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</si>
  <si>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</si>
  <si>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</si>
  <si>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</si>
  <si>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</si>
  <si>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</si>
  <si>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</si>
  <si>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</si>
  <si>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</si>
  <si>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</si>
  <si>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</si>
  <si>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</si>
  <si>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</si>
  <si>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</si>
  <si>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</si>
  <si>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</si>
  <si>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</si>
  <si>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</si>
  <si>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</si>
  <si>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</si>
  <si>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</si>
  <si>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</si>
  <si>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</si>
  <si>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</si>
  <si>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</si>
  <si>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</si>
  <si>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</si>
  <si>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</si>
  <si>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</si>
  <si>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</si>
  <si>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</si>
  <si>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</si>
  <si>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</si>
  <si>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</si>
  <si>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</si>
  <si>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</si>
  <si>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</si>
  <si>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</si>
  <si>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</si>
  <si>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</si>
  <si>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</si>
  <si>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</si>
  <si>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</si>
  <si>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</si>
  <si>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</si>
  <si>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</si>
  <si>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</si>
  <si>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</si>
  <si>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</si>
  <si>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</si>
  <si>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</si>
  <si>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</si>
  <si>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</si>
  <si>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</si>
  <si>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</si>
  <si>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</si>
  <si>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</si>
  <si>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</si>
  <si>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</si>
  <si>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</si>
  <si>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</si>
  <si>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</si>
  <si>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</si>
  <si>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</si>
  <si>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</si>
  <si>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</si>
  <si>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</si>
  <si>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</si>
  <si>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</si>
  <si>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</si>
  <si>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</si>
  <si>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</si>
  <si>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</si>
  <si>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</si>
  <si>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</si>
  <si>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</si>
  <si>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</si>
  <si>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</si>
  <si>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</si>
  <si>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</si>
  <si>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</si>
  <si>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</si>
  <si>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</si>
  <si>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</si>
  <si>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</si>
  <si>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</si>
  <si>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</si>
  <si>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</si>
  <si>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</si>
  <si>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</si>
  <si>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</si>
  <si>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</si>
  <si>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https://www.icauto.com.cn/baike/70/704051.html</t>
  </si>
  <si>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</si>
  <si>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</si>
  <si>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</si>
  <si>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</si>
  <si>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</si>
  <si>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</si>
  <si>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</si>
  <si>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</si>
  <si>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</si>
  <si>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</si>
  <si>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</si>
  <si>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</si>
  <si>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</si>
  <si>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</si>
  <si>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</si>
  <si>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</si>
  <si>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</si>
  <si>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</si>
  <si>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</si>
  <si>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</si>
  <si>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</si>
  <si>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</si>
  <si>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</si>
  <si>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</si>
  <si>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</si>
  <si>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</si>
  <si>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</si>
  <si>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</si>
  <si>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</si>
  <si>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</si>
  <si>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</si>
  <si>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</si>
  <si>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</si>
  <si>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</si>
  <si>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</si>
  <si>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</si>
  <si>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</si>
  <si>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</si>
  <si>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</si>
  <si>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</si>
  <si>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</si>
  <si>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</si>
  <si>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</si>
  <si>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</si>
  <si>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</si>
  <si>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</si>
  <si>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</si>
  <si>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</si>
  <si>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</si>
  <si>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</si>
  <si>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</si>
  <si>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</si>
  <si>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</si>
  <si>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</si>
  <si>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t>房屋原值（万元）</t>
    <phoneticPr fontId="3" type="noConversion"/>
  </si>
  <si>
    <r>
      <rPr>
        <b/>
        <sz val="10"/>
        <rFont val="宋体"/>
        <family val="3"/>
        <charset val="134"/>
      </rPr>
      <t>小计</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</si>
  <si>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</si>
  <si>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</si>
  <si>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</si>
  <si>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</si>
  <si>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</si>
  <si>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</si>
  <si>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</si>
  <si>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</si>
  <si>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</si>
  <si>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</si>
  <si>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</si>
  <si>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</si>
  <si>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</si>
  <si>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</si>
  <si>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</si>
  <si>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</si>
  <si>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</si>
  <si>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</si>
  <si>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</si>
  <si>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</si>
  <si>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</si>
  <si>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</si>
  <si>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</si>
  <si>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</si>
  <si>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</si>
  <si>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</si>
  <si>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加油</t>
    <phoneticPr fontId="140" type="noConversion"/>
  </si>
  <si>
    <r>
      <rPr>
        <b/>
        <sz val="9"/>
        <rFont val="宋体"/>
        <family val="3"/>
        <charset val="134"/>
      </rPr>
      <t>序号</t>
    </r>
    <phoneticPr fontId="3" type="noConversion"/>
  </si>
  <si>
    <r>
      <rPr>
        <b/>
        <sz val="9"/>
        <rFont val="宋体"/>
        <family val="3"/>
        <charset val="134"/>
      </rPr>
      <t>项目名称</t>
    </r>
    <phoneticPr fontId="3" type="noConversion"/>
  </si>
  <si>
    <r>
      <rPr>
        <b/>
        <sz val="9"/>
        <rFont val="宋体"/>
        <family val="3"/>
        <charset val="134"/>
      </rPr>
      <t>总额</t>
    </r>
    <phoneticPr fontId="3" type="noConversion"/>
  </si>
  <si>
    <r>
      <rPr>
        <b/>
        <sz val="9"/>
        <rFont val="宋体"/>
        <family val="3"/>
        <charset val="134"/>
      </rPr>
      <t>相关系数</t>
    </r>
    <phoneticPr fontId="3" type="noConversion"/>
  </si>
  <si>
    <r>
      <rPr>
        <b/>
        <sz val="9"/>
        <rFont val="宋体"/>
        <family val="3"/>
        <charset val="134"/>
      </rPr>
      <t>备注</t>
    </r>
    <phoneticPr fontId="3" type="noConversion"/>
  </si>
  <si>
    <r>
      <rPr>
        <sz val="9"/>
        <rFont val="宋体"/>
        <family val="3"/>
        <charset val="134"/>
      </rPr>
      <t>周边商业租金</t>
    </r>
    <phoneticPr fontId="3" type="noConversion"/>
  </si>
  <si>
    <r>
      <rPr>
        <b/>
        <sz val="9"/>
        <rFont val="宋体"/>
        <family val="3"/>
        <charset val="134"/>
      </rPr>
      <t>经营成本</t>
    </r>
    <phoneticPr fontId="3" type="noConversion"/>
  </si>
  <si>
    <r>
      <rPr>
        <b/>
        <sz val="9"/>
        <rFont val="宋体"/>
        <family val="3"/>
        <charset val="134"/>
      </rPr>
      <t>耗用物品以及原材料等，以年总收入为基数计算</t>
    </r>
    <phoneticPr fontId="3" type="noConversion"/>
  </si>
  <si>
    <r>
      <rPr>
        <b/>
        <sz val="9"/>
        <rFont val="宋体"/>
        <family val="3"/>
        <charset val="134"/>
      </rPr>
      <t>经营费用</t>
    </r>
    <phoneticPr fontId="3" type="noConversion"/>
  </si>
  <si>
    <r>
      <rPr>
        <b/>
        <sz val="9"/>
        <rFont val="宋体"/>
        <family val="3"/>
        <charset val="134"/>
      </rPr>
      <t>工资、水电费、保险费、宣传费、差旅费、装修折旧等，以年总收入为基数计算</t>
    </r>
    <phoneticPr fontId="3" type="noConversion"/>
  </si>
  <si>
    <r>
      <rPr>
        <b/>
        <sz val="9"/>
        <rFont val="宋体"/>
        <family val="3"/>
        <charset val="134"/>
      </rPr>
      <t>税费</t>
    </r>
    <phoneticPr fontId="3" type="noConversion"/>
  </si>
  <si>
    <r>
      <rPr>
        <sz val="9"/>
        <rFont val="宋体"/>
        <family val="3"/>
        <charset val="134"/>
      </rPr>
      <t>（</t>
    </r>
    <r>
      <rPr>
        <sz val="9"/>
        <rFont val="Arial"/>
        <family val="2"/>
      </rPr>
      <t>1</t>
    </r>
    <r>
      <rPr>
        <sz val="9"/>
        <rFont val="宋体"/>
        <family val="3"/>
        <charset val="134"/>
      </rPr>
      <t>）</t>
    </r>
    <phoneticPr fontId="3" type="noConversion"/>
  </si>
  <si>
    <r>
      <rPr>
        <sz val="9"/>
        <rFont val="宋体"/>
        <family val="3"/>
        <charset val="134"/>
      </rPr>
      <t>房产税</t>
    </r>
    <phoneticPr fontId="3" type="noConversion"/>
  </si>
  <si>
    <r>
      <rPr>
        <b/>
        <sz val="9"/>
        <rFont val="宋体"/>
        <family val="3"/>
        <charset val="134"/>
      </rPr>
      <t>房屋原值</t>
    </r>
    <r>
      <rPr>
        <b/>
        <sz val="9"/>
        <rFont val="Arial"/>
        <family val="2"/>
      </rPr>
      <t>×70</t>
    </r>
    <r>
      <rPr>
        <b/>
        <sz val="9"/>
        <rFont val="宋体"/>
        <family val="3"/>
        <charset val="134"/>
      </rPr>
      <t>％</t>
    </r>
    <r>
      <rPr>
        <b/>
        <sz val="9"/>
        <rFont val="Arial"/>
        <family val="2"/>
      </rPr>
      <t>×1.2</t>
    </r>
    <r>
      <rPr>
        <b/>
        <sz val="9"/>
        <rFont val="宋体"/>
        <family val="3"/>
        <charset val="134"/>
      </rPr>
      <t>％</t>
    </r>
    <phoneticPr fontId="3" type="noConversion"/>
  </si>
  <si>
    <r>
      <rPr>
        <sz val="9"/>
        <rFont val="宋体"/>
        <family val="3"/>
        <charset val="134"/>
      </rPr>
      <t>（</t>
    </r>
    <r>
      <rPr>
        <sz val="9"/>
        <rFont val="Arial"/>
        <family val="2"/>
      </rPr>
      <t>2</t>
    </r>
    <r>
      <rPr>
        <sz val="9"/>
        <rFont val="宋体"/>
        <family val="3"/>
        <charset val="134"/>
      </rPr>
      <t>）</t>
    </r>
    <phoneticPr fontId="3" type="noConversion"/>
  </si>
  <si>
    <r>
      <rPr>
        <sz val="9"/>
        <rFont val="宋体"/>
        <family val="3"/>
        <charset val="134"/>
      </rPr>
      <t>城镇土地使用税</t>
    </r>
    <phoneticPr fontId="3" type="noConversion"/>
  </si>
  <si>
    <r>
      <rPr>
        <b/>
        <sz val="9"/>
        <rFont val="宋体"/>
        <family val="3"/>
        <charset val="134"/>
      </rPr>
      <t>土地面积</t>
    </r>
    <r>
      <rPr>
        <b/>
        <sz val="9"/>
        <rFont val="Arial"/>
        <family val="2"/>
      </rPr>
      <t>×</t>
    </r>
    <r>
      <rPr>
        <b/>
        <sz val="9"/>
        <rFont val="宋体"/>
        <family val="3"/>
        <charset val="134"/>
      </rPr>
      <t>标准</t>
    </r>
    <phoneticPr fontId="3" type="noConversion"/>
  </si>
  <si>
    <r>
      <rPr>
        <b/>
        <sz val="9"/>
        <rFont val="宋体"/>
        <family val="3"/>
        <charset val="134"/>
      </rPr>
      <t>小计</t>
    </r>
    <phoneticPr fontId="3" type="noConversion"/>
  </si>
  <si>
    <r>
      <rPr>
        <sz val="9"/>
        <rFont val="宋体"/>
        <family val="3"/>
        <charset val="134"/>
      </rPr>
      <t>（</t>
    </r>
    <r>
      <rPr>
        <sz val="9"/>
        <rFont val="Arial"/>
        <family val="2"/>
      </rPr>
      <t>3</t>
    </r>
    <r>
      <rPr>
        <sz val="9"/>
        <rFont val="宋体"/>
        <family val="3"/>
        <charset val="134"/>
      </rPr>
      <t>）</t>
    </r>
    <phoneticPr fontId="3" type="noConversion"/>
  </si>
  <si>
    <r>
      <rPr>
        <sz val="9"/>
        <rFont val="宋体"/>
        <family val="3"/>
        <charset val="134"/>
      </rPr>
      <t>营业及附加</t>
    </r>
    <phoneticPr fontId="3" type="noConversion"/>
  </si>
  <si>
    <r>
      <rPr>
        <b/>
        <sz val="9"/>
        <rFont val="宋体"/>
        <family val="3"/>
        <charset val="134"/>
      </rPr>
      <t>年总收入</t>
    </r>
    <r>
      <rPr>
        <b/>
        <sz val="9"/>
        <rFont val="Arial"/>
        <family val="2"/>
      </rPr>
      <t>×</t>
    </r>
    <r>
      <rPr>
        <b/>
        <sz val="9"/>
        <rFont val="宋体"/>
        <family val="3"/>
        <charset val="134"/>
      </rPr>
      <t>费率</t>
    </r>
    <phoneticPr fontId="3" type="noConversion"/>
  </si>
  <si>
    <r>
      <rPr>
        <b/>
        <sz val="9"/>
        <rFont val="宋体"/>
        <family val="3"/>
        <charset val="134"/>
      </rPr>
      <t>餐厅</t>
    </r>
    <phoneticPr fontId="3" type="noConversion"/>
  </si>
  <si>
    <r>
      <rPr>
        <sz val="9"/>
        <rFont val="宋体"/>
        <family val="3"/>
        <charset val="134"/>
      </rPr>
      <t>餐厅</t>
    </r>
    <phoneticPr fontId="3" type="noConversion"/>
  </si>
  <si>
    <r>
      <rPr>
        <sz val="9"/>
        <color indexed="8"/>
        <rFont val="宋体"/>
        <family val="3"/>
        <charset val="134"/>
      </rPr>
      <t>人均消费</t>
    </r>
    <phoneticPr fontId="3" type="noConversion"/>
  </si>
  <si>
    <r>
      <rPr>
        <sz val="9"/>
        <color indexed="8"/>
        <rFont val="宋体"/>
        <family val="3"/>
        <charset val="134"/>
      </rPr>
      <t>座位数</t>
    </r>
    <phoneticPr fontId="3" type="noConversion"/>
  </si>
  <si>
    <r>
      <rPr>
        <sz val="9"/>
        <rFont val="宋体"/>
        <family val="3"/>
        <charset val="134"/>
      </rPr>
      <t>上座率</t>
    </r>
    <phoneticPr fontId="3" type="noConversion"/>
  </si>
  <si>
    <r>
      <rPr>
        <sz val="9"/>
        <rFont val="宋体"/>
        <family val="3"/>
        <charset val="134"/>
      </rPr>
      <t>天数</t>
    </r>
    <phoneticPr fontId="3" type="noConversion"/>
  </si>
  <si>
    <r>
      <rPr>
        <sz val="9"/>
        <rFont val="宋体"/>
        <family val="3"/>
        <charset val="134"/>
      </rPr>
      <t>年收入</t>
    </r>
    <phoneticPr fontId="3" type="noConversion"/>
  </si>
  <si>
    <r>
      <rPr>
        <sz val="9"/>
        <rFont val="宋体"/>
        <family val="3"/>
        <charset val="134"/>
      </rPr>
      <t>（</t>
    </r>
    <r>
      <rPr>
        <sz val="9"/>
        <rFont val="Arial"/>
        <family val="2"/>
      </rPr>
      <t>4</t>
    </r>
    <r>
      <rPr>
        <sz val="9"/>
        <rFont val="宋体"/>
        <family val="3"/>
        <charset val="134"/>
      </rPr>
      <t>）</t>
    </r>
    <phoneticPr fontId="3" type="noConversion"/>
  </si>
  <si>
    <r>
      <rPr>
        <sz val="9"/>
        <rFont val="宋体"/>
        <family val="3"/>
        <charset val="134"/>
      </rPr>
      <t>其他税费</t>
    </r>
    <phoneticPr fontId="3" type="noConversion"/>
  </si>
  <si>
    <r>
      <rPr>
        <b/>
        <sz val="9"/>
        <rFont val="宋体"/>
        <family val="3"/>
        <charset val="134"/>
      </rPr>
      <t>按当地政策需要缴纳的税费、特殊行业需要缴纳的税费</t>
    </r>
    <phoneticPr fontId="3" type="noConversion"/>
  </si>
  <si>
    <r>
      <rPr>
        <sz val="9"/>
        <rFont val="宋体"/>
        <family val="3"/>
        <charset val="134"/>
      </rPr>
      <t>中餐厅</t>
    </r>
    <phoneticPr fontId="3" type="noConversion"/>
  </si>
  <si>
    <r>
      <rPr>
        <b/>
        <sz val="9"/>
        <rFont val="宋体"/>
        <family val="3"/>
        <charset val="134"/>
      </rPr>
      <t>管理以及财务费用</t>
    </r>
    <phoneticPr fontId="3" type="noConversion"/>
  </si>
  <si>
    <r>
      <rPr>
        <b/>
        <sz val="9"/>
        <rFont val="宋体"/>
        <family val="3"/>
        <charset val="134"/>
      </rPr>
      <t>公司经费、审计费、咨询费、修理费、银行手续费等，以年总收入为基数计算</t>
    </r>
    <phoneticPr fontId="3" type="noConversion"/>
  </si>
  <si>
    <r>
      <rPr>
        <sz val="9"/>
        <rFont val="宋体"/>
        <family val="3"/>
        <charset val="134"/>
      </rPr>
      <t>西餐厅</t>
    </r>
    <phoneticPr fontId="3" type="noConversion"/>
  </si>
  <si>
    <r>
      <rPr>
        <b/>
        <sz val="9"/>
        <rFont val="宋体"/>
        <family val="3"/>
        <charset val="134"/>
      </rPr>
      <t>（三）行业利润</t>
    </r>
    <phoneticPr fontId="3" type="noConversion"/>
  </si>
  <si>
    <r>
      <rPr>
        <b/>
        <sz val="9"/>
        <rFont val="宋体"/>
        <family val="3"/>
        <charset val="134"/>
      </rPr>
      <t>应归属于商服经营者的利润，以年总收入为基数计算</t>
    </r>
    <phoneticPr fontId="3" type="noConversion"/>
  </si>
  <si>
    <r>
      <rPr>
        <sz val="9"/>
        <rFont val="宋体"/>
        <family val="3"/>
        <charset val="134"/>
      </rPr>
      <t>其他</t>
    </r>
    <phoneticPr fontId="3" type="noConversion"/>
  </si>
  <si>
    <r>
      <rPr>
        <b/>
        <sz val="9"/>
        <rFont val="宋体"/>
        <family val="3"/>
        <charset val="134"/>
      </rPr>
      <t>（四）房地产价值</t>
    </r>
    <phoneticPr fontId="3" type="noConversion"/>
  </si>
  <si>
    <r>
      <rPr>
        <sz val="9"/>
        <rFont val="宋体"/>
        <family val="3"/>
        <charset val="134"/>
      </rPr>
      <t>按比例</t>
    </r>
  </si>
  <si>
    <r>
      <rPr>
        <sz val="9"/>
        <rFont val="宋体"/>
        <family val="3"/>
        <charset val="134"/>
      </rPr>
      <t>会议室</t>
    </r>
    <phoneticPr fontId="3" type="noConversion"/>
  </si>
  <si>
    <r>
      <rPr>
        <sz val="9"/>
        <color indexed="8"/>
        <rFont val="宋体"/>
        <family val="3"/>
        <charset val="134"/>
      </rPr>
      <t>间数</t>
    </r>
    <phoneticPr fontId="3" type="noConversion"/>
  </si>
  <si>
    <r>
      <rPr>
        <sz val="9"/>
        <color indexed="8"/>
        <rFont val="宋体"/>
        <family val="3"/>
        <charset val="134"/>
      </rPr>
      <t>收费（元</t>
    </r>
    <r>
      <rPr>
        <sz val="9"/>
        <color indexed="8"/>
        <rFont val="Arial"/>
        <family val="2"/>
      </rPr>
      <t>/</t>
    </r>
    <r>
      <rPr>
        <sz val="9"/>
        <color indexed="8"/>
        <rFont val="宋体"/>
        <family val="3"/>
        <charset val="134"/>
      </rPr>
      <t>间</t>
    </r>
    <r>
      <rPr>
        <sz val="9"/>
        <color indexed="8"/>
        <rFont val="Arial"/>
        <family val="2"/>
      </rPr>
      <t>.</t>
    </r>
    <r>
      <rPr>
        <sz val="9"/>
        <color indexed="8"/>
        <rFont val="宋体"/>
        <family val="3"/>
        <charset val="134"/>
      </rPr>
      <t>天）</t>
    </r>
    <phoneticPr fontId="3" type="noConversion"/>
  </si>
  <si>
    <r>
      <rPr>
        <sz val="9"/>
        <rFont val="宋体"/>
        <family val="3"/>
        <charset val="134"/>
      </rPr>
      <t>平均使用率</t>
    </r>
    <phoneticPr fontId="3" type="noConversion"/>
  </si>
  <si>
    <r>
      <rPr>
        <b/>
        <sz val="9"/>
        <rFont val="宋体"/>
        <family val="3"/>
        <charset val="134"/>
      </rPr>
      <t>收益期</t>
    </r>
    <r>
      <rPr>
        <b/>
        <sz val="9"/>
        <rFont val="Arial"/>
        <family val="2"/>
      </rPr>
      <t>1</t>
    </r>
    <phoneticPr fontId="3" type="noConversion"/>
  </si>
  <si>
    <r>
      <rPr>
        <b/>
        <sz val="9"/>
        <rFont val="宋体"/>
        <family val="3"/>
        <charset val="134"/>
      </rPr>
      <t>收益期</t>
    </r>
    <r>
      <rPr>
        <b/>
        <sz val="9"/>
        <rFont val="Arial"/>
        <family val="2"/>
      </rPr>
      <t>2</t>
    </r>
    <phoneticPr fontId="3" type="noConversion"/>
  </si>
  <si>
    <r>
      <rPr>
        <b/>
        <sz val="9"/>
        <rFont val="宋体"/>
        <family val="3"/>
        <charset val="134"/>
      </rPr>
      <t>收益期</t>
    </r>
    <r>
      <rPr>
        <b/>
        <sz val="9"/>
        <rFont val="Arial"/>
        <family val="2"/>
      </rPr>
      <t>3</t>
    </r>
    <phoneticPr fontId="3" type="noConversion"/>
  </si>
  <si>
    <r>
      <rPr>
        <sz val="9"/>
        <rFont val="宋体"/>
        <family val="3"/>
        <charset val="134"/>
      </rPr>
      <t>大</t>
    </r>
    <phoneticPr fontId="3" type="noConversion"/>
  </si>
  <si>
    <r>
      <rPr>
        <b/>
        <sz val="9"/>
        <color indexed="53"/>
        <rFont val="宋体"/>
        <family val="3"/>
        <charset val="134"/>
      </rPr>
      <t>起步期</t>
    </r>
    <phoneticPr fontId="3" type="noConversion"/>
  </si>
  <si>
    <r>
      <rPr>
        <b/>
        <sz val="9"/>
        <color indexed="53"/>
        <rFont val="宋体"/>
        <family val="3"/>
        <charset val="134"/>
      </rPr>
      <t>发展期</t>
    </r>
    <phoneticPr fontId="3" type="noConversion"/>
  </si>
  <si>
    <r>
      <rPr>
        <b/>
        <sz val="9"/>
        <color indexed="53"/>
        <rFont val="宋体"/>
        <family val="3"/>
        <charset val="134"/>
      </rPr>
      <t>稳定期</t>
    </r>
    <phoneticPr fontId="3" type="noConversion"/>
  </si>
  <si>
    <r>
      <rPr>
        <sz val="9"/>
        <rFont val="宋体"/>
        <family val="3"/>
        <charset val="134"/>
      </rPr>
      <t>中</t>
    </r>
    <phoneticPr fontId="3" type="noConversion"/>
  </si>
  <si>
    <r>
      <rPr>
        <sz val="9"/>
        <rFont val="宋体"/>
        <family val="3"/>
        <charset val="134"/>
      </rPr>
      <t>年总收入</t>
    </r>
    <phoneticPr fontId="3" type="noConversion"/>
  </si>
  <si>
    <r>
      <rPr>
        <sz val="9"/>
        <rFont val="宋体"/>
        <family val="3"/>
        <charset val="134"/>
      </rPr>
      <t>小</t>
    </r>
    <phoneticPr fontId="3" type="noConversion"/>
  </si>
  <si>
    <t>附属工程费</t>
    <phoneticPr fontId="140"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</si>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</sst>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
      <sz val="9"/>
      <name val="Arial"/>
      <family val="2"/>
    </font>
    <font>
      <b/>
      <sz val="9"/>
      <name val="Arial"/>
      <family val="2"/>
    </font>
    <font>
      <b/>
      <sz val="9"/>
      <name val="宋体"/>
      <family val="3"/>
      <charset val="134"/>
    </font>
    <font>
      <sz val="9"/>
      <color theme="1"/>
      <name val="Arial"/>
      <family val="2"/>
    </font>
    <font>
      <b/>
      <sz val="9"/>
      <color theme="1"/>
      <name val="Arial"/>
      <family val="2"/>
    </font>
    <font>
      <b/>
      <sz val="9"/>
      <color theme="9" tint="-0.249977111117893"/>
      <name val="Arial"/>
      <family val="2"/>
    </font>
    <font>
      <b/>
      <sz val="9"/>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40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66" fillId="6" borderId="60" xfId="4" applyNumberFormat="1" applyFont="1" applyFill="1" applyBorder="1"/>
    <xf numFmtId="0" fontId="65" fillId="6" borderId="0" xfId="4" applyFont="1" applyFill="1" applyAlignment="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lignment horizontal="center"/>
    </xf>
    <xf numFmtId="0" fontId="3" fillId="0" borderId="0" xfId="4" applyFont="1" applyAlignment="1">
      <alignment horizontal="left"/>
    </xf>
    <xf numFmtId="0" fontId="27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 applyFont="1" applyFill="1" applyBorder="1">
      <alignment vertical="center"/>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xf numFmtId="0" fontId="19" fillId="0" borderId="0" xfId="4" applyFont="1" applyAlignment="1">
      <alignment horizontal="left"/>
    </xf>
    <xf numFmtId="0" fontId="55" fillId="0" borderId="0" xfId="4" applyFont="1" applyAlignment="1">
      <alignment horizontal="left"/>
    </xf>
    <xf numFmtId="0" fontId="56" fillId="0" borderId="1" xfId="4" applyFont="1" applyBorder="1" applyAlignment="1">
      <alignment horizontal="left" vertical="center"/>
    </xf>
    <xf numFmtId="0" fontId="56" fillId="0" borderId="24" xfId="4" applyFont="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lignment vertical="center"/>
    </xf>
    <xf numFmtId="0" fontId="55" fillId="0" borderId="1" xfId="4" applyFont="1" applyBorder="1" applyAlignment="1">
      <alignment horizontal="left" vertical="center"/>
    </xf>
    <xf numFmtId="0" fontId="55" fillId="0" borderId="13" xfId="4" applyFont="1" applyBorder="1" applyAlignment="1">
      <alignment horizontal="left" vertical="center"/>
    </xf>
    <xf numFmtId="0" fontId="55" fillId="0" borderId="61" xfId="4" applyFont="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lignment vertical="center"/>
    </xf>
    <xf numFmtId="0" fontId="49" fillId="0" borderId="32" xfId="4" applyFont="1" applyBorder="1" applyAlignment="1">
      <alignment horizontal="left" vertical="center"/>
    </xf>
    <xf numFmtId="0" fontId="19" fillId="6" borderId="58" xfId="4" applyFont="1" applyFill="1" applyBorder="1" applyAlignment="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lignment horizontal="left" vertical="center"/>
    </xf>
    <xf numFmtId="0" fontId="55" fillId="0" borderId="5" xfId="4" applyFont="1" applyBorder="1" applyAlignment="1">
      <alignment vertical="center"/>
    </xf>
    <xf numFmtId="0" fontId="103" fillId="0" borderId="1" xfId="4" applyFont="1" applyBorder="1" applyAlignment="1">
      <alignment horizontal="left" vertical="center"/>
    </xf>
    <xf numFmtId="9" fontId="55" fillId="0" borderId="1" xfId="4" applyNumberFormat="1" applyFont="1" applyBorder="1" applyAlignment="1">
      <alignment horizontal="left" vertical="center"/>
    </xf>
    <xf numFmtId="177" fontId="55" fillId="0" borderId="1" xfId="4" applyNumberFormat="1" applyFont="1" applyBorder="1" applyAlignment="1">
      <alignment horizontal="left" vertical="center"/>
    </xf>
    <xf numFmtId="0" fontId="55" fillId="0" borderId="24" xfId="4" applyFont="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Alignment="1">
      <alignment horizontal="left" vertical="center"/>
    </xf>
    <xf numFmtId="186" fontId="55" fillId="6"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5"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lignment horizontal="right" vertical="center"/>
    </xf>
    <xf numFmtId="181" fontId="55" fillId="0" borderId="3" xfId="4" applyNumberFormat="1" applyFont="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Border="1" applyAlignment="1">
      <alignment horizontal="left" vertical="center"/>
    </xf>
    <xf numFmtId="9" fontId="106" fillId="0" borderId="1" xfId="4" applyNumberFormat="1" applyFont="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Border="1" applyAlignment="1">
      <alignment horizontal="left" vertical="center"/>
    </xf>
    <xf numFmtId="9" fontId="55" fillId="0" borderId="32" xfId="4" applyNumberFormat="1" applyFont="1" applyBorder="1" applyAlignment="1">
      <alignment horizontal="left" vertical="center"/>
    </xf>
    <xf numFmtId="181" fontId="103" fillId="0" borderId="32" xfId="4" applyNumberFormat="1" applyFont="1" applyBorder="1" applyAlignment="1">
      <alignment horizontal="left" vertical="center"/>
    </xf>
    <xf numFmtId="0" fontId="141" fillId="0" borderId="76" xfId="4" applyFont="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Border="1" applyAlignment="1">
      <alignment horizontal="left" vertical="center"/>
    </xf>
    <xf numFmtId="10" fontId="55" fillId="0" borderId="158" xfId="4" applyNumberFormat="1" applyFont="1" applyBorder="1" applyAlignment="1">
      <alignment horizontal="left" vertical="center"/>
    </xf>
    <xf numFmtId="10" fontId="55" fillId="0" borderId="3" xfId="4" applyNumberFormat="1" applyFont="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Border="1" applyAlignment="1">
      <alignment horizontal="left" vertical="center"/>
    </xf>
    <xf numFmtId="181" fontId="55" fillId="0" borderId="158" xfId="4" applyNumberFormat="1" applyFont="1" applyBorder="1" applyAlignment="1">
      <alignment horizontal="left" vertical="center"/>
    </xf>
    <xf numFmtId="181" fontId="55" fillId="0" borderId="3" xfId="4" applyNumberFormat="1" applyFont="1" applyBorder="1" applyAlignment="1">
      <alignment horizontal="left" vertical="center"/>
    </xf>
    <xf numFmtId="176" fontId="55" fillId="0" borderId="0" xfId="4" applyNumberFormat="1" applyFont="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Border="1" applyAlignment="1">
      <alignment horizontal="left" vertical="center"/>
    </xf>
    <xf numFmtId="176" fontId="55" fillId="0" borderId="159" xfId="4" applyNumberFormat="1" applyFont="1" applyBorder="1" applyAlignment="1">
      <alignment horizontal="left" vertical="center"/>
    </xf>
    <xf numFmtId="176" fontId="55" fillId="0" borderId="66" xfId="4" applyNumberFormat="1" applyFont="1" applyBorder="1" applyAlignment="1">
      <alignment horizontal="left" vertical="center"/>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73" fillId="0" borderId="0" xfId="4" applyFont="1" applyAlignment="1">
      <alignment horizontal="left" vertical="center"/>
    </xf>
    <xf numFmtId="0" fontId="83" fillId="6" borderId="74" xfId="4" applyFont="1" applyFill="1" applyBorder="1" applyAlignment="1">
      <alignment vertical="center"/>
    </xf>
    <xf numFmtId="0" fontId="19" fillId="0" borderId="5" xfId="4" applyFont="1" applyBorder="1" applyAlignment="1">
      <alignment vertical="center"/>
    </xf>
    <xf numFmtId="0" fontId="274" fillId="6" borderId="23" xfId="4" applyFont="1" applyFill="1" applyBorder="1" applyAlignment="1">
      <alignment horizontal="left" vertical="center"/>
    </xf>
    <xf numFmtId="186" fontId="274" fillId="6" borderId="1" xfId="4" applyNumberFormat="1" applyFont="1" applyFill="1" applyBorder="1" applyAlignment="1">
      <alignment horizontal="left" vertical="center"/>
    </xf>
    <xf numFmtId="0" fontId="274" fillId="6" borderId="1" xfId="4" applyFont="1" applyFill="1" applyBorder="1" applyAlignment="1">
      <alignment horizontal="left" vertical="center"/>
    </xf>
    <xf numFmtId="0" fontId="274" fillId="6" borderId="24" xfId="4" applyFont="1" applyFill="1" applyBorder="1" applyAlignment="1">
      <alignment horizontal="left" vertical="center"/>
    </xf>
    <xf numFmtId="0" fontId="274" fillId="0" borderId="0" xfId="4" applyFont="1" applyAlignment="1">
      <alignment horizontal="left" vertical="center"/>
    </xf>
    <xf numFmtId="0" fontId="273" fillId="0" borderId="5" xfId="4" applyFont="1" applyBorder="1" applyAlignment="1">
      <alignment vertical="center"/>
    </xf>
    <xf numFmtId="0" fontId="276" fillId="0" borderId="1" xfId="4" applyFont="1" applyBorder="1" applyAlignment="1">
      <alignment horizontal="left" vertical="center"/>
    </xf>
    <xf numFmtId="0" fontId="273" fillId="0" borderId="1" xfId="4" applyFont="1" applyBorder="1" applyAlignment="1">
      <alignment horizontal="left" vertical="center"/>
    </xf>
    <xf numFmtId="9" fontId="273" fillId="0" borderId="1" xfId="4" applyNumberFormat="1" applyFont="1" applyBorder="1" applyAlignment="1">
      <alignment horizontal="left" vertical="center"/>
    </xf>
    <xf numFmtId="177" fontId="273" fillId="0" borderId="1" xfId="4" applyNumberFormat="1" applyFont="1" applyBorder="1" applyAlignment="1">
      <alignment horizontal="left" vertical="center"/>
    </xf>
    <xf numFmtId="0" fontId="273" fillId="0" borderId="24" xfId="4" applyFont="1" applyBorder="1" applyAlignment="1">
      <alignment horizontal="left" vertical="center"/>
    </xf>
    <xf numFmtId="181" fontId="274" fillId="0" borderId="1" xfId="4" applyNumberFormat="1" applyFont="1" applyBorder="1" applyAlignment="1">
      <alignment horizontal="left" vertical="center"/>
    </xf>
    <xf numFmtId="0" fontId="274" fillId="6" borderId="24" xfId="4" applyFont="1" applyFill="1" applyBorder="1" applyAlignment="1">
      <alignment vertical="center"/>
    </xf>
    <xf numFmtId="0" fontId="274" fillId="0" borderId="0" xfId="4" applyFont="1" applyAlignment="1">
      <alignment vertical="center"/>
    </xf>
    <xf numFmtId="9" fontId="274" fillId="0" borderId="1" xfId="4" applyNumberFormat="1" applyFont="1" applyBorder="1" applyAlignment="1">
      <alignment horizontal="left" vertical="center"/>
    </xf>
    <xf numFmtId="181" fontId="274" fillId="6" borderId="1" xfId="4" applyNumberFormat="1" applyFont="1" applyFill="1" applyBorder="1" applyAlignment="1">
      <alignment horizontal="left" vertical="center"/>
    </xf>
    <xf numFmtId="49" fontId="273" fillId="6" borderId="23" xfId="4" applyNumberFormat="1" applyFont="1" applyFill="1" applyBorder="1" applyAlignment="1">
      <alignment horizontal="left" vertical="center"/>
    </xf>
    <xf numFmtId="186" fontId="273" fillId="6" borderId="1" xfId="4" applyNumberFormat="1" applyFont="1" applyFill="1" applyBorder="1" applyAlignment="1">
      <alignment horizontal="left" vertical="center"/>
    </xf>
    <xf numFmtId="181" fontId="273" fillId="6" borderId="1" xfId="4" applyNumberFormat="1" applyFont="1" applyFill="1" applyBorder="1" applyAlignment="1">
      <alignment horizontal="left" vertical="center"/>
    </xf>
    <xf numFmtId="0" fontId="273" fillId="6" borderId="5" xfId="4" applyFont="1" applyFill="1" applyBorder="1" applyAlignment="1">
      <alignment horizontal="left" vertical="center"/>
    </xf>
    <xf numFmtId="0" fontId="3" fillId="6" borderId="3" xfId="4" applyFont="1" applyFill="1" applyBorder="1" applyAlignment="1">
      <alignment horizontal="right" vertical="center"/>
    </xf>
    <xf numFmtId="176" fontId="273" fillId="0" borderId="1" xfId="4" applyNumberFormat="1" applyFont="1" applyBorder="1" applyAlignment="1">
      <alignment horizontal="left" vertical="center"/>
    </xf>
    <xf numFmtId="181" fontId="273" fillId="6" borderId="3" xfId="4" applyNumberFormat="1" applyFont="1" applyFill="1" applyBorder="1" applyAlignment="1">
      <alignment horizontal="right" vertical="center"/>
    </xf>
    <xf numFmtId="0" fontId="274" fillId="6" borderId="5" xfId="4" applyFont="1" applyFill="1" applyBorder="1" applyAlignment="1">
      <alignment vertical="center"/>
    </xf>
    <xf numFmtId="0" fontId="277" fillId="6" borderId="1" xfId="4" applyFont="1" applyFill="1" applyBorder="1" applyAlignment="1">
      <alignment horizontal="left" vertical="center"/>
    </xf>
    <xf numFmtId="9" fontId="274" fillId="6" borderId="1" xfId="4" applyNumberFormat="1" applyFont="1" applyFill="1" applyBorder="1" applyAlignment="1">
      <alignment horizontal="left" vertical="center"/>
    </xf>
    <xf numFmtId="177" fontId="274" fillId="6" borderId="1" xfId="4" applyNumberFormat="1" applyFont="1" applyFill="1" applyBorder="1" applyAlignment="1">
      <alignment horizontal="left" vertical="center"/>
    </xf>
    <xf numFmtId="177" fontId="273" fillId="0" borderId="24" xfId="4" applyNumberFormat="1" applyFont="1" applyBorder="1" applyAlignment="1">
      <alignment horizontal="left" vertical="center"/>
    </xf>
    <xf numFmtId="186" fontId="273" fillId="0" borderId="1" xfId="4" applyNumberFormat="1" applyFont="1" applyBorder="1" applyAlignment="1">
      <alignment horizontal="left" vertical="center"/>
    </xf>
    <xf numFmtId="181" fontId="273" fillId="0" borderId="1" xfId="4" applyNumberFormat="1" applyFont="1" applyBorder="1" applyAlignment="1">
      <alignment horizontal="left" vertical="center"/>
    </xf>
    <xf numFmtId="0" fontId="274" fillId="6" borderId="25" xfId="4" applyFont="1" applyFill="1" applyBorder="1" applyAlignment="1">
      <alignment horizontal="left" vertical="center"/>
    </xf>
    <xf numFmtId="186" fontId="274" fillId="6" borderId="32" xfId="4" applyNumberFormat="1" applyFont="1" applyFill="1" applyBorder="1" applyAlignment="1">
      <alignment horizontal="left" vertical="center"/>
    </xf>
    <xf numFmtId="181" fontId="274" fillId="0" borderId="32" xfId="4" applyNumberFormat="1" applyFont="1" applyBorder="1" applyAlignment="1">
      <alignment horizontal="left" vertical="center"/>
    </xf>
    <xf numFmtId="0" fontId="274" fillId="6" borderId="49" xfId="4" applyFont="1" applyFill="1" applyBorder="1" applyAlignment="1">
      <alignment vertical="center"/>
    </xf>
    <xf numFmtId="0" fontId="274" fillId="6" borderId="69" xfId="4" applyFont="1" applyFill="1" applyBorder="1" applyAlignment="1">
      <alignment horizontal="left" vertical="center"/>
    </xf>
    <xf numFmtId="0" fontId="274" fillId="6" borderId="60" xfId="4" applyFont="1" applyFill="1" applyBorder="1" applyAlignment="1">
      <alignment horizontal="left" vertical="center"/>
    </xf>
    <xf numFmtId="186" fontId="274" fillId="6" borderId="60" xfId="4" applyNumberFormat="1" applyFont="1" applyFill="1" applyBorder="1" applyAlignment="1">
      <alignment horizontal="left" vertical="center"/>
    </xf>
    <xf numFmtId="181" fontId="274" fillId="0" borderId="60" xfId="4" applyNumberFormat="1" applyFont="1" applyBorder="1" applyAlignment="1">
      <alignment horizontal="left" vertical="center"/>
    </xf>
    <xf numFmtId="0" fontId="274" fillId="6" borderId="56" xfId="4" applyFont="1" applyFill="1" applyBorder="1" applyAlignment="1">
      <alignment vertical="center"/>
    </xf>
    <xf numFmtId="0" fontId="274" fillId="6" borderId="63" xfId="4" applyFont="1" applyFill="1" applyBorder="1" applyAlignment="1">
      <alignment vertical="center"/>
    </xf>
    <xf numFmtId="0" fontId="274" fillId="6" borderId="64" xfId="4" applyFont="1" applyFill="1" applyBorder="1" applyAlignment="1">
      <alignment vertical="center"/>
    </xf>
    <xf numFmtId="0" fontId="274" fillId="6" borderId="65" xfId="4" applyFont="1" applyFill="1" applyBorder="1" applyAlignment="1">
      <alignment vertical="center"/>
    </xf>
    <xf numFmtId="177" fontId="273" fillId="5" borderId="1" xfId="4" applyNumberFormat="1" applyFont="1" applyFill="1" applyBorder="1" applyAlignment="1">
      <alignment horizontal="left" vertical="center"/>
    </xf>
    <xf numFmtId="0" fontId="277" fillId="6" borderId="24" xfId="4" applyFont="1" applyFill="1" applyBorder="1" applyAlignment="1">
      <alignment horizontal="left" vertical="center"/>
    </xf>
    <xf numFmtId="0" fontId="274" fillId="6" borderId="71" xfId="4" applyFont="1" applyFill="1" applyBorder="1" applyAlignment="1">
      <alignment horizontal="left" vertical="center"/>
    </xf>
    <xf numFmtId="0" fontId="276" fillId="0" borderId="1" xfId="4" applyFont="1" applyBorder="1" applyAlignment="1">
      <alignment horizontal="left" vertical="center" wrapText="1"/>
    </xf>
    <xf numFmtId="0" fontId="274" fillId="6" borderId="5" xfId="4" applyFont="1" applyFill="1" applyBorder="1" applyAlignment="1">
      <alignment horizontal="left" vertical="center"/>
    </xf>
    <xf numFmtId="0" fontId="274" fillId="6" borderId="158" xfId="4" applyFont="1" applyFill="1" applyBorder="1" applyAlignment="1">
      <alignment horizontal="left" vertical="center"/>
    </xf>
    <xf numFmtId="0" fontId="274" fillId="6" borderId="3" xfId="4" applyFont="1" applyFill="1" applyBorder="1" applyAlignment="1">
      <alignment horizontal="left" vertical="center"/>
    </xf>
    <xf numFmtId="0" fontId="276" fillId="0" borderId="24" xfId="4" applyFont="1" applyBorder="1" applyAlignment="1">
      <alignment horizontal="left" vertical="center"/>
    </xf>
    <xf numFmtId="0" fontId="278" fillId="0" borderId="5" xfId="4" applyFont="1" applyBorder="1" applyAlignment="1">
      <alignment horizontal="left" vertical="center"/>
    </xf>
    <xf numFmtId="0" fontId="278" fillId="0" borderId="158" xfId="4" applyFont="1" applyBorder="1" applyAlignment="1">
      <alignment horizontal="left" vertical="center"/>
    </xf>
    <xf numFmtId="0" fontId="278" fillId="0" borderId="3" xfId="4" applyFont="1" applyBorder="1" applyAlignment="1">
      <alignment horizontal="left" vertical="center"/>
    </xf>
    <xf numFmtId="0" fontId="273" fillId="6" borderId="37" xfId="4" applyFont="1" applyFill="1" applyBorder="1" applyAlignment="1">
      <alignment horizontal="left" vertical="center"/>
    </xf>
    <xf numFmtId="0" fontId="273" fillId="6" borderId="1" xfId="4" applyFont="1" applyFill="1" applyBorder="1" applyAlignment="1">
      <alignment horizontal="left" vertical="center"/>
    </xf>
    <xf numFmtId="186" fontId="273" fillId="6" borderId="5" xfId="4" applyNumberFormat="1" applyFont="1" applyFill="1" applyBorder="1" applyAlignment="1">
      <alignment horizontal="left" vertical="center"/>
    </xf>
    <xf numFmtId="186" fontId="273" fillId="6" borderId="158" xfId="4" applyNumberFormat="1" applyFont="1" applyFill="1" applyBorder="1" applyAlignment="1">
      <alignment horizontal="left" vertical="center"/>
    </xf>
    <xf numFmtId="186" fontId="273" fillId="6" borderId="3" xfId="4" applyNumberFormat="1" applyFont="1" applyFill="1" applyBorder="1" applyAlignment="1">
      <alignment horizontal="left" vertical="center"/>
    </xf>
    <xf numFmtId="0" fontId="273" fillId="6" borderId="24" xfId="4" applyFont="1" applyFill="1" applyBorder="1" applyAlignment="1">
      <alignment horizontal="left" vertical="center"/>
    </xf>
    <xf numFmtId="0" fontId="273" fillId="0" borderId="0" xfId="4" applyFont="1" applyAlignment="1">
      <alignment horizontal="right" vertical="center"/>
    </xf>
    <xf numFmtId="179" fontId="55" fillId="6" borderId="5" xfId="1" applyNumberFormat="1" applyFont="1" applyFill="1" applyBorder="1" applyAlignment="1" applyProtection="1">
      <alignment horizontal="center"/>
    </xf>
    <xf numFmtId="0" fontId="19" fillId="5" borderId="5" xfId="1" applyFont="1" applyFill="1" applyBorder="1" applyAlignment="1" applyProtection="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273" fillId="6" borderId="5" xfId="4" applyFont="1" applyFill="1" applyBorder="1" applyAlignment="1">
      <alignment horizontal="left" vertical="center"/>
    </xf>
    <xf numFmtId="0" fontId="273" fillId="6" borderId="3" xfId="4" applyFont="1" applyFill="1" applyBorder="1" applyAlignment="1">
      <alignment horizontal="left" vertical="center"/>
    </xf>
    <xf numFmtId="0" fontId="274" fillId="6" borderId="23" xfId="4" applyFont="1" applyFill="1" applyBorder="1" applyAlignment="1">
      <alignment horizontal="left" vertical="center" wrapText="1"/>
    </xf>
    <xf numFmtId="0" fontId="274" fillId="6" borderId="13" xfId="4" applyFont="1" applyFill="1" applyBorder="1" applyAlignment="1">
      <alignment horizontal="left" vertical="center" wrapText="1"/>
    </xf>
    <xf numFmtId="0" fontId="274" fillId="6" borderId="15" xfId="4" applyFont="1" applyFill="1" applyBorder="1" applyAlignment="1">
      <alignment horizontal="left" vertical="center" wrapText="1"/>
    </xf>
    <xf numFmtId="0" fontId="274" fillId="6" borderId="2" xfId="4" applyFont="1" applyFill="1" applyBorder="1" applyAlignment="1">
      <alignment horizontal="left" vertical="center" wrapText="1"/>
    </xf>
    <xf numFmtId="0" fontId="274" fillId="6" borderId="33" xfId="4" applyFont="1" applyFill="1" applyBorder="1" applyAlignment="1">
      <alignment horizontal="left" vertical="center"/>
    </xf>
    <xf numFmtId="0" fontId="274"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估价对象为房地产，为所有。根据《国有土地使用证》[]，估价对象（分摊）出让国有建设用地使用权面积为1442.46平方米，建筑面积为313.63平方米。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估价对象为房地产,属开发建设的，该项目尚在开发建设中。根据《国有土地使用证》[]，估价对象（分摊）出让国有建设用地使用权面积为1442.46平方米，规划建筑面积为313.63平方米。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357</v>
      </c>
    </row>
    <row r="21" spans="1:2" s="1365" customFormat="1">
      <c r="A21" s="1363" t="s">
        <v>1202</v>
      </c>
      <c r="B21" s="1364">
        <f ca="1">'预评函-2'!D7</f>
        <v>11383</v>
      </c>
    </row>
    <row r="22" spans="1:2" s="1365" customFormat="1">
      <c r="A22" s="1363" t="s">
        <v>1203</v>
      </c>
      <c r="B22" s="1364" t="str">
        <f ca="1">'预评函-2'!D6</f>
        <v>叁佰伍拾柒万元整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357</v>
      </c>
    </row>
    <row r="35" spans="1:2" s="1365" customFormat="1">
      <c r="A35" s="1363" t="s">
        <v>1242</v>
      </c>
      <c r="B35" s="1364">
        <f ca="1">'预评函-2'!D18</f>
        <v>11383</v>
      </c>
    </row>
    <row r="36" spans="1:2" s="1365" customFormat="1">
      <c r="A36" s="1363" t="s">
        <v>1209</v>
      </c>
      <c r="B36" s="1364" t="str">
        <f ca="1">'预评函-2'!D17</f>
        <v>叁佰伍拾柒万元整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313.63</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225</v>
      </c>
    </row>
    <row r="48" spans="1:2" s="1365" customFormat="1">
      <c r="A48" s="1363" t="s">
        <v>1214</v>
      </c>
      <c r="B48" s="1364">
        <f ca="1">'预评函-3'!E4</f>
        <v>7171</v>
      </c>
    </row>
    <row r="49" spans="1:2" s="1365" customFormat="1">
      <c r="A49" s="1363" t="s">
        <v>1215</v>
      </c>
      <c r="B49" s="1364" t="str">
        <f ca="1">'预评函-3'!D5</f>
        <v>贰佰贰拾伍万元整</v>
      </c>
    </row>
    <row r="50" spans="1:2" s="1365" customFormat="1">
      <c r="A50" s="1363" t="s">
        <v>1239</v>
      </c>
      <c r="B50" s="1364" t="str">
        <f>'预评函-3'!F2</f>
        <v>在建建筑物价值</v>
      </c>
    </row>
    <row r="51" spans="1:2" s="1365" customFormat="1">
      <c r="A51" s="1363" t="s">
        <v>1216</v>
      </c>
      <c r="B51" s="1364">
        <f ca="1">'预评函-3'!F4</f>
        <v>132</v>
      </c>
    </row>
    <row r="52" spans="1:2" s="1365" customFormat="1">
      <c r="A52" s="1363" t="s">
        <v>1217</v>
      </c>
      <c r="B52" s="1364">
        <f ca="1">'预评函-3'!G4</f>
        <v>4212</v>
      </c>
    </row>
    <row r="53" spans="1:2" s="1365" customFormat="1">
      <c r="A53" s="1363" t="s">
        <v>1245</v>
      </c>
      <c r="B53" s="1364" t="str">
        <f ca="1">'预评函-3'!F5</f>
        <v>壹佰叁拾贰万元整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7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8"/>
      <c r="B54" s="1739" t="s">
        <v>832</v>
      </c>
      <c r="C54" s="1736" t="s">
        <v>1248</v>
      </c>
    </row>
    <row r="55" spans="1:4">
      <c r="A55" s="3708"/>
      <c r="B55" s="1739" t="s">
        <v>833</v>
      </c>
      <c r="C55" s="1736" t="s">
        <v>1249</v>
      </c>
    </row>
    <row r="56" spans="1:4">
      <c r="A56" s="3708"/>
      <c r="B56" s="1739" t="s">
        <v>834</v>
      </c>
      <c r="C56" s="1736" t="s">
        <v>1253</v>
      </c>
    </row>
    <row r="57" spans="1:4">
      <c r="A57" s="37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709" t="str">
        <f>IF(B10="北京市","北京市",C10)&amp;F10&amp;IF(结果表!G1="在建","出让国有建设用地使用权及在建建筑物",IF(结果表!G1="土地","出让国有建设用地使用权",))&amp;B9&amp;"预评估"</f>
        <v>房地产市场价值预评估</v>
      </c>
      <c r="C1" s="3710"/>
      <c r="D1" s="3710"/>
      <c r="E1" s="3710"/>
      <c r="F1" s="3710"/>
      <c r="G1" s="3710"/>
      <c r="H1" s="3710"/>
      <c r="I1" s="3711"/>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712"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713"/>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719"/>
      <c r="C16" s="3720"/>
      <c r="D16" s="3721"/>
      <c r="E16" s="2639" t="s">
        <v>2941</v>
      </c>
      <c r="F16" s="3722"/>
      <c r="G16" s="3723"/>
      <c r="H16" s="3723"/>
      <c r="I16" s="3724"/>
      <c r="J16" s="2665"/>
      <c r="K16" s="2844"/>
      <c r="L16" s="2677"/>
      <c r="M16" s="2677"/>
      <c r="N16" s="2735"/>
      <c r="O16" s="2677"/>
      <c r="P16" s="2735"/>
      <c r="Q16" s="2665"/>
      <c r="R16" s="2665"/>
    </row>
    <row r="17" spans="1:28">
      <c r="A17" s="319" t="s">
        <v>2942</v>
      </c>
      <c r="B17" s="308" t="s">
        <v>2943</v>
      </c>
      <c r="C17" s="11">
        <f>'数据-汇总表'!E3</f>
        <v>313.63</v>
      </c>
      <c r="D17" s="2545" t="s">
        <v>2944</v>
      </c>
      <c r="E17" s="3725" t="s">
        <v>2945</v>
      </c>
      <c r="F17" s="3726"/>
      <c r="G17" s="3726"/>
      <c r="H17" s="3726"/>
      <c r="I17" s="3727"/>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728" t="s">
        <v>2949</v>
      </c>
      <c r="F18" s="3729"/>
      <c r="G18" s="3729"/>
      <c r="H18" s="3729"/>
      <c r="I18" s="3730"/>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715" t="s">
        <v>2953</v>
      </c>
      <c r="C20" s="3716"/>
      <c r="D20" s="3717" t="s">
        <v>2954</v>
      </c>
      <c r="E20" s="3718"/>
      <c r="F20" s="2874" t="s">
        <v>1742</v>
      </c>
      <c r="G20" s="2891"/>
      <c r="H20" s="2891"/>
      <c r="I20" s="2891"/>
      <c r="J20" s="2665"/>
      <c r="K20" s="3714"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7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7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732"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732"/>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732"/>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733"/>
      <c r="B30" s="308" t="s">
        <v>2965</v>
      </c>
      <c r="C30" s="3734"/>
      <c r="D30" s="3735"/>
      <c r="E30" s="2891"/>
      <c r="F30" s="2891"/>
      <c r="G30" s="2891"/>
      <c r="H30" s="2891"/>
      <c r="I30" s="2891"/>
      <c r="J30" s="2665"/>
      <c r="K30" s="2842"/>
      <c r="L30" s="2839"/>
      <c r="M30" s="2839"/>
      <c r="N30" s="2665"/>
      <c r="O30" s="2676"/>
      <c r="P30" s="2665"/>
      <c r="Q30" s="2665"/>
      <c r="R30" s="2665"/>
      <c r="S30" s="2665"/>
      <c r="T30" s="2665"/>
      <c r="U30" s="2665"/>
      <c r="V30" s="2665"/>
    </row>
    <row r="31" spans="1:28">
      <c r="A31" s="3736"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737"/>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737"/>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731" t="s">
        <v>2975</v>
      </c>
      <c r="T34" s="2654" t="str">
        <f>NUMBERSTRING(7-K34,1)&amp;"通"</f>
        <v>七通</v>
      </c>
      <c r="U34" s="2665"/>
      <c r="V34" s="2665"/>
    </row>
    <row r="35" spans="1:30">
      <c r="A35" s="2655"/>
      <c r="B35" s="3738" t="s">
        <v>2976</v>
      </c>
      <c r="C35" s="3738"/>
      <c r="D35" s="3738"/>
      <c r="E35" s="3738"/>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731"/>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313.63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313.63</v>
      </c>
      <c r="H5" s="16">
        <f t="shared" ref="H5:AT5" si="0">SUM(H13:H656)</f>
        <v>313.63</v>
      </c>
      <c r="I5" s="16">
        <f t="shared" si="0"/>
        <v>313.63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313.63</v>
      </c>
      <c r="BA5" s="18">
        <f t="shared" si="1"/>
        <v>313.63</v>
      </c>
      <c r="BB5" s="18">
        <f t="shared" si="1"/>
        <v>313.63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313.63</v>
      </c>
      <c r="H13" s="20">
        <f>SUMIF(I$12:AB$12,"总值",I13:AB13)</f>
        <v>313.63</v>
      </c>
      <c r="I13" s="1811">
        <f>198.07+115.56</f>
        <v>313.63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313.63</v>
      </c>
      <c r="BA13" s="16">
        <f>SUM(BB13:BK13)</f>
        <v>313.63</v>
      </c>
      <c r="BB13" s="16">
        <f>IF($D13="是",I13-J13,0)</f>
        <v>313.63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739" t="s">
        <v>0</v>
      </c>
      <c r="B1" s="3739" t="s">
        <v>4</v>
      </c>
      <c r="C1" s="3739" t="s">
        <v>5</v>
      </c>
      <c r="D1" s="3740" t="s">
        <v>53</v>
      </c>
      <c r="E1" s="3740" t="s">
        <v>54</v>
      </c>
      <c r="F1" s="3740"/>
      <c r="G1" s="3740"/>
      <c r="H1" s="3740"/>
      <c r="I1" s="3740"/>
      <c r="J1" s="3740"/>
      <c r="K1" s="3740"/>
      <c r="L1" s="3740"/>
      <c r="M1" s="3740"/>
    </row>
    <row r="2" spans="1:13" ht="27" customHeight="1">
      <c r="A2" s="3739"/>
      <c r="B2" s="3739"/>
      <c r="C2" s="3739"/>
      <c r="D2" s="3740"/>
      <c r="E2" s="3740" t="s">
        <v>37</v>
      </c>
      <c r="F2" s="3740" t="s">
        <v>38</v>
      </c>
      <c r="G2" s="3740"/>
      <c r="H2" s="3740"/>
      <c r="I2" s="3740"/>
      <c r="J2" s="3740" t="s">
        <v>39</v>
      </c>
      <c r="K2" s="3740"/>
      <c r="L2" s="3740"/>
      <c r="M2" s="3740"/>
    </row>
    <row r="3" spans="1:13" ht="28.5">
      <c r="A3" s="3739"/>
      <c r="B3" s="3739"/>
      <c r="C3" s="3739"/>
      <c r="D3" s="3740"/>
      <c r="E3" s="37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40" t="s">
        <v>55</v>
      </c>
      <c r="B9" s="3740"/>
      <c r="C9" s="37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750" t="s">
        <v>1817</v>
      </c>
      <c r="B2" s="3750"/>
      <c r="C2" s="3750"/>
      <c r="D2" s="904" t="s">
        <v>1793</v>
      </c>
      <c r="E2" s="1824" t="s">
        <v>1794</v>
      </c>
      <c r="F2" s="2886"/>
      <c r="G2" s="2877"/>
      <c r="H2" s="2878"/>
      <c r="I2" s="2548" t="s">
        <v>1818</v>
      </c>
      <c r="J2" s="2886"/>
      <c r="K2" s="2886"/>
      <c r="L2" s="2886"/>
      <c r="M2" s="2886"/>
      <c r="N2" s="2888"/>
      <c r="O2" s="2886"/>
      <c r="P2" s="2886"/>
    </row>
    <row r="3" spans="1:16" ht="15.75" thickBot="1">
      <c r="A3" s="3751" t="s">
        <v>1791</v>
      </c>
      <c r="B3" s="3751"/>
      <c r="C3" s="3751"/>
      <c r="D3" s="46">
        <f>'数据-基础表'!AY6</f>
        <v>1442.46</v>
      </c>
      <c r="E3" s="46">
        <f>'数据-基础表'!AZ5</f>
        <v>313.63</v>
      </c>
      <c r="F3" s="2886"/>
      <c r="G3" s="1307"/>
      <c r="H3" s="1157" t="s">
        <v>1792</v>
      </c>
      <c r="I3" s="964">
        <f>ROUND('数据-基础表'!B3/'数据-基础表'!A3,2)</f>
        <v>0.22</v>
      </c>
      <c r="J3" s="2886"/>
      <c r="K3" s="2886"/>
      <c r="L3" s="2886"/>
      <c r="M3" s="2886"/>
      <c r="N3" s="2888"/>
      <c r="O3" s="2886"/>
      <c r="P3" s="2886"/>
    </row>
    <row r="4" spans="1:16" ht="15">
      <c r="A4" s="3752"/>
      <c r="B4" s="3753"/>
      <c r="C4" s="3754"/>
      <c r="D4" s="1826" t="s">
        <v>1793</v>
      </c>
      <c r="E4" s="1827" t="s">
        <v>1794</v>
      </c>
      <c r="F4" s="2886"/>
      <c r="G4" s="2879" t="s">
        <v>1819</v>
      </c>
      <c r="H4" s="1157" t="s">
        <v>1799</v>
      </c>
      <c r="I4" s="964">
        <f>ROUND(SUMIF('数据-基础表'!I9:AS9,"地上",'数据-基础表'!I5:AS5)/'数据-基础表'!A3,2)</f>
        <v>0.22</v>
      </c>
      <c r="J4" s="2886"/>
      <c r="K4" s="2886"/>
      <c r="L4" s="2886"/>
      <c r="M4" s="2886"/>
      <c r="N4" s="2888"/>
      <c r="O4" s="2886"/>
      <c r="P4" s="2886"/>
    </row>
    <row r="5" spans="1:16">
      <c r="A5" s="47" t="s">
        <v>1795</v>
      </c>
      <c r="B5" s="3755" t="s">
        <v>1796</v>
      </c>
      <c r="C5" s="3755"/>
      <c r="D5" s="48">
        <f>ROUND($D$3*E5/$E$3,2)</f>
        <v>0</v>
      </c>
      <c r="E5" s="49">
        <f>SUMIF('数据-基础表'!$11:$11,"住宅",'数据-基础表'!$5:$5)</f>
        <v>0</v>
      </c>
      <c r="F5" s="2886"/>
      <c r="G5" s="1307"/>
      <c r="H5" s="1157" t="s">
        <v>1792</v>
      </c>
      <c r="I5" s="964">
        <f>ROUND(E31/D31,2)</f>
        <v>0.22</v>
      </c>
      <c r="J5" s="2886"/>
      <c r="K5" s="2886"/>
      <c r="L5" s="2886"/>
      <c r="M5" s="2886"/>
      <c r="N5" s="2886"/>
      <c r="O5" s="2886"/>
      <c r="P5" s="2886"/>
    </row>
    <row r="6" spans="1:16" ht="15" thickBot="1">
      <c r="A6" s="1829"/>
      <c r="B6" s="3755" t="s">
        <v>1797</v>
      </c>
      <c r="C6" s="3755"/>
      <c r="D6" s="48">
        <f>ROUND($D$3*E6/$E$3,2)</f>
        <v>1442.46</v>
      </c>
      <c r="E6" s="49">
        <f>E3-E5</f>
        <v>313.63</v>
      </c>
      <c r="F6" s="2886"/>
      <c r="G6" s="2880" t="s">
        <v>1798</v>
      </c>
      <c r="H6" s="1308" t="s">
        <v>1799</v>
      </c>
      <c r="I6" s="2881">
        <f>ROUND(F31/D31,2)</f>
        <v>0.22</v>
      </c>
      <c r="J6" s="2886"/>
      <c r="K6" s="2886"/>
      <c r="L6" s="2886"/>
      <c r="M6" s="2886"/>
      <c r="N6" s="2886"/>
      <c r="O6" s="2886"/>
      <c r="P6" s="2886"/>
    </row>
    <row r="7" spans="1:16" ht="15.75" thickBot="1">
      <c r="A7" s="3747"/>
      <c r="B7" s="3748"/>
      <c r="C7" s="3749"/>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313.63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313.63</v>
      </c>
      <c r="F16" s="2886"/>
      <c r="G16" s="2887"/>
      <c r="H16" s="1833" t="s">
        <v>1821</v>
      </c>
      <c r="I16" s="1834"/>
      <c r="J16" s="1301"/>
      <c r="K16" s="3744" t="s">
        <v>1821</v>
      </c>
      <c r="L16" s="3745"/>
      <c r="M16" s="3745"/>
      <c r="N16" s="3745"/>
      <c r="O16" s="3745"/>
      <c r="P16" s="3746"/>
    </row>
    <row r="17" spans="1:19" ht="15">
      <c r="A17" s="1835" t="s">
        <v>1822</v>
      </c>
      <c r="B17" s="1836" t="s">
        <v>1823</v>
      </c>
      <c r="C17" s="1837" t="s">
        <v>1824</v>
      </c>
      <c r="D17" s="1838" t="s">
        <v>1812</v>
      </c>
      <c r="E17" s="1839" t="s">
        <v>1813</v>
      </c>
      <c r="F17" s="1840"/>
      <c r="G17" s="1841"/>
      <c r="H17" s="1842" t="s">
        <v>1825</v>
      </c>
      <c r="I17" s="1843" t="s">
        <v>1810</v>
      </c>
      <c r="J17" s="1301"/>
      <c r="K17" s="3741" t="s">
        <v>1826</v>
      </c>
      <c r="L17" s="3742"/>
      <c r="M17" s="3743"/>
      <c r="N17" s="3741" t="s">
        <v>1827</v>
      </c>
      <c r="O17" s="3742"/>
      <c r="P17" s="3743"/>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313.63</v>
      </c>
      <c r="F19" s="3026">
        <f>'数据-基础表'!I13</f>
        <v>313.63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313.63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313.63</v>
      </c>
      <c r="F27" s="1302">
        <f>IF(SUM(F19:F26)=E8,SUM(F19:F26),"地上面积有误")</f>
        <v>313.63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313.63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313.63</v>
      </c>
      <c r="F31" s="686">
        <f>F27+F30</f>
        <v>313.63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T21" activePane="bottomRight" state="frozen"/>
      <selection activeCell="C50" sqref="C50"/>
      <selection pane="topRight" activeCell="C50" sqref="C50"/>
      <selection pane="bottomLeft" activeCell="C50" sqref="C50"/>
      <selection pane="bottomRight" activeCell="B39" sqref="B39"/>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313.63</v>
      </c>
      <c r="L6" s="742">
        <v>2500</v>
      </c>
      <c r="M6" s="71">
        <f t="shared" ref="M6:M14" si="0">ROUND(K6*L6/10000,0)</f>
        <v>78</v>
      </c>
      <c r="N6" s="740">
        <v>0.82</v>
      </c>
      <c r="O6" s="71" t="str">
        <f>IF($N$5="成新度","——",ROUND(M6*N6,0))</f>
        <v>——</v>
      </c>
      <c r="P6" s="72" t="str">
        <f>IF($N$5="成新度","——",M6-O6)</f>
        <v>——</v>
      </c>
      <c r="Q6" s="743">
        <v>0.05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f>N6</f>
        <v>0.82</v>
      </c>
      <c r="Z6" s="77">
        <f>Sheet1!B49</f>
        <v>738704</v>
      </c>
      <c r="AA6" s="70">
        <v>0</v>
      </c>
      <c r="AB6" s="70">
        <v>0.15</v>
      </c>
      <c r="AC6" s="1171"/>
      <c r="AD6" s="78">
        <f>Y6</f>
        <v>0.82</v>
      </c>
      <c r="AE6" s="1172">
        <f ca="1">IF(AN6="",0,SUMIF(INDIRECT("'"&amp;AN6&amp;"'"&amp;"!E:E"),$AE$5,INDIRECT("'"&amp;AN6&amp;"'"&amp;"!F:F")))</f>
        <v>40</v>
      </c>
      <c r="AF6" s="1532">
        <v>4.1399999999999997</v>
      </c>
      <c r="AG6" s="143">
        <f ca="1">IF(AF6="",0,AE6-AF6)</f>
        <v>35.86</v>
      </c>
      <c r="AH6" s="79">
        <v>1</v>
      </c>
      <c r="AI6" s="81">
        <v>1</v>
      </c>
      <c r="AJ6" s="82"/>
      <c r="AK6" s="83">
        <v>1.4999999999999999E-2</v>
      </c>
      <c r="AL6" s="84">
        <v>1.5E-3</v>
      </c>
      <c r="AM6" s="85">
        <v>0.01</v>
      </c>
      <c r="AN6" s="1901" t="s">
        <v>3081</v>
      </c>
      <c r="AO6" s="55">
        <f ca="1">SUMIF(INDIRECT("'"&amp;AN6&amp;"'"&amp;"!A:A"),"总价",INDIRECT("'"&amp;AN6&amp;"'"&amp;"!B:B"))</f>
        <v>698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313.63</v>
      </c>
      <c r="L16" s="98">
        <f>ROUND(M16*10000/SUM(K6:K14),0)</f>
        <v>2487</v>
      </c>
      <c r="M16" s="98">
        <f>SUM(M6:M14)</f>
        <v>78</v>
      </c>
      <c r="N16" s="99">
        <f>ROUND(SUMPRODUCT(M6:M14,N6:N14)/M16,3)</f>
        <v>0.82</v>
      </c>
      <c r="O16" s="98">
        <f>SUM(O6:O14)</f>
        <v>0</v>
      </c>
      <c r="P16" s="98">
        <f>SUM(P6:P14)</f>
        <v>0</v>
      </c>
      <c r="Q16" s="100">
        <f>ROUND(SUMPRODUCT(Q6:Q13,K6:K13)/SUMPRODUCT((Q6:Q13&gt;0)*(K6:K13)),2)</f>
        <v>0.05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140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BC897-8E47-4CCC-AC65-C65B71388560}">
  <dimension ref="A1:W44"/>
  <sheetViews>
    <sheetView topLeftCell="A19" zoomScaleNormal="100" workbookViewId="0">
      <selection activeCell="D13" sqref="D13"/>
    </sheetView>
  </sheetViews>
  <sheetFormatPr defaultColWidth="8.75" defaultRowHeight="13.15" customHeight="1"/>
  <cols>
    <col min="1" max="1" width="8.5" style="3475" customWidth="1"/>
    <col min="2" max="2" width="8.75" style="3475"/>
    <col min="3"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3432</v>
      </c>
      <c r="K1" s="3478"/>
      <c r="L1" s="3478"/>
      <c r="M1" s="3478"/>
      <c r="N1" s="3478"/>
      <c r="O1" s="3478"/>
      <c r="P1" s="3478"/>
      <c r="Q1" s="3478"/>
      <c r="R1" s="3479"/>
      <c r="S1" s="3480"/>
      <c r="T1" s="3480"/>
      <c r="U1" s="3480"/>
    </row>
    <row r="2" spans="1:22" s="3487" customFormat="1" ht="13.15" customHeight="1">
      <c r="A2" s="3481" t="s">
        <v>3433</v>
      </c>
      <c r="B2" s="3482">
        <f ca="1">C40</f>
        <v>6806632</v>
      </c>
      <c r="C2" s="3483" t="s">
        <v>1481</v>
      </c>
      <c r="D2" s="3483"/>
      <c r="E2" s="3484"/>
      <c r="F2" s="3485"/>
      <c r="G2" s="3486"/>
      <c r="I2" s="3488"/>
      <c r="J2" s="3762" t="s">
        <v>3434</v>
      </c>
      <c r="K2" s="3763"/>
      <c r="L2" s="3489" t="s">
        <v>3435</v>
      </c>
      <c r="M2" s="3489" t="s">
        <v>3436</v>
      </c>
      <c r="N2" s="3489" t="s">
        <v>3437</v>
      </c>
      <c r="O2" s="3489" t="s">
        <v>3438</v>
      </c>
      <c r="P2" s="3489" t="s">
        <v>3439</v>
      </c>
      <c r="Q2" s="3490" t="s">
        <v>3440</v>
      </c>
      <c r="R2" s="3491" t="s">
        <v>3441</v>
      </c>
      <c r="S2" s="3480"/>
      <c r="T2" s="3480"/>
      <c r="U2" s="3480"/>
      <c r="V2" s="3488"/>
    </row>
    <row r="3" spans="1:22" s="3487" customFormat="1" ht="13.15" customHeight="1">
      <c r="A3" s="3492" t="s">
        <v>3442</v>
      </c>
      <c r="B3" s="3493">
        <f ca="1">ROUND(B2*10000/B4,0)</f>
        <v>217027453</v>
      </c>
      <c r="C3" s="3483" t="s">
        <v>1483</v>
      </c>
      <c r="D3" s="3483"/>
      <c r="E3" s="3484"/>
      <c r="F3" s="3485"/>
      <c r="G3" s="3486"/>
      <c r="I3" s="3488"/>
      <c r="J3" s="3764" t="s">
        <v>3443</v>
      </c>
      <c r="K3" s="3765"/>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764" t="s">
        <v>3444</v>
      </c>
      <c r="K4" s="3765"/>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3445</v>
      </c>
      <c r="B5" s="3503">
        <f>'数据-汇总表'!D6</f>
        <v>1442.46</v>
      </c>
      <c r="C5" s="3483"/>
      <c r="D5" s="3504"/>
      <c r="E5" s="3485"/>
      <c r="F5" s="3485"/>
      <c r="G5" s="3486"/>
      <c r="I5" s="3488"/>
      <c r="J5" s="3505" t="s">
        <v>3446</v>
      </c>
      <c r="K5" s="3506"/>
      <c r="L5" s="3506"/>
      <c r="M5" s="3507"/>
      <c r="N5" s="3507"/>
      <c r="O5" s="3507"/>
      <c r="P5" s="3507"/>
      <c r="Q5" s="3507"/>
      <c r="R5" s="3491">
        <f>SUM(R14,R19,R24,R25,R27,R28)</f>
        <v>1160821</v>
      </c>
      <c r="S5" s="3480"/>
      <c r="T5" s="3480" t="s">
        <v>3447</v>
      </c>
      <c r="U5" s="3480">
        <f>ROUND(R5*10000/365/R3,1)</f>
        <v>766.3</v>
      </c>
      <c r="V5" s="3488"/>
    </row>
    <row r="6" spans="1:22" s="3487" customFormat="1" ht="13.15" customHeight="1" thickBot="1">
      <c r="A6" s="3774" t="s">
        <v>3448</v>
      </c>
      <c r="B6" s="3775"/>
      <c r="C6" s="3776"/>
      <c r="D6" s="3508">
        <f>R5</f>
        <v>1160821</v>
      </c>
      <c r="E6" s="3509"/>
      <c r="F6" s="3510"/>
      <c r="G6" s="3511"/>
      <c r="I6" s="3488"/>
      <c r="J6" s="3756">
        <v>1</v>
      </c>
      <c r="K6" s="3757" t="s">
        <v>3449</v>
      </c>
      <c r="L6" s="3512" t="s">
        <v>3450</v>
      </c>
      <c r="M6" s="3513" t="s">
        <v>3451</v>
      </c>
      <c r="N6" s="3513" t="s">
        <v>3452</v>
      </c>
      <c r="O6" s="3513" t="s">
        <v>3453</v>
      </c>
      <c r="P6" s="3513" t="s">
        <v>3454</v>
      </c>
      <c r="Q6" s="3513" t="s">
        <v>3455</v>
      </c>
      <c r="R6" s="3496" t="s">
        <v>3456</v>
      </c>
      <c r="S6" s="3480"/>
      <c r="T6" s="3480" t="s">
        <v>3457</v>
      </c>
      <c r="U6" s="3480"/>
      <c r="V6" s="3488"/>
    </row>
    <row r="7" spans="1:22" s="3487" customFormat="1" ht="13.15" customHeight="1">
      <c r="A7" s="3514" t="s">
        <v>3458</v>
      </c>
      <c r="B7" s="3515"/>
      <c r="C7" s="3516"/>
      <c r="D7" s="3517">
        <f ca="1">SUM(D9,D10,D11,D17,0)</f>
        <v>339615.14</v>
      </c>
      <c r="E7" s="3518">
        <f ca="1">E9+E10+E11+E17</f>
        <v>0.29256498116419327</v>
      </c>
      <c r="F7" s="3519"/>
      <c r="G7" s="3520"/>
      <c r="I7" s="3488"/>
      <c r="J7" s="3756"/>
      <c r="K7" s="3758"/>
      <c r="L7" s="3603" t="s">
        <v>3489</v>
      </c>
      <c r="M7" s="3522"/>
      <c r="N7" s="3498"/>
      <c r="O7" s="3523"/>
      <c r="P7" s="3523"/>
      <c r="Q7" s="3524"/>
      <c r="R7" s="3525">
        <f>Sheet1!B47</f>
        <v>1055292</v>
      </c>
      <c r="S7" s="3480"/>
      <c r="T7" s="3480" t="s">
        <v>3459</v>
      </c>
      <c r="U7" s="3480"/>
      <c r="V7" s="3488"/>
    </row>
    <row r="8" spans="1:22" ht="13.15" customHeight="1">
      <c r="A8" s="3604" t="s">
        <v>3490</v>
      </c>
      <c r="B8" s="3777" t="s">
        <v>3491</v>
      </c>
      <c r="C8" s="3778"/>
      <c r="D8" s="3605" t="s">
        <v>3492</v>
      </c>
      <c r="E8" s="3606" t="s">
        <v>3493</v>
      </c>
      <c r="F8" s="3607" t="s">
        <v>3494</v>
      </c>
      <c r="G8" s="3608"/>
      <c r="J8" s="3756"/>
      <c r="K8" s="3758"/>
      <c r="L8" s="3609"/>
      <c r="M8" s="3610"/>
      <c r="N8" s="3611"/>
      <c r="O8" s="3612"/>
      <c r="P8" s="3612"/>
      <c r="Q8" s="3613"/>
      <c r="R8" s="3614"/>
      <c r="T8" s="3601" t="s">
        <v>3495</v>
      </c>
    </row>
    <row r="9" spans="1:22" ht="13.15" customHeight="1">
      <c r="A9" s="3604">
        <v>1</v>
      </c>
      <c r="B9" s="3777" t="s">
        <v>3496</v>
      </c>
      <c r="C9" s="3778"/>
      <c r="D9" s="3605">
        <f>ROUND(D6*E9,0)</f>
        <v>4643</v>
      </c>
      <c r="E9" s="3615">
        <v>4.0000000000000001E-3</v>
      </c>
      <c r="F9" s="3616" t="s">
        <v>3497</v>
      </c>
      <c r="G9" s="3617"/>
      <c r="J9" s="3756"/>
      <c r="K9" s="3758"/>
      <c r="L9" s="3609"/>
      <c r="M9" s="3610"/>
      <c r="N9" s="3611"/>
      <c r="O9" s="3612"/>
      <c r="P9" s="3612"/>
      <c r="Q9" s="3613"/>
      <c r="R9" s="3614"/>
    </row>
    <row r="10" spans="1:22" ht="13.15" customHeight="1">
      <c r="A10" s="3604">
        <v>2</v>
      </c>
      <c r="B10" s="3777" t="s">
        <v>3498</v>
      </c>
      <c r="C10" s="3778"/>
      <c r="D10" s="3605">
        <f>ROUND(D6*E10,0)</f>
        <v>174123</v>
      </c>
      <c r="E10" s="3618">
        <v>0.15</v>
      </c>
      <c r="F10" s="3616" t="s">
        <v>3499</v>
      </c>
      <c r="G10" s="3617"/>
      <c r="J10" s="3756"/>
      <c r="K10" s="3758"/>
      <c r="L10" s="3609"/>
      <c r="M10" s="3610"/>
      <c r="N10" s="3611"/>
      <c r="O10" s="3612"/>
      <c r="P10" s="3612"/>
      <c r="Q10" s="3613"/>
      <c r="R10" s="3614"/>
    </row>
    <row r="11" spans="1:22" ht="13.15" customHeight="1">
      <c r="A11" s="3604">
        <v>3</v>
      </c>
      <c r="B11" s="3777" t="s">
        <v>3500</v>
      </c>
      <c r="C11" s="3778"/>
      <c r="D11" s="3605">
        <f ca="1">D12+D14+D15+D16</f>
        <v>160849.14000000001</v>
      </c>
      <c r="E11" s="3619">
        <f ca="1">D11/D6</f>
        <v>0.13856498116419327</v>
      </c>
      <c r="F11" s="3607"/>
      <c r="G11" s="3608"/>
      <c r="J11" s="3756"/>
      <c r="K11" s="3758"/>
      <c r="L11" s="3609"/>
      <c r="M11" s="3610"/>
      <c r="N11" s="3611"/>
      <c r="O11" s="3612"/>
      <c r="P11" s="3612"/>
      <c r="Q11" s="3613"/>
      <c r="R11" s="3614"/>
    </row>
    <row r="12" spans="1:22" ht="13.15" customHeight="1">
      <c r="A12" s="3620" t="s">
        <v>3501</v>
      </c>
      <c r="B12" s="3766" t="s">
        <v>3502</v>
      </c>
      <c r="C12" s="3767"/>
      <c r="D12" s="3621">
        <f ca="1">ROUND(D13*1.2%*(1-30%),0)</f>
        <v>8568</v>
      </c>
      <c r="E12" s="3622">
        <v>1.2E-2</v>
      </c>
      <c r="F12" s="3607" t="s">
        <v>3503</v>
      </c>
      <c r="G12" s="3608"/>
      <c r="J12" s="3756"/>
      <c r="K12" s="3758"/>
      <c r="L12" s="3609"/>
      <c r="M12" s="3610"/>
      <c r="N12" s="3611"/>
      <c r="O12" s="3612"/>
      <c r="P12" s="3612"/>
      <c r="Q12" s="3613"/>
      <c r="R12" s="3614"/>
    </row>
    <row r="13" spans="1:22" ht="13.15" customHeight="1">
      <c r="A13" s="3620"/>
      <c r="B13" s="3623"/>
      <c r="C13" s="3624" t="s">
        <v>3461</v>
      </c>
      <c r="D13" s="3625">
        <f ca="1">收益法!C13*10000</f>
        <v>1020000</v>
      </c>
      <c r="E13" s="3626"/>
      <c r="F13" s="3607"/>
      <c r="G13" s="3608"/>
      <c r="J13" s="3756"/>
      <c r="K13" s="3758"/>
      <c r="L13" s="3609"/>
      <c r="M13" s="3610"/>
      <c r="N13" s="3611"/>
      <c r="O13" s="3612"/>
      <c r="P13" s="3612"/>
      <c r="Q13" s="3613"/>
      <c r="R13" s="3614"/>
    </row>
    <row r="14" spans="1:22" ht="13.15" customHeight="1">
      <c r="A14" s="3620" t="s">
        <v>3504</v>
      </c>
      <c r="B14" s="3766" t="s">
        <v>3505</v>
      </c>
      <c r="C14" s="3767"/>
      <c r="D14" s="3621">
        <f ca="1">收益法!F34*收益法!F35</f>
        <v>12982.14</v>
      </c>
      <c r="E14" s="3613"/>
      <c r="F14" s="3607" t="s">
        <v>3506</v>
      </c>
      <c r="G14" s="3608"/>
      <c r="J14" s="3756"/>
      <c r="K14" s="3759"/>
      <c r="L14" s="3627" t="s">
        <v>3507</v>
      </c>
      <c r="M14" s="3628">
        <f>SUM(M7:M13)</f>
        <v>0</v>
      </c>
      <c r="N14" s="3628" t="e">
        <f>ROUND((N7*M7+N8*M8+N9*M9+N10*M10+N11*M11+N12*M12+N13*M13)/M14,0)</f>
        <v>#DIV/0!</v>
      </c>
      <c r="O14" s="3629"/>
      <c r="P14" s="3629"/>
      <c r="Q14" s="3630"/>
      <c r="R14" s="3607">
        <f>SUM(R7:R13)</f>
        <v>1055292</v>
      </c>
    </row>
    <row r="15" spans="1:22" ht="13.15" customHeight="1">
      <c r="A15" s="3620" t="s">
        <v>3508</v>
      </c>
      <c r="B15" s="3766" t="s">
        <v>3509</v>
      </c>
      <c r="C15" s="3767"/>
      <c r="D15" s="3621">
        <f>ROUND(D6*E15,0)</f>
        <v>139299</v>
      </c>
      <c r="E15" s="3622">
        <v>0.12</v>
      </c>
      <c r="F15" s="3607" t="s">
        <v>3510</v>
      </c>
      <c r="G15" s="3617"/>
      <c r="J15" s="3768">
        <v>2</v>
      </c>
      <c r="K15" s="3769" t="s">
        <v>3511</v>
      </c>
      <c r="L15" s="3609" t="s">
        <v>3512</v>
      </c>
      <c r="M15" s="3610" t="s">
        <v>3513</v>
      </c>
      <c r="N15" s="3610" t="s">
        <v>3514</v>
      </c>
      <c r="O15" s="3612" t="s">
        <v>3515</v>
      </c>
      <c r="P15" s="3612" t="s">
        <v>3516</v>
      </c>
      <c r="Q15" s="3611" t="s">
        <v>1</v>
      </c>
      <c r="R15" s="3631" t="s">
        <v>3517</v>
      </c>
    </row>
    <row r="16" spans="1:22" ht="13.15" customHeight="1">
      <c r="A16" s="3620" t="s">
        <v>3518</v>
      </c>
      <c r="B16" s="3766" t="s">
        <v>3519</v>
      </c>
      <c r="C16" s="3767"/>
      <c r="D16" s="3632">
        <f>D6*E16</f>
        <v>0</v>
      </c>
      <c r="E16" s="3633"/>
      <c r="F16" s="3616" t="s">
        <v>3520</v>
      </c>
      <c r="G16" s="3617"/>
      <c r="J16" s="3768"/>
      <c r="K16" s="3770"/>
      <c r="L16" s="3609" t="s">
        <v>3521</v>
      </c>
      <c r="M16" s="3610">
        <v>100</v>
      </c>
      <c r="N16" s="3610">
        <v>100</v>
      </c>
      <c r="O16" s="3612">
        <v>1.2</v>
      </c>
      <c r="P16" s="3613">
        <v>365</v>
      </c>
      <c r="Q16" s="3611"/>
      <c r="R16" s="3631"/>
    </row>
    <row r="17" spans="1:22" ht="13.15" customHeight="1" thickBot="1">
      <c r="A17" s="3634">
        <v>4</v>
      </c>
      <c r="B17" s="3772" t="s">
        <v>3522</v>
      </c>
      <c r="C17" s="3773"/>
      <c r="D17" s="3635">
        <f>ROUND(D6*E17,0)</f>
        <v>0</v>
      </c>
      <c r="E17" s="3636"/>
      <c r="F17" s="3637" t="s">
        <v>3523</v>
      </c>
      <c r="G17" s="3617"/>
      <c r="J17" s="3768"/>
      <c r="K17" s="3770"/>
      <c r="L17" s="3609" t="s">
        <v>3524</v>
      </c>
      <c r="M17" s="3610">
        <v>200</v>
      </c>
      <c r="N17" s="3610">
        <v>200</v>
      </c>
      <c r="O17" s="3612">
        <v>2</v>
      </c>
      <c r="P17" s="3613">
        <v>365</v>
      </c>
      <c r="Q17" s="3611"/>
      <c r="R17" s="3631"/>
    </row>
    <row r="18" spans="1:22" ht="13.15" customHeight="1" thickBot="1">
      <c r="A18" s="3638" t="s">
        <v>3525</v>
      </c>
      <c r="B18" s="3639"/>
      <c r="C18" s="3639"/>
      <c r="D18" s="3640">
        <f>ROUND(D6*E18,0)</f>
        <v>406287</v>
      </c>
      <c r="E18" s="3641">
        <v>0.35</v>
      </c>
      <c r="F18" s="3642" t="s">
        <v>3526</v>
      </c>
      <c r="G18" s="3617"/>
      <c r="J18" s="3768"/>
      <c r="K18" s="3770"/>
      <c r="L18" s="3609" t="s">
        <v>3527</v>
      </c>
      <c r="M18" s="3610"/>
      <c r="N18" s="3610"/>
      <c r="O18" s="3612"/>
      <c r="P18" s="3613">
        <v>365</v>
      </c>
      <c r="Q18" s="3611"/>
      <c r="R18" s="3631"/>
    </row>
    <row r="19" spans="1:22" ht="13.15" customHeight="1" thickBot="1">
      <c r="A19" s="3643" t="s">
        <v>3528</v>
      </c>
      <c r="B19" s="3644"/>
      <c r="C19" s="3644"/>
      <c r="D19" s="3644"/>
      <c r="E19" s="3644"/>
      <c r="F19" s="3645"/>
      <c r="G19" s="3608"/>
      <c r="J19" s="3768"/>
      <c r="K19" s="3771"/>
      <c r="L19" s="3627" t="s">
        <v>3507</v>
      </c>
      <c r="M19" s="3628"/>
      <c r="N19" s="3628">
        <f>SUM(N16:N18)</f>
        <v>300</v>
      </c>
      <c r="O19" s="3629"/>
      <c r="P19" s="3646" t="s">
        <v>3529</v>
      </c>
      <c r="Q19" s="3612">
        <v>0</v>
      </c>
      <c r="R19" s="3647">
        <f>ROUND(IF(P19="按比例",R14*Q19,SUM(R16:R18)),0)</f>
        <v>0</v>
      </c>
    </row>
    <row r="20" spans="1:22" ht="13.15" customHeight="1">
      <c r="A20" s="3638"/>
      <c r="B20" s="3639"/>
      <c r="C20" s="3639"/>
      <c r="D20" s="3639"/>
      <c r="E20" s="3639"/>
      <c r="F20" s="3648"/>
      <c r="G20" s="3608"/>
      <c r="J20" s="3756">
        <v>3</v>
      </c>
      <c r="K20" s="3757" t="s">
        <v>3464</v>
      </c>
      <c r="L20" s="3609" t="s">
        <v>3530</v>
      </c>
      <c r="M20" s="3610" t="s">
        <v>3531</v>
      </c>
      <c r="N20" s="3649" t="s">
        <v>3532</v>
      </c>
      <c r="O20" s="3612" t="s">
        <v>3533</v>
      </c>
      <c r="P20" s="3613" t="s">
        <v>3516</v>
      </c>
      <c r="Q20" s="3611" t="s">
        <v>1</v>
      </c>
      <c r="R20" s="3631" t="s">
        <v>3517</v>
      </c>
    </row>
    <row r="21" spans="1:22" ht="13.15" customHeight="1">
      <c r="A21" s="3638"/>
      <c r="B21" s="3639"/>
      <c r="C21" s="3650" t="s">
        <v>3534</v>
      </c>
      <c r="D21" s="3651" t="s">
        <v>3535</v>
      </c>
      <c r="E21" s="3652" t="s">
        <v>3536</v>
      </c>
      <c r="F21" s="3648"/>
      <c r="G21" s="3608"/>
      <c r="J21" s="3756"/>
      <c r="K21" s="3758"/>
      <c r="L21" s="3609" t="s">
        <v>3537</v>
      </c>
      <c r="M21" s="3610">
        <v>2</v>
      </c>
      <c r="N21" s="3610">
        <v>3000</v>
      </c>
      <c r="O21" s="3612">
        <v>0.3</v>
      </c>
      <c r="P21" s="3613">
        <v>365</v>
      </c>
      <c r="Q21" s="3611"/>
      <c r="R21" s="3653"/>
    </row>
    <row r="22" spans="1:22" ht="13.15" customHeight="1">
      <c r="A22" s="3638"/>
      <c r="B22" s="3639"/>
      <c r="C22" s="3654" t="s">
        <v>3538</v>
      </c>
      <c r="D22" s="3655" t="s">
        <v>3539</v>
      </c>
      <c r="E22" s="3656" t="s">
        <v>3540</v>
      </c>
      <c r="F22" s="3648"/>
      <c r="G22" s="3601"/>
      <c r="J22" s="3756"/>
      <c r="K22" s="3758"/>
      <c r="L22" s="3609" t="s">
        <v>3541</v>
      </c>
      <c r="M22" s="3610">
        <v>5</v>
      </c>
      <c r="N22" s="3610">
        <v>1500</v>
      </c>
      <c r="O22" s="3612">
        <v>0.5</v>
      </c>
      <c r="P22" s="3613">
        <v>365</v>
      </c>
      <c r="Q22" s="3611"/>
      <c r="R22" s="3653"/>
    </row>
    <row r="23" spans="1:22" ht="13.15" customHeight="1">
      <c r="A23" s="3657">
        <v>1</v>
      </c>
      <c r="B23" s="3658" t="s">
        <v>3542</v>
      </c>
      <c r="C23" s="3659">
        <f>D6</f>
        <v>1160821</v>
      </c>
      <c r="D23" s="3660">
        <f>C23*(1+D24)</f>
        <v>1160821</v>
      </c>
      <c r="E23" s="3661">
        <f>D23*(1+E24)</f>
        <v>1160821</v>
      </c>
      <c r="F23" s="3662"/>
      <c r="G23" s="3663"/>
      <c r="J23" s="3756"/>
      <c r="K23" s="3758"/>
      <c r="L23" s="3609" t="s">
        <v>3543</v>
      </c>
      <c r="M23" s="3610">
        <v>8</v>
      </c>
      <c r="N23" s="3610">
        <v>1000</v>
      </c>
      <c r="O23" s="3612">
        <v>0.6</v>
      </c>
      <c r="P23" s="3613">
        <v>365</v>
      </c>
      <c r="Q23" s="3611"/>
      <c r="R23" s="3653"/>
    </row>
    <row r="24" spans="1:22" s="3487" customFormat="1" ht="13.15" customHeight="1">
      <c r="A24" s="3544"/>
      <c r="B24" s="3545" t="s">
        <v>3465</v>
      </c>
      <c r="C24" s="3546"/>
      <c r="D24" s="3547"/>
      <c r="E24" s="3548"/>
      <c r="F24" s="3549"/>
      <c r="G24" s="3543"/>
      <c r="I24" s="3488"/>
      <c r="J24" s="3756"/>
      <c r="K24" s="3759"/>
      <c r="L24" s="3531" t="s">
        <v>3462</v>
      </c>
      <c r="M24" s="3532">
        <f>SUM(M21:M23)</f>
        <v>15</v>
      </c>
      <c r="N24" s="3532"/>
      <c r="O24" s="3533"/>
      <c r="P24" s="3535" t="s">
        <v>3463</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550">
        <v>4</v>
      </c>
      <c r="K25" s="3551" t="s">
        <v>3466</v>
      </c>
      <c r="L25" s="3552"/>
      <c r="M25" s="3552"/>
      <c r="N25" s="3552"/>
      <c r="O25" s="3552"/>
      <c r="P25" s="3553"/>
      <c r="Q25" s="3554">
        <v>0.1</v>
      </c>
      <c r="R25" s="3536">
        <f>ROUND(R14*Q25,0)</f>
        <v>105529</v>
      </c>
      <c r="S25" s="3480"/>
      <c r="T25" s="3480"/>
      <c r="U25" s="3480"/>
      <c r="V25" s="3555"/>
    </row>
    <row r="26" spans="1:22" s="3556" customFormat="1" ht="13.15" customHeight="1">
      <c r="A26" s="3538">
        <v>2</v>
      </c>
      <c r="B26" s="3513" t="s">
        <v>3467</v>
      </c>
      <c r="C26" s="3539">
        <f ca="1">D7</f>
        <v>339615.14</v>
      </c>
      <c r="D26" s="3540">
        <f>D23*D27</f>
        <v>0</v>
      </c>
      <c r="E26" s="3541">
        <f>E23*E27</f>
        <v>0</v>
      </c>
      <c r="F26" s="3542"/>
      <c r="G26" s="3543"/>
      <c r="H26" s="3487"/>
      <c r="I26" s="3488"/>
      <c r="J26" s="3760">
        <v>5</v>
      </c>
      <c r="K26" s="3557" t="s">
        <v>3468</v>
      </c>
      <c r="L26" s="3558"/>
      <c r="M26" s="3559"/>
      <c r="N26" s="3560" t="s">
        <v>1751</v>
      </c>
      <c r="O26" s="3560" t="s">
        <v>3469</v>
      </c>
      <c r="P26" s="3561" t="s">
        <v>3470</v>
      </c>
      <c r="Q26" s="3561" t="s">
        <v>3471</v>
      </c>
      <c r="R26" s="3496" t="s">
        <v>3456</v>
      </c>
      <c r="S26" s="3528"/>
      <c r="T26" s="3528"/>
      <c r="U26" s="3528"/>
      <c r="V26" s="3555"/>
    </row>
    <row r="27" spans="1:22" s="3487" customFormat="1" ht="13.15" customHeight="1">
      <c r="A27" s="3544"/>
      <c r="B27" s="3545" t="s">
        <v>3472</v>
      </c>
      <c r="C27" s="3562">
        <f ca="1">E7</f>
        <v>0.29256498116419327</v>
      </c>
      <c r="D27" s="3547"/>
      <c r="E27" s="3548"/>
      <c r="F27" s="3549"/>
      <c r="G27" s="3543"/>
      <c r="H27" s="3556"/>
      <c r="I27" s="3555"/>
      <c r="J27" s="3761"/>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3473</v>
      </c>
      <c r="F28" s="3549"/>
      <c r="G28" s="3480"/>
      <c r="I28" s="3555"/>
      <c r="J28" s="3568">
        <v>6</v>
      </c>
      <c r="K28" s="3569" t="s">
        <v>3474</v>
      </c>
      <c r="L28" s="3570" t="s">
        <v>3475</v>
      </c>
      <c r="M28" s="3571"/>
      <c r="N28" s="3570" t="s">
        <v>3476</v>
      </c>
      <c r="O28" s="3572" t="s">
        <v>3477</v>
      </c>
      <c r="P28" s="3570" t="s">
        <v>3478</v>
      </c>
      <c r="Q28" s="3573">
        <v>1.4999999999999999E-2</v>
      </c>
      <c r="R28" s="3574"/>
      <c r="S28" s="3480"/>
      <c r="T28" s="3480"/>
      <c r="U28" s="3480"/>
      <c r="V28" s="3555"/>
    </row>
    <row r="29" spans="1:22" s="3556" customFormat="1" ht="13.15" customHeight="1">
      <c r="A29" s="3538">
        <v>3</v>
      </c>
      <c r="B29" s="3513" t="s">
        <v>3479</v>
      </c>
      <c r="C29" s="3539">
        <f>C23*C30</f>
        <v>406287.35</v>
      </c>
      <c r="D29" s="3540">
        <f>D23*C30</f>
        <v>406287.35</v>
      </c>
      <c r="E29" s="3541">
        <f>E23*C30</f>
        <v>406287.35</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3472</v>
      </c>
      <c r="C30" s="3562">
        <f>E18</f>
        <v>0.35</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3480</v>
      </c>
      <c r="K31" s="3478"/>
      <c r="L31" s="3478"/>
      <c r="M31" s="3478"/>
      <c r="N31" s="3478"/>
      <c r="O31" s="3478"/>
      <c r="P31" s="3478"/>
      <c r="Q31" s="3478"/>
      <c r="R31" s="3479"/>
      <c r="S31" s="3480"/>
      <c r="T31" s="3480"/>
      <c r="U31" s="3480"/>
      <c r="V31" s="3555"/>
    </row>
    <row r="32" spans="1:22" s="3556" customFormat="1" ht="13.15" customHeight="1">
      <c r="A32" s="3538">
        <v>4</v>
      </c>
      <c r="B32" s="3513" t="s">
        <v>3481</v>
      </c>
      <c r="C32" s="3539">
        <f ca="1">C23-C26-C29</f>
        <v>414918.51</v>
      </c>
      <c r="D32" s="3540">
        <f>D23-D26-D29</f>
        <v>754533.65</v>
      </c>
      <c r="E32" s="3541">
        <f>E23-E26-E29</f>
        <v>754533.65</v>
      </c>
      <c r="F32" s="3542"/>
      <c r="G32" s="3480"/>
      <c r="H32" s="3487"/>
      <c r="I32" s="3488"/>
      <c r="J32" s="3762" t="s">
        <v>3434</v>
      </c>
      <c r="K32" s="3763"/>
      <c r="L32" s="3489" t="s">
        <v>3435</v>
      </c>
      <c r="M32" s="3489" t="s">
        <v>3436</v>
      </c>
      <c r="N32" s="3489" t="s">
        <v>3437</v>
      </c>
      <c r="O32" s="3489" t="s">
        <v>3438</v>
      </c>
      <c r="P32" s="3489" t="s">
        <v>3439</v>
      </c>
      <c r="Q32" s="3490" t="s">
        <v>3440</v>
      </c>
      <c r="R32" s="3527" t="s">
        <v>3441</v>
      </c>
      <c r="S32" s="3480"/>
      <c r="T32" s="3480"/>
      <c r="U32" s="3480"/>
      <c r="V32" s="3555"/>
    </row>
    <row r="33" spans="1:23" s="3487" customFormat="1" ht="13.15" customHeight="1">
      <c r="A33" s="3538"/>
      <c r="B33" s="3513"/>
      <c r="C33" s="3539"/>
      <c r="D33" s="3577"/>
      <c r="E33" s="3578"/>
      <c r="F33" s="3542"/>
      <c r="G33" s="3480"/>
      <c r="H33" s="3556"/>
      <c r="I33" s="3555"/>
      <c r="J33" s="3764" t="s">
        <v>3443</v>
      </c>
      <c r="K33" s="3765"/>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3482</v>
      </c>
      <c r="C34" s="3580">
        <v>7.0000000000000007E-2</v>
      </c>
      <c r="D34" s="3581"/>
      <c r="E34" s="3582"/>
      <c r="F34" s="3542"/>
      <c r="G34" s="3480"/>
      <c r="H34" s="3556"/>
      <c r="I34" s="3555"/>
      <c r="J34" s="3764" t="s">
        <v>3444</v>
      </c>
      <c r="K34" s="3765"/>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3483</v>
      </c>
      <c r="C35" s="3584">
        <v>0.02</v>
      </c>
      <c r="D35" s="3585"/>
      <c r="E35" s="3586"/>
      <c r="F35" s="3542"/>
      <c r="G35" s="3587"/>
      <c r="I35" s="3555"/>
      <c r="J35" s="3505" t="s">
        <v>3446</v>
      </c>
      <c r="K35" s="3506"/>
      <c r="L35" s="3506"/>
      <c r="M35" s="3507"/>
      <c r="N35" s="3507"/>
      <c r="O35" s="3507"/>
      <c r="P35" s="3507"/>
      <c r="Q35" s="3507"/>
      <c r="R35" s="3537">
        <f>R40+R41+R43</f>
        <v>11078</v>
      </c>
      <c r="S35" s="3480"/>
      <c r="T35" s="3480" t="s">
        <v>3447</v>
      </c>
      <c r="U35" s="3480"/>
      <c r="V35" s="3488"/>
    </row>
    <row r="36" spans="1:23" s="3487" customFormat="1" ht="13.15" customHeight="1" thickBot="1">
      <c r="A36" s="3538">
        <v>7</v>
      </c>
      <c r="B36" s="3588" t="s">
        <v>3484</v>
      </c>
      <c r="C36" s="3589">
        <f ca="1">40-收益法!F41</f>
        <v>35.86</v>
      </c>
      <c r="D36" s="3590"/>
      <c r="E36" s="3591"/>
      <c r="F36" s="3592">
        <f ca="1">C36+D36+E36</f>
        <v>35.86</v>
      </c>
      <c r="G36" s="3480"/>
      <c r="I36" s="3488"/>
      <c r="J36" s="3756">
        <v>1</v>
      </c>
      <c r="K36" s="3757" t="s">
        <v>3485</v>
      </c>
      <c r="L36" s="3512"/>
      <c r="M36" s="3513"/>
      <c r="N36" s="3513"/>
      <c r="O36" s="3513"/>
      <c r="P36" s="3513"/>
      <c r="Q36" s="3513"/>
      <c r="R36" s="3496" t="s">
        <v>3456</v>
      </c>
      <c r="S36" s="3480"/>
      <c r="T36" s="3480" t="s">
        <v>3457</v>
      </c>
      <c r="U36" s="3480"/>
      <c r="V36" s="3488"/>
    </row>
    <row r="37" spans="1:23" s="3487" customFormat="1" ht="13.15" customHeight="1">
      <c r="A37" s="3538"/>
      <c r="B37" s="3513"/>
      <c r="C37" s="3513"/>
      <c r="D37" s="3513"/>
      <c r="E37" s="3513"/>
      <c r="F37" s="3542"/>
      <c r="G37" s="3480"/>
      <c r="I37" s="3488"/>
      <c r="J37" s="3756"/>
      <c r="K37" s="3758"/>
      <c r="L37" s="3521"/>
      <c r="M37" s="3522"/>
      <c r="N37" s="3498"/>
      <c r="O37" s="3523"/>
      <c r="P37" s="3523"/>
      <c r="Q37" s="3524"/>
      <c r="R37" s="3525">
        <v>10000</v>
      </c>
      <c r="S37" s="3480"/>
      <c r="T37" s="3480" t="s">
        <v>3459</v>
      </c>
      <c r="U37" s="3480"/>
      <c r="V37" s="3488"/>
    </row>
    <row r="38" spans="1:23" s="3487" customFormat="1" ht="13.15" customHeight="1">
      <c r="A38" s="3538">
        <v>8</v>
      </c>
      <c r="B38" s="3513"/>
      <c r="C38" s="3526">
        <f ca="1">ROUND(C32*(1-((1+C35)/(1+C34))^C36)/(C34-C35),0)</f>
        <v>6806632</v>
      </c>
      <c r="D38" s="3526"/>
      <c r="E38" s="3526"/>
      <c r="F38" s="3542"/>
      <c r="G38" s="3480"/>
      <c r="I38" s="3488"/>
      <c r="J38" s="3756"/>
      <c r="K38" s="3758"/>
      <c r="L38" s="3521"/>
      <c r="M38" s="3522"/>
      <c r="N38" s="3498"/>
      <c r="O38" s="3523"/>
      <c r="P38" s="3523"/>
      <c r="Q38" s="3524"/>
      <c r="R38" s="3525"/>
      <c r="S38" s="3480"/>
      <c r="T38" s="3480" t="s">
        <v>3460</v>
      </c>
      <c r="U38" s="3480"/>
      <c r="V38" s="3488"/>
    </row>
    <row r="39" spans="1:23" s="3487" customFormat="1" ht="13.15" customHeight="1">
      <c r="A39" s="3538">
        <v>9</v>
      </c>
      <c r="B39" s="3513" t="s">
        <v>3486</v>
      </c>
      <c r="C39" s="3529">
        <f ca="1">C38</f>
        <v>6806632</v>
      </c>
      <c r="D39" s="3513"/>
      <c r="E39" s="3513"/>
      <c r="F39" s="3542"/>
      <c r="G39" s="3488"/>
      <c r="I39" s="3488"/>
      <c r="J39" s="3756"/>
      <c r="K39" s="3758"/>
      <c r="L39" s="3521"/>
      <c r="M39" s="3522"/>
      <c r="N39" s="3498"/>
      <c r="O39" s="3523"/>
      <c r="P39" s="3523"/>
      <c r="Q39" s="3524"/>
      <c r="R39" s="3525"/>
      <c r="S39" s="3480"/>
      <c r="T39" s="3480"/>
      <c r="U39" s="3480"/>
      <c r="V39" s="3488"/>
    </row>
    <row r="40" spans="1:23" s="3487" customFormat="1" ht="13.15" customHeight="1">
      <c r="A40" s="3593">
        <v>10</v>
      </c>
      <c r="B40" s="3513" t="s">
        <v>3487</v>
      </c>
      <c r="C40" s="3594">
        <f ca="1">C39+D39+E39</f>
        <v>6806632</v>
      </c>
      <c r="D40" s="3595"/>
      <c r="E40" s="3595"/>
      <c r="F40" s="3596"/>
      <c r="G40" s="3480"/>
      <c r="I40" s="3488"/>
      <c r="J40" s="3756"/>
      <c r="K40" s="3759"/>
      <c r="L40" s="3531" t="s">
        <v>3462</v>
      </c>
      <c r="M40" s="3532"/>
      <c r="N40" s="3532"/>
      <c r="O40" s="3533"/>
      <c r="P40" s="3533"/>
      <c r="Q40" s="3534"/>
      <c r="R40" s="3491">
        <f>SUM(R37:R39)</f>
        <v>10000</v>
      </c>
      <c r="S40" s="3480"/>
      <c r="T40" s="3480"/>
      <c r="U40" s="3480"/>
      <c r="V40" s="3488"/>
    </row>
    <row r="41" spans="1:23" s="3487" customFormat="1" ht="13.15" customHeight="1" thickBot="1">
      <c r="A41" s="3597">
        <v>11</v>
      </c>
      <c r="B41" s="3598" t="s">
        <v>3488</v>
      </c>
      <c r="C41" s="3598">
        <f ca="1">ROUND(C40/B4,0)</f>
        <v>21703</v>
      </c>
      <c r="D41" s="3599"/>
      <c r="E41" s="3599"/>
      <c r="F41" s="3600"/>
      <c r="I41" s="3488"/>
      <c r="J41" s="3550">
        <v>2</v>
      </c>
      <c r="K41" s="3551" t="s">
        <v>3466</v>
      </c>
      <c r="L41" s="3552"/>
      <c r="M41" s="3552"/>
      <c r="N41" s="3552"/>
      <c r="O41" s="3552"/>
      <c r="P41" s="3553"/>
      <c r="Q41" s="3554">
        <v>0.1</v>
      </c>
      <c r="R41" s="3536">
        <f>ROUND(R40*Q41,0)</f>
        <v>1000</v>
      </c>
      <c r="S41" s="3480"/>
      <c r="T41" s="3480"/>
      <c r="U41" s="3528"/>
      <c r="V41" s="3488"/>
    </row>
    <row r="42" spans="1:23" s="3487" customFormat="1" ht="13.15" customHeight="1">
      <c r="I42" s="3488"/>
      <c r="J42" s="3760">
        <v>3</v>
      </c>
      <c r="K42" s="3557" t="s">
        <v>3468</v>
      </c>
      <c r="L42" s="3558"/>
      <c r="M42" s="3559"/>
      <c r="N42" s="3560" t="s">
        <v>1751</v>
      </c>
      <c r="O42" s="3560" t="s">
        <v>3469</v>
      </c>
      <c r="P42" s="3561" t="s">
        <v>3470</v>
      </c>
      <c r="Q42" s="3561" t="s">
        <v>3471</v>
      </c>
      <c r="R42" s="3496" t="s">
        <v>3456</v>
      </c>
      <c r="S42" s="3528"/>
      <c r="T42" s="3528"/>
      <c r="U42" s="3480"/>
      <c r="V42" s="3488"/>
    </row>
    <row r="43" spans="1:23" ht="13.15" customHeight="1">
      <c r="A43" s="3487"/>
      <c r="B43" s="3487"/>
      <c r="C43" s="3487"/>
      <c r="D43" s="3487"/>
      <c r="E43" s="3487"/>
      <c r="F43" s="3487"/>
      <c r="I43" s="3475"/>
      <c r="J43" s="3761"/>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3474</v>
      </c>
      <c r="L44" s="3602" t="s">
        <v>3475</v>
      </c>
      <c r="M44" s="3571"/>
      <c r="N44" s="3602" t="s">
        <v>3476</v>
      </c>
      <c r="O44" s="3571" t="s">
        <v>3477</v>
      </c>
      <c r="P44" s="3602" t="s">
        <v>3478</v>
      </c>
      <c r="Q44" s="3573">
        <v>1.4999999999999999E-2</v>
      </c>
      <c r="R44" s="3574"/>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disablePrompts="1"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F65D8FB6-7871-4EC4-B22D-589C06976E9A}">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4B745507-D1DB-4674-8B83-2EF504E4F349}">
      <formula1>"按明细,按比例"</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I49"/>
  <sheetViews>
    <sheetView tabSelected="1" topLeftCell="A26" workbookViewId="0">
      <selection activeCell="E45" sqref="E45"/>
    </sheetView>
  </sheetViews>
  <sheetFormatPr defaultColWidth="8.875" defaultRowHeight="13.5"/>
  <cols>
    <col min="1" max="1" width="10.5" bestFit="1" customWidth="1"/>
    <col min="2" max="5" width="12" style="3457" customWidth="1"/>
    <col min="6" max="6" width="10.875" style="3457" customWidth="1"/>
    <col min="7" max="7" width="10.875" customWidth="1"/>
    <col min="8" max="8" width="12.125" customWidth="1"/>
    <col min="9" max="9" width="11.5" customWidth="1"/>
  </cols>
  <sheetData>
    <row r="1" spans="1:8">
      <c r="B1" s="3456" t="s">
        <v>3405</v>
      </c>
    </row>
    <row r="2" spans="1:8">
      <c r="A2">
        <f>7.5</f>
        <v>7.5</v>
      </c>
      <c r="B2" s="3457">
        <v>2019</v>
      </c>
      <c r="D2" s="3457">
        <v>2020</v>
      </c>
    </row>
    <row r="3" spans="1:8">
      <c r="A3">
        <v>1379</v>
      </c>
      <c r="B3" s="3458">
        <v>44561</v>
      </c>
      <c r="C3" s="3457">
        <v>6.99</v>
      </c>
      <c r="D3" s="3458">
        <v>44548</v>
      </c>
      <c r="E3" s="3458"/>
      <c r="F3" s="3457">
        <v>5.88</v>
      </c>
      <c r="H3" t="s">
        <v>3406</v>
      </c>
    </row>
    <row r="4" spans="1:8">
      <c r="A4">
        <f>A2*A3</f>
        <v>10342.5</v>
      </c>
      <c r="B4" s="3458">
        <v>44533</v>
      </c>
      <c r="C4" s="3457">
        <v>6.8</v>
      </c>
      <c r="D4" s="3458">
        <v>44534</v>
      </c>
      <c r="E4" s="3458"/>
      <c r="F4" s="3457">
        <v>5.75</v>
      </c>
    </row>
    <row r="5" spans="1:8">
      <c r="A5">
        <f>7113</f>
        <v>7113</v>
      </c>
      <c r="B5" s="3458">
        <v>44519</v>
      </c>
      <c r="C5" s="3457">
        <v>6.76</v>
      </c>
      <c r="D5" s="3458">
        <v>44520</v>
      </c>
      <c r="E5" s="3458"/>
      <c r="F5" s="3457">
        <v>5.55</v>
      </c>
    </row>
    <row r="6" spans="1:8">
      <c r="A6">
        <f>A4-A5</f>
        <v>3229.5</v>
      </c>
      <c r="B6" s="3458">
        <v>44505</v>
      </c>
      <c r="C6" s="3457">
        <v>6.7</v>
      </c>
      <c r="D6" s="3458">
        <v>44506</v>
      </c>
      <c r="E6" s="3458"/>
      <c r="F6" s="3457">
        <v>5.43</v>
      </c>
    </row>
    <row r="7" spans="1:8">
      <c r="A7">
        <f>A6*375</f>
        <v>1211062.5</v>
      </c>
      <c r="B7" s="3458">
        <v>44491</v>
      </c>
      <c r="C7" s="3457">
        <v>6.62</v>
      </c>
      <c r="D7" s="3458">
        <v>44492</v>
      </c>
      <c r="E7" s="3458"/>
      <c r="F7" s="3457">
        <v>5.56</v>
      </c>
    </row>
    <row r="8" spans="1:8">
      <c r="B8" s="3458">
        <v>44458</v>
      </c>
      <c r="C8" s="3457">
        <v>6.74</v>
      </c>
      <c r="D8" s="3458">
        <v>44458</v>
      </c>
      <c r="E8" s="3458"/>
      <c r="F8" s="3457">
        <v>5.5</v>
      </c>
    </row>
    <row r="9" spans="1:8">
      <c r="B9" s="3458">
        <v>44443</v>
      </c>
      <c r="C9" s="3457">
        <v>6.64</v>
      </c>
      <c r="D9" s="3458">
        <v>44430</v>
      </c>
      <c r="E9" s="3458"/>
      <c r="F9" s="3457">
        <v>5.75</v>
      </c>
    </row>
    <row r="10" spans="1:8">
      <c r="B10" s="3458">
        <v>44429</v>
      </c>
      <c r="C10" s="3457">
        <v>6.54</v>
      </c>
      <c r="D10" s="3458">
        <v>44388</v>
      </c>
      <c r="E10" s="3458"/>
      <c r="F10" s="3457">
        <v>5.68</v>
      </c>
    </row>
    <row r="11" spans="1:8">
      <c r="B11" s="3458">
        <v>44415</v>
      </c>
      <c r="C11" s="3457">
        <v>6.71</v>
      </c>
      <c r="D11" s="3458">
        <v>44376</v>
      </c>
      <c r="E11" s="3458"/>
      <c r="F11" s="3457">
        <v>5.6</v>
      </c>
    </row>
    <row r="12" spans="1:8">
      <c r="B12" s="3458">
        <v>44387</v>
      </c>
      <c r="C12" s="3457">
        <v>6.78</v>
      </c>
      <c r="D12" s="3458">
        <v>44274</v>
      </c>
      <c r="E12" s="3458"/>
      <c r="F12" s="3457">
        <v>5.5</v>
      </c>
    </row>
    <row r="13" spans="1:8">
      <c r="B13" s="3458">
        <v>44374</v>
      </c>
      <c r="C13" s="3457">
        <v>6.66</v>
      </c>
      <c r="D13" s="3458">
        <v>44232</v>
      </c>
      <c r="E13" s="3458"/>
      <c r="F13" s="3457">
        <v>6.65</v>
      </c>
    </row>
    <row r="14" spans="1:8">
      <c r="B14" s="3458">
        <v>44359</v>
      </c>
      <c r="C14" s="3457">
        <v>6.75</v>
      </c>
      <c r="F14" s="3459">
        <f>ROUND(AVERAGE(F3:F13),2)</f>
        <v>5.71</v>
      </c>
    </row>
    <row r="15" spans="1:8">
      <c r="B15" s="3458">
        <v>44344</v>
      </c>
      <c r="C15" s="3457">
        <v>7.13</v>
      </c>
    </row>
    <row r="16" spans="1:8">
      <c r="B16" s="3458">
        <v>44330</v>
      </c>
      <c r="C16" s="3457">
        <v>7.09</v>
      </c>
    </row>
    <row r="17" spans="1:5">
      <c r="B17" s="3458">
        <v>44313</v>
      </c>
      <c r="C17" s="3457">
        <v>7.15</v>
      </c>
    </row>
    <row r="18" spans="1:5">
      <c r="B18" s="3458">
        <v>44299</v>
      </c>
      <c r="C18" s="3457">
        <v>6.99</v>
      </c>
    </row>
    <row r="19" spans="1:5">
      <c r="B19" s="3458">
        <v>44284</v>
      </c>
      <c r="C19" s="3457">
        <v>7.05</v>
      </c>
    </row>
    <row r="20" spans="1:5">
      <c r="B20" s="3458">
        <v>44256</v>
      </c>
      <c r="C20" s="3457">
        <v>6.98</v>
      </c>
    </row>
    <row r="21" spans="1:5">
      <c r="B21" s="3458">
        <v>44242</v>
      </c>
      <c r="C21" s="3457">
        <v>6.76</v>
      </c>
    </row>
    <row r="22" spans="1:5">
      <c r="B22" s="3458">
        <v>44225</v>
      </c>
      <c r="C22" s="3457">
        <v>6.72</v>
      </c>
    </row>
    <row r="23" spans="1:5">
      <c r="B23" s="3458">
        <v>44211</v>
      </c>
      <c r="C23" s="3457">
        <v>6.53</v>
      </c>
    </row>
    <row r="24" spans="1:5">
      <c r="C24" s="3459">
        <f>ROUND(AVERAGE(C3:C23),2)</f>
        <v>6.81</v>
      </c>
    </row>
    <row r="27" spans="1:5">
      <c r="A27" s="3462">
        <v>44505</v>
      </c>
      <c r="B27" s="3460" t="s">
        <v>3407</v>
      </c>
      <c r="C27" s="3461" t="s">
        <v>3408</v>
      </c>
    </row>
    <row r="28" spans="1:5">
      <c r="B28" s="3460" t="s">
        <v>3409</v>
      </c>
      <c r="C28" s="3461" t="s">
        <v>3410</v>
      </c>
      <c r="E28" s="3457">
        <v>1379</v>
      </c>
    </row>
    <row r="29" spans="1:5">
      <c r="B29" s="3460" t="s">
        <v>3411</v>
      </c>
      <c r="C29" s="3461" t="s">
        <v>3412</v>
      </c>
      <c r="D29" s="3457">
        <f>8.11/7.52</f>
        <v>1.0784574468085106</v>
      </c>
      <c r="E29" s="3457">
        <v>1360</v>
      </c>
    </row>
    <row r="30" spans="1:5">
      <c r="B30" s="3460" t="s">
        <v>3413</v>
      </c>
      <c r="C30" s="3461" t="s">
        <v>3414</v>
      </c>
      <c r="D30" s="3457">
        <f>7.13/7.52</f>
        <v>0.9481382978723405</v>
      </c>
      <c r="E30" s="3457">
        <v>1190</v>
      </c>
    </row>
    <row r="34" spans="1:9" s="3" customFormat="1" ht="27">
      <c r="A34" s="3465" t="s">
        <v>3415</v>
      </c>
      <c r="B34" s="3465" t="s">
        <v>3417</v>
      </c>
      <c r="C34" s="3465" t="s">
        <v>3418</v>
      </c>
      <c r="D34" s="3465" t="s">
        <v>3421</v>
      </c>
      <c r="E34" s="3465" t="s">
        <v>3423</v>
      </c>
      <c r="F34" s="3465" t="s">
        <v>3419</v>
      </c>
      <c r="G34" s="3465" t="s">
        <v>3420</v>
      </c>
      <c r="H34" s="3463" t="s">
        <v>3422</v>
      </c>
      <c r="I34" s="3463" t="s">
        <v>3424</v>
      </c>
    </row>
    <row r="35" spans="1:9">
      <c r="A35" s="3466">
        <v>92</v>
      </c>
      <c r="B35" s="3466">
        <v>375</v>
      </c>
      <c r="C35" s="3466">
        <v>7113</v>
      </c>
      <c r="D35" s="3466">
        <f>C24</f>
        <v>6.81</v>
      </c>
      <c r="E35" s="3466">
        <f>ROUND(D35*E28,0)</f>
        <v>9391</v>
      </c>
      <c r="F35" s="3466">
        <v>190</v>
      </c>
      <c r="G35" s="3466">
        <v>7150</v>
      </c>
      <c r="H35" s="3457">
        <f>F14</f>
        <v>5.71</v>
      </c>
      <c r="I35" s="3457">
        <f>ROUND(H35*E28,0)</f>
        <v>7874</v>
      </c>
    </row>
    <row r="36" spans="1:9">
      <c r="A36" s="3466">
        <v>95</v>
      </c>
      <c r="B36" s="3466">
        <v>180</v>
      </c>
      <c r="C36" s="3466">
        <v>7223</v>
      </c>
      <c r="D36" s="3466">
        <f>ROUND(D35*D29,2)</f>
        <v>7.34</v>
      </c>
      <c r="E36" s="3466">
        <f t="shared" ref="E36:E37" si="0">ROUND(D36*E29,0)</f>
        <v>9982</v>
      </c>
      <c r="F36" s="3466">
        <v>223</v>
      </c>
      <c r="G36" s="3466">
        <v>7230</v>
      </c>
      <c r="H36" s="3457">
        <f>ROUND(H35*D29,2)</f>
        <v>6.16</v>
      </c>
      <c r="I36" s="3457">
        <f t="shared" ref="I36:I37" si="1">ROUND(H36*E29,0)</f>
        <v>8378</v>
      </c>
    </row>
    <row r="37" spans="1:9">
      <c r="A37" s="3467" t="s">
        <v>3416</v>
      </c>
      <c r="B37" s="3466">
        <v>1350</v>
      </c>
      <c r="C37" s="3466">
        <v>6988</v>
      </c>
      <c r="D37" s="3466">
        <f>ROUND(D35*D30,2)</f>
        <v>6.46</v>
      </c>
      <c r="E37" s="3466">
        <f t="shared" si="0"/>
        <v>7687</v>
      </c>
      <c r="F37" s="3466">
        <v>1540</v>
      </c>
      <c r="G37" s="3466">
        <v>6813</v>
      </c>
      <c r="H37" s="3457">
        <f>ROUND(H35*D30,2)</f>
        <v>5.41</v>
      </c>
      <c r="I37" s="3457">
        <f t="shared" si="1"/>
        <v>6438</v>
      </c>
    </row>
    <row r="39" spans="1:9">
      <c r="A39" s="3456" t="s">
        <v>3426</v>
      </c>
      <c r="B39" s="3457">
        <f>B35*(E35-C35)</f>
        <v>854250</v>
      </c>
    </row>
    <row r="40" spans="1:9">
      <c r="A40" s="3457"/>
      <c r="B40" s="3457">
        <f t="shared" ref="B40:B41" si="2">B36*(E36-C36)</f>
        <v>496620</v>
      </c>
    </row>
    <row r="41" spans="1:9">
      <c r="A41" s="3457"/>
      <c r="B41" s="3457">
        <f t="shared" si="2"/>
        <v>943650</v>
      </c>
    </row>
    <row r="42" spans="1:9">
      <c r="A42" s="3456" t="s">
        <v>3428</v>
      </c>
      <c r="B42" s="3457">
        <f>SUM(B39:B41)</f>
        <v>2294520</v>
      </c>
    </row>
    <row r="43" spans="1:9">
      <c r="A43" s="3456" t="s">
        <v>3427</v>
      </c>
      <c r="B43" s="3457">
        <f>F35*(I35-G35)</f>
        <v>137560</v>
      </c>
    </row>
    <row r="44" spans="1:9">
      <c r="A44" s="3457"/>
      <c r="B44" s="3457">
        <f t="shared" ref="B44:B45" si="3">F36*(I36-G36)</f>
        <v>256004</v>
      </c>
    </row>
    <row r="45" spans="1:9">
      <c r="A45" s="3457"/>
      <c r="B45" s="3457">
        <f t="shared" si="3"/>
        <v>-577500</v>
      </c>
    </row>
    <row r="46" spans="1:9">
      <c r="A46" s="3456" t="s">
        <v>3428</v>
      </c>
      <c r="B46" s="3457">
        <f>SUM(B43:B45)</f>
        <v>-183936</v>
      </c>
    </row>
    <row r="47" spans="1:9">
      <c r="A47" s="3456" t="s">
        <v>3429</v>
      </c>
      <c r="B47" s="3457">
        <f>(B42+B46)/2</f>
        <v>1055292</v>
      </c>
    </row>
    <row r="48" spans="1:9">
      <c r="A48" s="3456" t="s">
        <v>3430</v>
      </c>
      <c r="B48" s="3464">
        <v>0.3</v>
      </c>
      <c r="D48" s="3456" t="s">
        <v>3425</v>
      </c>
    </row>
    <row r="49" spans="1:2">
      <c r="A49" s="3456" t="s">
        <v>3431</v>
      </c>
      <c r="B49" s="3457">
        <f>ROUND(B47*(1-B48),0)</f>
        <v>738704</v>
      </c>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779" t="s">
        <v>3033</v>
      </c>
      <c r="B1" s="3780"/>
      <c r="C1" s="3780"/>
      <c r="D1" s="3780"/>
      <c r="E1" s="3780"/>
      <c r="F1" s="3780"/>
      <c r="G1" s="378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313.63</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357</v>
      </c>
      <c r="C5" s="2738">
        <f ca="1">ROUND(B5*10000/$B$1,0)</f>
        <v>11383</v>
      </c>
      <c r="D5" s="2738">
        <f ca="1">ROUND(B5*10000/$B$2,0)</f>
        <v>2475</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357</v>
      </c>
      <c r="C7" s="2738">
        <f ca="1">ROUND(B7*10000/$B$1,0)</f>
        <v>11383</v>
      </c>
      <c r="D7" s="2738">
        <f ca="1">ROUND(B7*10000/$B$2,0)</f>
        <v>2475</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313.63</v>
      </c>
      <c r="C14" s="2744">
        <f>结果表!C118</f>
        <v>1442.46</v>
      </c>
      <c r="D14" s="2744">
        <f ca="1">结果表!H118</f>
        <v>357</v>
      </c>
      <c r="E14" s="2744">
        <f ca="1">ROUND(D14*10000/B14,0)</f>
        <v>11383</v>
      </c>
      <c r="F14" s="2744">
        <f ca="1">ROUND(D14*10000/C14,0)</f>
        <v>2475</v>
      </c>
      <c r="G14" s="2744" t="str">
        <f>结果表!D122</f>
        <v>——</v>
      </c>
      <c r="H14" s="2744">
        <f ca="1">结果表!D124</f>
        <v>357</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666" t="str">
        <f>项目基本情况!B1</f>
        <v>房地产市场价值预评估</v>
      </c>
      <c r="C37" s="3666"/>
      <c r="D37" s="3666"/>
      <c r="E37" s="3666"/>
      <c r="F37" s="3666"/>
      <c r="G37" s="3666"/>
      <c r="H37" s="3666"/>
      <c r="I37" s="366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3" zoomScaleNormal="100" zoomScaleSheetLayoutView="100" zoomScalePageLayoutView="80" workbookViewId="0">
      <selection activeCell="C35" sqref="C3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851" t="str">
        <f>项目基本情况!S2</f>
        <v>房地产</v>
      </c>
      <c r="B2" s="3852"/>
      <c r="C2" s="3852"/>
      <c r="D2" s="3852"/>
      <c r="E2" s="3852"/>
      <c r="F2" s="3852"/>
      <c r="G2" s="3852"/>
      <c r="H2" s="3852"/>
      <c r="I2" s="3853"/>
    </row>
    <row r="3" spans="1:12" ht="12.75">
      <c r="A3" s="3855" t="s">
        <v>1950</v>
      </c>
      <c r="B3" s="3856"/>
      <c r="C3" s="3856"/>
      <c r="D3" s="3856"/>
      <c r="E3" s="3856"/>
      <c r="F3" s="3856"/>
      <c r="G3" s="3856"/>
      <c r="H3" s="3856"/>
      <c r="I3" s="3856"/>
    </row>
    <row r="4" spans="1:12" ht="14.25">
      <c r="A4" s="1940" t="s">
        <v>1951</v>
      </c>
      <c r="B4" s="1941" t="s">
        <v>1952</v>
      </c>
      <c r="C4" s="1942" t="s">
        <v>3085</v>
      </c>
      <c r="D4" s="1942" t="s">
        <v>3086</v>
      </c>
      <c r="E4" s="3860" t="s">
        <v>1953</v>
      </c>
      <c r="F4" s="3861"/>
      <c r="G4" s="3861"/>
      <c r="H4" s="3861"/>
      <c r="I4" s="386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796" t="s">
        <v>1954</v>
      </c>
      <c r="B5" s="3854">
        <v>25</v>
      </c>
      <c r="C5" s="3857"/>
      <c r="D5" s="3845"/>
      <c r="E5" s="136" t="s">
        <v>1955</v>
      </c>
      <c r="F5" s="1943"/>
      <c r="G5" s="1943"/>
      <c r="H5" s="1943"/>
      <c r="I5" s="1557"/>
    </row>
    <row r="6" spans="1:12" ht="12.75">
      <c r="A6" s="3796"/>
      <c r="B6" s="3854"/>
      <c r="C6" s="3859"/>
      <c r="D6" s="3845"/>
      <c r="E6" s="136" t="s">
        <v>1956</v>
      </c>
      <c r="F6" s="1943"/>
      <c r="G6" s="1943"/>
      <c r="H6" s="1943"/>
      <c r="I6" s="1557"/>
    </row>
    <row r="7" spans="1:12" ht="12.75">
      <c r="A7" s="3796"/>
      <c r="B7" s="3854"/>
      <c r="C7" s="3858"/>
      <c r="D7" s="3845"/>
      <c r="E7" s="136" t="s">
        <v>1957</v>
      </c>
      <c r="F7" s="1943"/>
      <c r="G7" s="1943"/>
      <c r="H7" s="1943"/>
      <c r="I7" s="1557"/>
    </row>
    <row r="8" spans="1:12" ht="12.75">
      <c r="A8" s="3796" t="s">
        <v>1958</v>
      </c>
      <c r="B8" s="3854">
        <v>15</v>
      </c>
      <c r="C8" s="3857"/>
      <c r="D8" s="3845"/>
      <c r="E8" s="136" t="s">
        <v>1959</v>
      </c>
      <c r="F8" s="1943"/>
      <c r="G8" s="1943"/>
      <c r="H8" s="1943"/>
      <c r="I8" s="1557"/>
    </row>
    <row r="9" spans="1:12" ht="12.75">
      <c r="A9" s="3796"/>
      <c r="B9" s="3854"/>
      <c r="C9" s="3858"/>
      <c r="D9" s="3845"/>
      <c r="E9" s="136" t="s">
        <v>1960</v>
      </c>
      <c r="F9" s="1943"/>
      <c r="G9" s="1943"/>
      <c r="H9" s="1943"/>
      <c r="I9" s="1557"/>
    </row>
    <row r="10" spans="1:12" ht="12.75">
      <c r="A10" s="3796" t="s">
        <v>1961</v>
      </c>
      <c r="B10" s="3854">
        <v>15</v>
      </c>
      <c r="C10" s="3857"/>
      <c r="D10" s="3845"/>
      <c r="E10" s="136" t="s">
        <v>1962</v>
      </c>
      <c r="F10" s="1943"/>
      <c r="G10" s="1943"/>
      <c r="H10" s="1943"/>
      <c r="I10" s="1557"/>
    </row>
    <row r="11" spans="1:12" ht="12.75">
      <c r="A11" s="3796"/>
      <c r="B11" s="3854"/>
      <c r="C11" s="3858"/>
      <c r="D11" s="3845"/>
      <c r="E11" s="136" t="s">
        <v>1963</v>
      </c>
      <c r="F11" s="1943"/>
      <c r="G11" s="1943"/>
      <c r="H11" s="1943"/>
      <c r="I11" s="1557"/>
    </row>
    <row r="12" spans="1:12" ht="12.75">
      <c r="A12" s="3796" t="s">
        <v>1964</v>
      </c>
      <c r="B12" s="3854">
        <v>15</v>
      </c>
      <c r="C12" s="3857"/>
      <c r="D12" s="3845"/>
      <c r="E12" s="136" t="s">
        <v>1965</v>
      </c>
      <c r="F12" s="1943"/>
      <c r="G12" s="1943"/>
      <c r="H12" s="1943"/>
      <c r="I12" s="1557"/>
    </row>
    <row r="13" spans="1:12" ht="12.75">
      <c r="A13" s="3796"/>
      <c r="B13" s="3854"/>
      <c r="C13" s="3858"/>
      <c r="D13" s="3845"/>
      <c r="E13" s="136" t="s">
        <v>1966</v>
      </c>
      <c r="F13" s="1943"/>
      <c r="G13" s="1943"/>
      <c r="H13" s="1943"/>
      <c r="I13" s="1557"/>
    </row>
    <row r="14" spans="1:12" ht="12.75">
      <c r="A14" s="3796" t="s">
        <v>1967</v>
      </c>
      <c r="B14" s="3854">
        <v>30</v>
      </c>
      <c r="C14" s="3857">
        <v>8</v>
      </c>
      <c r="D14" s="3845">
        <f>10-C14</f>
        <v>2</v>
      </c>
      <c r="E14" s="136" t="s">
        <v>1968</v>
      </c>
      <c r="F14" s="1943"/>
      <c r="G14" s="1943"/>
      <c r="H14" s="1943"/>
      <c r="I14" s="1557"/>
    </row>
    <row r="15" spans="1:12" ht="12.75">
      <c r="A15" s="3796"/>
      <c r="B15" s="3854"/>
      <c r="C15" s="3859"/>
      <c r="D15" s="3845"/>
      <c r="E15" s="136" t="s">
        <v>1969</v>
      </c>
      <c r="F15" s="1943"/>
      <c r="G15" s="1943"/>
      <c r="H15" s="1943"/>
      <c r="I15" s="1557"/>
    </row>
    <row r="16" spans="1:12" ht="12.75">
      <c r="A16" s="3796"/>
      <c r="B16" s="3854"/>
      <c r="C16" s="3858"/>
      <c r="D16" s="3845"/>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2.1" customHeight="1" thickBot="1">
      <c r="A18" s="1945" t="s">
        <v>1974</v>
      </c>
      <c r="B18" s="1946"/>
      <c r="C18" s="138">
        <f>ROUND(C17/SUM(C17:D17),2)</f>
        <v>0.8</v>
      </c>
      <c r="D18" s="138">
        <f>1-C18</f>
        <v>0.19999999999999996</v>
      </c>
      <c r="E18" s="3876" t="s">
        <v>2874</v>
      </c>
      <c r="F18" s="3877"/>
      <c r="G18" s="3877"/>
      <c r="H18" s="3877"/>
      <c r="I18" s="3877"/>
      <c r="K18" s="308" t="s">
        <v>1975</v>
      </c>
      <c r="L18" s="308">
        <f>IF(C1="",'数据-汇总表'!E3,SUMIF(项目类型,C1,'数据-汇总表'!E17:E26)+SUMIF(项目类型,C1,'数据-汇总表'!I17:I26))</f>
        <v>313.63</v>
      </c>
      <c r="M18" s="308">
        <f>IF(C1="",'数据-汇总表'!E3,SUMIF(项目类型,C1,'数据-汇总表'!E17:E26))</f>
        <v>313.63</v>
      </c>
    </row>
    <row r="19" spans="1:36" ht="15">
      <c r="A19" s="1947" t="s">
        <v>1976</v>
      </c>
      <c r="B19" s="1948" t="s">
        <v>1977</v>
      </c>
      <c r="C19" s="139">
        <f ca="1">SUMIF(INDIRECT("'"&amp;C4&amp;"'"&amp;"!A:A"),结果表!B19,INDIRECT("'"&amp;C4&amp;"'"&amp;"!B:B"))</f>
        <v>276</v>
      </c>
      <c r="D19" s="140">
        <f ca="1">ROUND(经营性测算!C40/10000,0)</f>
        <v>681</v>
      </c>
      <c r="E19" s="1947" t="s">
        <v>1978</v>
      </c>
      <c r="F19" s="1948" t="s">
        <v>1977</v>
      </c>
      <c r="G19" s="141">
        <f ca="1">ROUND(C19*$C$18+D19*$D$18,0)</f>
        <v>357</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8800</v>
      </c>
      <c r="D20" s="143">
        <f ca="1">ROUND(D19*10000/经营性测算!B4,0)</f>
        <v>21713</v>
      </c>
      <c r="E20" s="1950"/>
      <c r="F20" s="1157" t="s">
        <v>1981</v>
      </c>
      <c r="G20" s="144">
        <f ca="1">ROUND(C20*$C$18+D20*$D$18,0)</f>
        <v>11383</v>
      </c>
      <c r="H20" s="917" t="s">
        <v>1982</v>
      </c>
      <c r="I20" s="134"/>
    </row>
    <row r="21" spans="1:36" ht="15" customHeight="1" thickBot="1">
      <c r="A21" s="937"/>
      <c r="B21" s="1951" t="s">
        <v>1983</v>
      </c>
      <c r="C21" s="728">
        <f ca="1">ROUND(C19*10000/L19,0)</f>
        <v>1913</v>
      </c>
      <c r="D21" s="729">
        <f ca="1">ROUND(D19*10000/L19,0)</f>
        <v>4721</v>
      </c>
      <c r="E21" s="937"/>
      <c r="F21" s="1951" t="s">
        <v>1983</v>
      </c>
      <c r="G21" s="145">
        <f ca="1">ROUND(G19*10000/L19,0)</f>
        <v>2475</v>
      </c>
      <c r="H21" s="1952" t="s">
        <v>1982</v>
      </c>
      <c r="I21" s="134"/>
    </row>
    <row r="22" spans="1:36" ht="15" thickBot="1">
      <c r="A22" s="1874" t="s">
        <v>1984</v>
      </c>
      <c r="B22" s="1953"/>
      <c r="C22" s="1954"/>
      <c r="D22" s="730">
        <f ca="1">IF(C19&lt;D19,D19/C19-1,C19/D19-1)</f>
        <v>1.4673913043478262</v>
      </c>
      <c r="E22" s="134"/>
      <c r="F22" s="134"/>
      <c r="G22" s="134"/>
      <c r="H22" s="134"/>
      <c r="I22" s="134"/>
    </row>
    <row r="23" spans="1:36" ht="13.5" thickBot="1">
      <c r="A23" s="1933"/>
      <c r="B23" s="1933"/>
      <c r="C23" s="1933"/>
      <c r="D23" s="1933"/>
      <c r="E23" s="134"/>
      <c r="F23" s="134"/>
      <c r="G23" s="134"/>
      <c r="H23" s="134"/>
      <c r="I23" s="134"/>
    </row>
    <row r="24" spans="1:36" ht="14.25">
      <c r="A24" s="3869" t="s">
        <v>1985</v>
      </c>
      <c r="B24" s="1948" t="s">
        <v>1977</v>
      </c>
      <c r="C24" s="141">
        <f>IF(B30=0,0,D30)</f>
        <v>0</v>
      </c>
      <c r="D24" s="1955"/>
      <c r="E24" s="134"/>
      <c r="F24" s="134"/>
      <c r="G24" s="134"/>
      <c r="H24" s="134"/>
      <c r="I24" s="134"/>
    </row>
    <row r="25" spans="1:36" ht="14.25">
      <c r="A25" s="387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11383</v>
      </c>
      <c r="D32" s="1961" t="s">
        <v>3083</v>
      </c>
      <c r="E32" s="134"/>
      <c r="F32" s="134"/>
      <c r="G32" s="134"/>
      <c r="H32" s="134"/>
      <c r="I32" s="134"/>
    </row>
    <row r="33" spans="1:15" ht="15">
      <c r="A33" s="894" t="s">
        <v>1992</v>
      </c>
      <c r="B33" s="1962"/>
      <c r="C33" s="1963" t="s">
        <v>3082</v>
      </c>
      <c r="D33" s="1964" t="s">
        <v>3085</v>
      </c>
      <c r="E33" s="1965" t="s">
        <v>1993</v>
      </c>
      <c r="F33" s="1966" t="str">
        <f>IF(D32="楼面单价","取值（单价）","取值（总价）")</f>
        <v>取值（单价）</v>
      </c>
      <c r="G33" s="134"/>
      <c r="H33" s="134"/>
      <c r="I33" s="134"/>
    </row>
    <row r="34" spans="1:15" ht="15">
      <c r="A34" s="1967"/>
      <c r="B34" s="1968" t="s">
        <v>1994</v>
      </c>
      <c r="C34" s="153">
        <f ca="1">IF(C33="自定义",F34,C32-C35)</f>
        <v>7171</v>
      </c>
      <c r="D34" s="970">
        <f ca="1">IF(C33="自定义",ROUND(C34/C32,3),IF(C33="收益比率",SUMIF(INDIRECT("'"&amp;D33&amp;"'"&amp;"!b:b"),"土地收益比率",INDIRECT("'"&amp;D33&amp;"'"&amp;"!c:c")),SUMIF(INDIRECT("'"&amp;D33&amp;"'"&amp;"!b:b"),"土地成本比率",INDIRECT("'"&amp;D33&amp;"'"&amp;"!c:c"))))</f>
        <v>0.63</v>
      </c>
      <c r="E34" s="1969" t="s">
        <v>1995</v>
      </c>
      <c r="F34" s="1498">
        <f ca="1">C34*L18/L19/15</f>
        <v>103.94468385027429</v>
      </c>
      <c r="G34" s="134"/>
      <c r="H34" s="134"/>
      <c r="I34" s="134"/>
    </row>
    <row r="35" spans="1:15" ht="15.75" thickBot="1">
      <c r="A35" s="1970"/>
      <c r="B35" s="1971" t="s">
        <v>1996</v>
      </c>
      <c r="C35" s="1332">
        <f ca="1">IF(C33="自定义",F35,ROUND(C32*D35,0))</f>
        <v>4212</v>
      </c>
      <c r="D35" s="1333">
        <f ca="1">IF(C33="自定义",ROUND(C35/C32,3),IF(C33="收益比率",SUMIF(INDIRECT("'"&amp;D33&amp;"'"&amp;"!b:b"),"建筑物收益比率",INDIRECT("'"&amp;D33&amp;"'"&amp;"!c:c")),SUMIF(INDIRECT("'"&amp;D33&amp;"'"&amp;"!b:b"),"建筑物成本比率",INDIRECT("'"&amp;D33&amp;"'"&amp;"!c:c"))))</f>
        <v>0.37</v>
      </c>
      <c r="E35" s="1972" t="s">
        <v>1997</v>
      </c>
      <c r="F35" s="159">
        <f ca="1">成本法!C51</f>
        <v>102</v>
      </c>
      <c r="G35" s="134"/>
      <c r="H35" s="134"/>
      <c r="I35" s="134"/>
    </row>
    <row r="36" spans="1:15" ht="15.75" thickBot="1">
      <c r="A36" s="3846" t="s">
        <v>1998</v>
      </c>
      <c r="B36" s="1973" t="s">
        <v>1999</v>
      </c>
      <c r="C36" s="150"/>
      <c r="D36" s="1974"/>
      <c r="E36" s="1975"/>
      <c r="F36" s="1976"/>
      <c r="G36" s="134"/>
      <c r="H36" s="134"/>
      <c r="I36" s="134"/>
    </row>
    <row r="37" spans="1:15" ht="15.75" thickBot="1">
      <c r="A37" s="3847"/>
      <c r="B37" s="1860" t="s">
        <v>2000</v>
      </c>
      <c r="C37" s="152"/>
      <c r="D37" s="1301"/>
      <c r="E37" s="1301"/>
      <c r="F37" s="1976"/>
      <c r="G37" s="134"/>
      <c r="H37" s="134"/>
      <c r="I37" s="134"/>
    </row>
    <row r="38" spans="1:15" ht="15.75" thickBot="1">
      <c r="A38" s="384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866" t="s">
        <v>2012</v>
      </c>
      <c r="B45" s="3867"/>
      <c r="C45" s="3868"/>
      <c r="D45" s="160">
        <f ca="1">ROUND(H101*F45,0)</f>
        <v>357</v>
      </c>
      <c r="E45" s="161" t="s">
        <v>2013</v>
      </c>
      <c r="F45" s="162">
        <v>1</v>
      </c>
      <c r="G45" s="163" t="s">
        <v>2014</v>
      </c>
      <c r="H45" s="134"/>
      <c r="I45" s="134"/>
      <c r="J45" s="3783" t="s">
        <v>2015</v>
      </c>
      <c r="K45" s="3783"/>
      <c r="L45" s="3783"/>
      <c r="M45" s="3783"/>
      <c r="N45" s="3783"/>
      <c r="O45" s="3783"/>
    </row>
    <row r="46" spans="1:15" ht="14.25" customHeight="1">
      <c r="A46" s="3863" t="s">
        <v>2016</v>
      </c>
      <c r="B46" s="3864"/>
      <c r="C46" s="3864"/>
      <c r="D46" s="3864"/>
      <c r="E46" s="3864"/>
      <c r="F46" s="3864"/>
      <c r="G46" s="3865"/>
      <c r="H46" s="1992"/>
      <c r="I46" s="164"/>
      <c r="J46" s="2749">
        <v>1</v>
      </c>
      <c r="K46" s="3784" t="s">
        <v>2017</v>
      </c>
      <c r="L46" s="3784"/>
      <c r="M46" s="3785"/>
      <c r="N46" s="3785"/>
      <c r="O46" s="3785"/>
    </row>
    <row r="47" spans="1:15" ht="12" customHeight="1">
      <c r="A47" s="165" t="s">
        <v>2018</v>
      </c>
      <c r="B47" s="166"/>
      <c r="C47" s="167"/>
      <c r="D47" s="1247" t="s">
        <v>2019</v>
      </c>
      <c r="E47" s="308" t="s">
        <v>2020</v>
      </c>
      <c r="F47" s="168" t="s">
        <v>2021</v>
      </c>
      <c r="G47" s="2772" t="s">
        <v>2022</v>
      </c>
      <c r="H47" s="2773"/>
      <c r="I47" s="164"/>
      <c r="J47" s="2749">
        <v>2</v>
      </c>
      <c r="K47" s="3784" t="s">
        <v>2023</v>
      </c>
      <c r="L47" s="3784"/>
      <c r="M47" s="3786">
        <f>'数据-取费表'!B2</f>
        <v>44357</v>
      </c>
      <c r="N47" s="3786"/>
      <c r="O47" s="3786"/>
    </row>
    <row r="48" spans="1:15" ht="25.5">
      <c r="A48" s="3849" t="s">
        <v>2024</v>
      </c>
      <c r="B48" s="3850"/>
      <c r="C48" s="3850"/>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784" t="s">
        <v>2026</v>
      </c>
      <c r="L48" s="3784"/>
      <c r="M48" s="3787">
        <f ca="1">H101</f>
        <v>357</v>
      </c>
      <c r="N48" s="3787"/>
      <c r="O48" s="3787"/>
    </row>
    <row r="49" spans="1:35" ht="25.5" customHeight="1">
      <c r="A49" s="2556" t="s">
        <v>2027</v>
      </c>
      <c r="B49" s="3832" t="s">
        <v>2028</v>
      </c>
      <c r="C49" s="3832"/>
      <c r="D49" s="1775">
        <v>0</v>
      </c>
      <c r="E49" s="330" t="s">
        <v>2029</v>
      </c>
      <c r="F49" s="2650" t="s">
        <v>34</v>
      </c>
      <c r="G49" s="3815"/>
      <c r="H49" s="2528" t="s">
        <v>2877</v>
      </c>
      <c r="I49" s="2529"/>
      <c r="J49" s="2749">
        <v>4</v>
      </c>
      <c r="K49" s="3784" t="str">
        <f>IF(项目基本情况!E8="房地产抵押价值","房地产抵押价值","抵押担保权已注销时的房地产抵押价值")</f>
        <v>抵押担保权已注销时的房地产抵押价值</v>
      </c>
      <c r="L49" s="3784"/>
      <c r="M49" s="3787">
        <f ca="1">IF(项目基本情况!E8="房地产抵押价值",H107,H109)</f>
        <v>357</v>
      </c>
      <c r="N49" s="3787"/>
      <c r="O49" s="3787"/>
    </row>
    <row r="50" spans="1:35" ht="25.5" customHeight="1">
      <c r="A50" s="2777"/>
      <c r="B50" s="3832" t="s">
        <v>2030</v>
      </c>
      <c r="C50" s="3832"/>
      <c r="D50" s="2778"/>
      <c r="E50" s="338"/>
      <c r="F50" s="2650"/>
      <c r="G50" s="3816"/>
      <c r="H50" s="2530" t="s">
        <v>2878</v>
      </c>
      <c r="I50" s="2529"/>
      <c r="J50" s="3783" t="s">
        <v>2031</v>
      </c>
      <c r="K50" s="3783"/>
      <c r="L50" s="3783"/>
      <c r="M50" s="3783"/>
      <c r="N50" s="3783"/>
      <c r="O50" s="3783"/>
    </row>
    <row r="51" spans="1:35" ht="20.45" customHeight="1">
      <c r="A51" s="2779"/>
      <c r="B51" s="3832" t="s">
        <v>2032</v>
      </c>
      <c r="C51" s="3832"/>
      <c r="D51" s="1247"/>
      <c r="E51" s="333"/>
      <c r="F51" s="2650"/>
      <c r="G51" s="3817"/>
      <c r="H51" s="2530" t="s">
        <v>2879</v>
      </c>
      <c r="I51" s="2529"/>
      <c r="J51" s="2750" t="s">
        <v>2033</v>
      </c>
      <c r="K51" s="3784" t="s">
        <v>2034</v>
      </c>
      <c r="L51" s="3784"/>
      <c r="M51" s="2750" t="s">
        <v>2035</v>
      </c>
      <c r="N51" s="2750" t="s">
        <v>2036</v>
      </c>
      <c r="O51" s="2750" t="s">
        <v>2037</v>
      </c>
    </row>
    <row r="52" spans="1:35" ht="24" customHeight="1">
      <c r="A52" s="2558" t="s">
        <v>2038</v>
      </c>
      <c r="B52" s="3832" t="s">
        <v>2039</v>
      </c>
      <c r="C52" s="3832"/>
      <c r="D52" s="1247">
        <f ca="1">ROUND(D45*'数据-取费表'!B41/(1+'数据-取费表'!C42),0)</f>
        <v>19</v>
      </c>
      <c r="E52" s="2557" t="s">
        <v>2040</v>
      </c>
      <c r="F52" s="2780">
        <f>'数据-取费表'!B41</f>
        <v>5.5000000000000007E-2</v>
      </c>
      <c r="G52" s="2781"/>
      <c r="H52" s="2770"/>
      <c r="I52" s="1993"/>
      <c r="J52" s="2749">
        <v>1</v>
      </c>
      <c r="K52" s="3809" t="s">
        <v>2041</v>
      </c>
      <c r="L52" s="3809"/>
      <c r="M52" s="2751" t="b">
        <f>D48</f>
        <v>0</v>
      </c>
      <c r="N52" s="2749" t="str">
        <f>E48</f>
        <v>销售额×税（费）率</v>
      </c>
      <c r="O52" s="2752">
        <f>F48</f>
        <v>5.5000000000000007E-2</v>
      </c>
    </row>
    <row r="53" spans="1:35" ht="12" customHeight="1">
      <c r="A53" s="2558" t="s">
        <v>2042</v>
      </c>
      <c r="B53" s="3833" t="s">
        <v>3038</v>
      </c>
      <c r="C53" s="3834"/>
      <c r="D53" s="1247">
        <f ca="1">ROUND(D45*'数据-取费表'!B41/(1+'数据-取费表'!C42),0)</f>
        <v>19</v>
      </c>
      <c r="E53" s="2557" t="s">
        <v>2040</v>
      </c>
      <c r="F53" s="2780">
        <f>'数据-取费表'!B41</f>
        <v>5.5000000000000007E-2</v>
      </c>
      <c r="G53" s="2781"/>
      <c r="H53" s="2770"/>
      <c r="I53" s="1993"/>
      <c r="J53" s="2749">
        <v>2</v>
      </c>
      <c r="K53" s="3809" t="s">
        <v>2043</v>
      </c>
      <c r="L53" s="3809"/>
      <c r="M53" s="2751">
        <f t="shared" ref="M53:O54" ca="1" si="0">D55</f>
        <v>0</v>
      </c>
      <c r="N53" s="2749" t="str">
        <f t="shared" si="0"/>
        <v>销售额×税（费）率</v>
      </c>
      <c r="O53" s="2752" t="str">
        <f t="shared" si="0"/>
        <v>免征</v>
      </c>
    </row>
    <row r="54" spans="1:35" ht="12" customHeight="1">
      <c r="A54" s="2558" t="s">
        <v>2044</v>
      </c>
      <c r="B54" s="3833" t="s">
        <v>3039</v>
      </c>
      <c r="C54" s="3834"/>
      <c r="D54" s="1247">
        <f ca="1">C68</f>
        <v>19</v>
      </c>
      <c r="E54" s="333" t="s">
        <v>2045</v>
      </c>
      <c r="F54" s="2780">
        <f>'数据-取费表'!B41</f>
        <v>5.5000000000000007E-2</v>
      </c>
      <c r="G54" s="2781"/>
      <c r="H54" s="2782"/>
      <c r="I54" s="1993"/>
      <c r="J54" s="2749">
        <v>3</v>
      </c>
      <c r="K54" s="3809" t="s">
        <v>2046</v>
      </c>
      <c r="L54" s="3809"/>
      <c r="M54" s="2751">
        <f t="shared" ca="1" si="0"/>
        <v>202</v>
      </c>
      <c r="N54" s="2749" t="str">
        <f t="shared" si="0"/>
        <v>增值额×税（费）率</v>
      </c>
      <c r="O54" s="2753" t="str">
        <f t="shared" si="0"/>
        <v>免征</v>
      </c>
    </row>
    <row r="55" spans="1:35" ht="24" customHeight="1">
      <c r="A55" s="3872" t="s">
        <v>2047</v>
      </c>
      <c r="B55" s="3850"/>
      <c r="C55" s="3850"/>
      <c r="D55" s="2547">
        <f ca="1">IF(H55="个人住宅",0,ROUND(D45*I55,0))</f>
        <v>0</v>
      </c>
      <c r="E55" s="2557" t="s">
        <v>2048</v>
      </c>
      <c r="F55" s="2780" t="str">
        <f>IF(H55="正常",I55,"免征")</f>
        <v>免征</v>
      </c>
      <c r="G55" s="2781"/>
      <c r="H55" s="2776"/>
      <c r="I55" s="170">
        <f>'数据-取费表'!B49</f>
        <v>5.0000000000000001E-4</v>
      </c>
      <c r="J55" s="2749">
        <f>IF(H59="非个人房产","",4)</f>
        <v>4</v>
      </c>
      <c r="K55" s="3809" t="str">
        <f>IF(H59="非个人房产","——","个人所得税")</f>
        <v>个人所得税</v>
      </c>
      <c r="L55" s="3809"/>
      <c r="M55" s="2754">
        <f ca="1">D59</f>
        <v>3</v>
      </c>
      <c r="N55" s="2228" t="str">
        <f>E59</f>
        <v>差额计税</v>
      </c>
      <c r="O55" s="2755">
        <f>F59</f>
        <v>0.01</v>
      </c>
    </row>
    <row r="56" spans="1:35" ht="24.75">
      <c r="A56" s="3872" t="s">
        <v>2049</v>
      </c>
      <c r="B56" s="3850"/>
      <c r="C56" s="3850"/>
      <c r="D56" s="2547">
        <f ca="1">IF(H56="个人住宅",D57,D58)</f>
        <v>202</v>
      </c>
      <c r="E56" s="2557" t="s">
        <v>2050</v>
      </c>
      <c r="F56" s="2780" t="str">
        <f>IF(H56="正常",F58,"免征")</f>
        <v>免征</v>
      </c>
      <c r="G56" s="2783" t="s">
        <v>2051</v>
      </c>
      <c r="H56" s="2784"/>
      <c r="I56" s="1994"/>
      <c r="J56" s="2749" t="str">
        <f>IF(项目基本情况!K6="上海银行",IF(J55="",4,J55+1),"")</f>
        <v/>
      </c>
      <c r="K56" s="3790" t="str">
        <f>IF(项目基本情况!K6="上海银行","其他处置费用","")</f>
        <v/>
      </c>
      <c r="L56" s="3791"/>
      <c r="M56" s="2751" t="str">
        <f>IF(项目基本情况!K6="上海银行",M69,"")</f>
        <v/>
      </c>
      <c r="N56" s="3790" t="str">
        <f>IF(项目基本情况!K6="上海银行","包含处置中涉及的律师、诉讼、拍卖、评估等费用","")</f>
        <v/>
      </c>
      <c r="O56" s="3793"/>
    </row>
    <row r="57" spans="1:35" ht="12.75">
      <c r="A57" s="2558" t="s">
        <v>2027</v>
      </c>
      <c r="B57" s="3833" t="s">
        <v>2052</v>
      </c>
      <c r="C57" s="3834"/>
      <c r="D57" s="1775">
        <v>0</v>
      </c>
      <c r="E57" s="330" t="s">
        <v>2029</v>
      </c>
      <c r="F57" s="308"/>
      <c r="G57" s="2781"/>
      <c r="H57" s="2785"/>
      <c r="I57" s="1994"/>
      <c r="J57" s="3809">
        <f>IF(AND(J55="",J56=""),4,IF(项目基本情况!K6="上海银行",结果表!J56+1,结果表!J55+1))</f>
        <v>5</v>
      </c>
      <c r="K57" s="3809" t="s">
        <v>2053</v>
      </c>
      <c r="L57" s="2756" t="s">
        <v>2054</v>
      </c>
      <c r="M57" s="2757"/>
      <c r="N57" s="2758">
        <f ca="1">SUMIF(M52:M56,"&lt;9e307")</f>
        <v>205</v>
      </c>
      <c r="O57" s="2759"/>
      <c r="P57" s="2919">
        <f ca="1">N57/M49</f>
        <v>0.57422969187675066</v>
      </c>
    </row>
    <row r="58" spans="1:35" ht="24.75">
      <c r="A58" s="2558" t="s">
        <v>2038</v>
      </c>
      <c r="B58" s="3833" t="s">
        <v>2055</v>
      </c>
      <c r="C58" s="3832"/>
      <c r="D58" s="2547">
        <f ca="1">IF(H58="转让取得",C81,C97)</f>
        <v>202</v>
      </c>
      <c r="E58" s="2557" t="s">
        <v>2050</v>
      </c>
      <c r="F58" s="308" t="s">
        <v>34</v>
      </c>
      <c r="G58" s="2781"/>
      <c r="H58" s="2784"/>
      <c r="I58" s="1994"/>
      <c r="J58" s="3809"/>
      <c r="K58" s="3809"/>
      <c r="L58" s="2756" t="s">
        <v>2056</v>
      </c>
      <c r="M58" s="2760"/>
      <c r="N58" s="2761" t="str">
        <f ca="1">NUMBERSTRING(INT(N57*10000),2)&amp;"元整"</f>
        <v>贰佰零伍万元整</v>
      </c>
      <c r="O58" s="2762"/>
    </row>
    <row r="59" spans="1:35" ht="24.75" thickBot="1">
      <c r="A59" s="3813" t="s">
        <v>2057</v>
      </c>
      <c r="B59" s="3814"/>
      <c r="C59" s="3814"/>
      <c r="D59" s="2786">
        <f ca="1">IF(H59="非个人房产","——",IF(H59="个人住宅（满五唯一有凭证）",0,IF(H59="个人其他（无凭证）",ROUND(D45*F59,0),ROUND(C67*F59,0))))</f>
        <v>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811">
        <f>J57+1</f>
        <v>6</v>
      </c>
      <c r="K59" s="3809" t="s">
        <v>2058</v>
      </c>
      <c r="L59" s="2749" t="s">
        <v>2054</v>
      </c>
      <c r="M59" s="2763"/>
      <c r="N59" s="2764">
        <f ca="1">M49-N57</f>
        <v>152</v>
      </c>
      <c r="O59" s="2765"/>
    </row>
    <row r="60" spans="1:35" ht="12" customHeight="1">
      <c r="A60" s="1995"/>
      <c r="B60" s="1933"/>
      <c r="C60" s="1933"/>
      <c r="D60" s="1933"/>
      <c r="E60" s="1763"/>
      <c r="F60" s="1994"/>
      <c r="G60" s="1994"/>
      <c r="H60" s="1996"/>
      <c r="I60" s="134"/>
      <c r="J60" s="3812"/>
      <c r="K60" s="3809"/>
      <c r="L60" s="2756" t="s">
        <v>2056</v>
      </c>
      <c r="M60" s="2760"/>
      <c r="N60" s="2761" t="str">
        <f ca="1">NUMBERSTRING(INT(N59*10000),2)&amp;"元整"</f>
        <v>壹佰伍拾贰万元整</v>
      </c>
      <c r="O60" s="2762"/>
    </row>
    <row r="61" spans="1:35" ht="13.5" thickBot="1">
      <c r="A61" s="3871" t="s">
        <v>2059</v>
      </c>
      <c r="B61" s="3871"/>
      <c r="C61" s="3871"/>
      <c r="D61" s="3871"/>
      <c r="E61" s="3871"/>
      <c r="F61" s="1994"/>
      <c r="G61" s="1994"/>
      <c r="H61" s="1996"/>
      <c r="I61" s="134"/>
      <c r="J61" s="2749">
        <f>J59+1</f>
        <v>7</v>
      </c>
      <c r="K61" s="3809" t="s">
        <v>2060</v>
      </c>
      <c r="L61" s="3809"/>
      <c r="M61" s="2766"/>
      <c r="N61" s="2767">
        <f ca="1">ROUND(N59*10000/'数据-汇总表'!E3,0)</f>
        <v>4846</v>
      </c>
      <c r="O61" s="2768"/>
    </row>
    <row r="62" spans="1:35" ht="12.75">
      <c r="A62" s="3828" t="s">
        <v>2061</v>
      </c>
      <c r="B62" s="3829"/>
      <c r="C62" s="2209"/>
      <c r="D62" s="2209" t="s">
        <v>2062</v>
      </c>
      <c r="E62" s="171" t="s">
        <v>2063</v>
      </c>
      <c r="F62" s="1994"/>
      <c r="G62" s="1994"/>
      <c r="H62" s="1996"/>
      <c r="I62" s="134"/>
    </row>
    <row r="63" spans="1:35" ht="12.75">
      <c r="A63" s="178" t="s">
        <v>775</v>
      </c>
      <c r="B63" s="172" t="s">
        <v>2064</v>
      </c>
      <c r="C63" s="2790">
        <f ca="1">ROUND((C64+C65)/(1+'数据-取费表'!C42),0)</f>
        <v>340</v>
      </c>
      <c r="D63" s="172"/>
      <c r="E63" s="173"/>
      <c r="F63" s="1994"/>
      <c r="G63" s="1994"/>
      <c r="H63" s="1996"/>
      <c r="I63" s="134"/>
      <c r="J63" s="3792" t="s">
        <v>2065</v>
      </c>
      <c r="K63" s="1501" t="s">
        <v>2066</v>
      </c>
      <c r="L63" s="1501">
        <f ca="1">IF(M49&gt;10000,M49*0.5%,IF(AND(M49&gt;1000,M49&lt;=10000),M49*1%,IF(AND(M49&gt;100,M49&lt;=1000),M49*3%,IF(AND(M49&gt;10,M49&lt;=100),M49*5%,M49*8%))))</f>
        <v>10.709999999999999</v>
      </c>
      <c r="M63" s="308">
        <f ca="1">ROUND(L63,1)</f>
        <v>10.7</v>
      </c>
      <c r="N63" s="2769"/>
      <c r="Z63" s="1938"/>
      <c r="AI63" s="1939"/>
    </row>
    <row r="64" spans="1:35" ht="14.25" customHeight="1">
      <c r="A64" s="174" t="s">
        <v>770</v>
      </c>
      <c r="B64" s="175" t="s">
        <v>2067</v>
      </c>
      <c r="C64" s="2791">
        <f ca="1">D45</f>
        <v>357</v>
      </c>
      <c r="D64" s="175" t="s">
        <v>32</v>
      </c>
      <c r="E64" s="177"/>
      <c r="F64" s="1994"/>
      <c r="G64" s="1994"/>
      <c r="H64" s="1996"/>
      <c r="I64" s="134"/>
      <c r="J64" s="3792"/>
      <c r="K64" s="1501" t="s">
        <v>2068</v>
      </c>
      <c r="L64" s="1501">
        <f ca="1">IF(M49&gt;2000,M49*0.5%,IF(AND(M49&gt;1000,M49&lt;=2000),M49*0.6%,IF(AND(M49&gt;500,M49&lt;=1000),M49*0.7%,IF(AND(M49&gt;200,M49&lt;=500),M49*0.8%,IF(AND(M49&gt;100,M49&lt;=200),M49*0.9%,IF(AND(M49&gt;50,M49&lt;=100),M49*1%,IF(AND(M49&gt;20,M49&lt;=50),M49*1.5%,IF(AND(M49&gt;10,M49&lt;=20),M49*2%,IF(AND(M49&gt;1,M49&lt;=10),M49*2.5%)))))))))</f>
        <v>2.8559999999999999</v>
      </c>
      <c r="M64" s="308">
        <f t="shared" ref="M64:M65" ca="1" si="1">ROUND(L64,1)</f>
        <v>2.9</v>
      </c>
      <c r="N64" s="2770" t="s">
        <v>2069</v>
      </c>
      <c r="Z64" s="1938"/>
      <c r="AI64" s="1939"/>
    </row>
    <row r="65" spans="1:35" ht="14.25" customHeight="1">
      <c r="A65" s="174" t="s">
        <v>771</v>
      </c>
      <c r="B65" s="175" t="s">
        <v>2070</v>
      </c>
      <c r="C65" s="2792"/>
      <c r="D65" s="175"/>
      <c r="E65" s="177"/>
      <c r="F65" s="1994"/>
      <c r="G65" s="1994"/>
      <c r="H65" s="1996"/>
      <c r="I65" s="134"/>
      <c r="J65" s="3792"/>
      <c r="K65" s="1501" t="s">
        <v>2071</v>
      </c>
      <c r="L65" s="1501">
        <f ca="1">IF(M49&gt;1000,M49*0.1%,IF(AND(M49&gt;500,M49&lt;=1000),M49*0.5%,IF(AND(M49&gt;50,M49&lt;=500),M49*1%,IF(AND(M49&gt;1,M49&lt;=50),M49*1.5%))))</f>
        <v>3.5700000000000003</v>
      </c>
      <c r="M65" s="308">
        <f t="shared" ca="1" si="1"/>
        <v>3.6</v>
      </c>
      <c r="N65" s="2770" t="s">
        <v>2069</v>
      </c>
      <c r="Z65" s="1938"/>
      <c r="AI65" s="1939"/>
    </row>
    <row r="66" spans="1:35" ht="14.25" customHeight="1">
      <c r="A66" s="178" t="s">
        <v>772</v>
      </c>
      <c r="B66" s="179" t="s">
        <v>2072</v>
      </c>
      <c r="C66" s="2793"/>
      <c r="D66" s="179" t="s">
        <v>32</v>
      </c>
      <c r="E66" s="1509" t="s">
        <v>1337</v>
      </c>
      <c r="F66" s="1994"/>
      <c r="G66" s="1994"/>
      <c r="H66" s="1996"/>
      <c r="I66" s="134"/>
      <c r="J66" s="3792"/>
      <c r="K66" s="1501" t="s">
        <v>2073</v>
      </c>
      <c r="L66" s="1501">
        <f ca="1">M49*0.5%</f>
        <v>1.7850000000000001</v>
      </c>
      <c r="M66" s="308">
        <f ca="1">IF(L66&gt;0.5,0.5,ROUND(L66,0))</f>
        <v>0.5</v>
      </c>
      <c r="N66" s="2770" t="s">
        <v>2074</v>
      </c>
      <c r="Z66" s="1938"/>
      <c r="AI66" s="1939"/>
    </row>
    <row r="67" spans="1:35" ht="14.25" customHeight="1">
      <c r="A67" s="178" t="s">
        <v>773</v>
      </c>
      <c r="B67" s="179" t="s">
        <v>2075</v>
      </c>
      <c r="C67" s="2794">
        <f ca="1">C63-C66</f>
        <v>340</v>
      </c>
      <c r="D67" s="175" t="s">
        <v>32</v>
      </c>
      <c r="E67" s="177"/>
      <c r="F67" s="1994"/>
      <c r="G67" s="1994"/>
      <c r="H67" s="1996"/>
      <c r="I67" s="134"/>
      <c r="J67" s="3792"/>
      <c r="K67" s="1501" t="s">
        <v>2076</v>
      </c>
      <c r="L67" s="1501">
        <f ca="1">IF(M49&gt;=10000,(8.25+(M49-10000)*0.01%),IF(AND(M49&gt;=8000,M49&lt;10000),(7.85+(M49-8000)*0.02%),IF(AND(M49&gt;=5000,M49&lt;8000),(6.65+(M49-5000)*0.04%),IF(AND(M49&gt;=2000,M49&lt;5000),(4.25+(PM49-2000)*0.08%),IF(AND(M49&gt;=1000,M49&lt;2000),(2.75+(M49-1000)*0.15%),IF(AND(M49&gt;=100,M49&lt;1000),(0.5+(M49-100)*0.25%),IF(AND(M49&gt;0,M49&lt;100),M49*0.5%)))))))</f>
        <v>1.1425000000000001</v>
      </c>
      <c r="M67" s="308">
        <f ca="1">ROUND(L67*0.9,1)</f>
        <v>1</v>
      </c>
      <c r="N67" s="2769"/>
      <c r="Z67" s="1938"/>
      <c r="AI67" s="1939"/>
    </row>
    <row r="68" spans="1:35" ht="14.25" customHeight="1" thickBot="1">
      <c r="A68" s="181" t="s">
        <v>774</v>
      </c>
      <c r="B68" s="182" t="s">
        <v>2077</v>
      </c>
      <c r="C68" s="2795">
        <f ca="1">IF(C67&lt;=0,0,ROUND(C67*D68,0))</f>
        <v>19</v>
      </c>
      <c r="D68" s="2796">
        <f>'数据-取费表'!B41</f>
        <v>5.5000000000000007E-2</v>
      </c>
      <c r="E68" s="184"/>
      <c r="F68" s="1994"/>
      <c r="G68" s="1994"/>
      <c r="H68" s="1996"/>
      <c r="I68" s="134"/>
      <c r="J68" s="3792"/>
      <c r="K68" s="1501" t="s">
        <v>2078</v>
      </c>
      <c r="L68" s="1501">
        <f ca="1">IF(M49&gt;10000,M49*0.5%,IF(AND(M49&gt;5000,M49&lt;=10000),M49*1%,IF(AND(M49&gt;1000,M49&lt;=5000),M49*2%,IF(AND(M49&gt;200,M49&lt;=1000),M49*3%,M49*5%))))</f>
        <v>10.709999999999999</v>
      </c>
      <c r="M68" s="308">
        <f ca="1">ROUND(L68,1)</f>
        <v>10.7</v>
      </c>
      <c r="N68" s="2769"/>
      <c r="Z68" s="1938"/>
      <c r="AI68" s="1939"/>
    </row>
    <row r="69" spans="1:35" s="1958" customFormat="1" ht="16.5" customHeight="1">
      <c r="A69" s="1997"/>
      <c r="B69" s="1998"/>
      <c r="C69" s="1999"/>
      <c r="D69" s="2000"/>
      <c r="E69" s="2001"/>
      <c r="F69" s="1763"/>
      <c r="G69" s="1763"/>
      <c r="H69" s="1762"/>
      <c r="I69" s="1933"/>
      <c r="J69" s="3792"/>
      <c r="K69" s="1501" t="s">
        <v>2079</v>
      </c>
      <c r="L69" s="1501"/>
      <c r="M69" s="308">
        <f ca="1">ROUND(SUM(M63:M68),0)</f>
        <v>29</v>
      </c>
      <c r="N69" s="2771">
        <f ca="1">M69/M49</f>
        <v>8.1232492997198882E-2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836" t="s">
        <v>2080</v>
      </c>
      <c r="B70" s="3837"/>
      <c r="C70" s="3837"/>
      <c r="D70" s="3837"/>
      <c r="E70" s="3837"/>
      <c r="F70" s="3837"/>
      <c r="G70" s="3837"/>
      <c r="H70" s="383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828" t="s">
        <v>2061</v>
      </c>
      <c r="B71" s="3829"/>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340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833" t="s">
        <v>2088</v>
      </c>
      <c r="F76" s="3832"/>
      <c r="G76" s="3832"/>
      <c r="H76" s="383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v>
      </c>
      <c r="D78" s="2803">
        <f>'数据-取费表'!B43</f>
        <v>5.000000000000001E-3</v>
      </c>
      <c r="E78" s="3825" t="s">
        <v>2092</v>
      </c>
      <c r="F78" s="3826"/>
      <c r="G78" s="3826"/>
      <c r="H78" s="382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338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202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836" t="s">
        <v>2096</v>
      </c>
      <c r="B83" s="3837"/>
      <c r="C83" s="3837"/>
      <c r="D83" s="3837"/>
      <c r="E83" s="3837"/>
      <c r="F83" s="3837"/>
      <c r="G83" s="3837"/>
      <c r="H83" s="383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828" t="s">
        <v>2061</v>
      </c>
      <c r="B84" s="382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340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794" t="s">
        <v>2872</v>
      </c>
      <c r="H90" s="3795"/>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825" t="s">
        <v>2105</v>
      </c>
      <c r="F91" s="3826"/>
      <c r="G91" s="382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825" t="s">
        <v>2108</v>
      </c>
      <c r="F92" s="3826"/>
      <c r="G92" s="3826"/>
      <c r="H92" s="3827"/>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v>
      </c>
      <c r="D93" s="2803">
        <f>'数据-取费表'!B43</f>
        <v>5.000000000000001E-3</v>
      </c>
      <c r="E93" s="3825" t="s">
        <v>2092</v>
      </c>
      <c r="F93" s="3826"/>
      <c r="G93" s="3826"/>
      <c r="H93" s="382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873" t="s">
        <v>2112</v>
      </c>
      <c r="F94" s="3874"/>
      <c r="G94" s="3874"/>
      <c r="H94" s="387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338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202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752" t="s">
        <v>2114</v>
      </c>
      <c r="B100" s="3753"/>
      <c r="C100" s="3753"/>
      <c r="D100" s="3810"/>
      <c r="E100" s="3753" t="s">
        <v>2115</v>
      </c>
      <c r="F100" s="3753"/>
      <c r="G100" s="3753"/>
      <c r="H100" s="3810"/>
      <c r="I100" s="134"/>
    </row>
    <row r="101" spans="1:35" ht="18.75" customHeight="1">
      <c r="A101" s="3818" t="s">
        <v>2116</v>
      </c>
      <c r="B101" s="3819"/>
      <c r="C101" s="2811" t="str">
        <f>C4</f>
        <v>成本法</v>
      </c>
      <c r="D101" s="2812" t="str">
        <f>D4</f>
        <v>收益法</v>
      </c>
      <c r="E101" s="3788" t="s">
        <v>2117</v>
      </c>
      <c r="F101" s="3789"/>
      <c r="G101" s="2013" t="s">
        <v>2118</v>
      </c>
      <c r="H101" s="2821">
        <f ca="1">H118</f>
        <v>357</v>
      </c>
      <c r="I101" s="134"/>
    </row>
    <row r="102" spans="1:35" ht="18.75" customHeight="1">
      <c r="A102" s="3820" t="s">
        <v>2119</v>
      </c>
      <c r="B102" s="2810" t="s">
        <v>2118</v>
      </c>
      <c r="C102" s="2811">
        <f ca="1">C19</f>
        <v>276</v>
      </c>
      <c r="D102" s="2812">
        <f ca="1">D19</f>
        <v>681</v>
      </c>
      <c r="E102" s="3788"/>
      <c r="F102" s="3789"/>
      <c r="G102" s="2013" t="s">
        <v>2120</v>
      </c>
      <c r="H102" s="2781">
        <f ca="1">I118</f>
        <v>11383</v>
      </c>
      <c r="I102" s="134"/>
    </row>
    <row r="103" spans="1:35" ht="42.75" customHeight="1">
      <c r="A103" s="3820"/>
      <c r="B103" s="2810" t="s">
        <v>2120</v>
      </c>
      <c r="C103" s="2813">
        <f ca="1">C20</f>
        <v>8800</v>
      </c>
      <c r="D103" s="2814">
        <f ca="1">D20</f>
        <v>21713</v>
      </c>
      <c r="E103" s="3781" t="s">
        <v>2121</v>
      </c>
      <c r="F103" s="3782"/>
      <c r="G103" s="2014" t="s">
        <v>2122</v>
      </c>
      <c r="H103" s="2821">
        <f>IF(D36="正常操作",H104+H105+H106,H105+H106)</f>
        <v>0</v>
      </c>
      <c r="I103" s="134"/>
    </row>
    <row r="104" spans="1:35" ht="18.75" customHeight="1">
      <c r="A104" s="3820" t="s">
        <v>2123</v>
      </c>
      <c r="B104" s="2815" t="s">
        <v>2118</v>
      </c>
      <c r="C104" s="2816">
        <f ca="1">H118</f>
        <v>357</v>
      </c>
      <c r="D104" s="2817"/>
      <c r="E104" s="1860" t="s">
        <v>2124</v>
      </c>
      <c r="F104" s="1851"/>
      <c r="G104" s="2014" t="s">
        <v>2122</v>
      </c>
      <c r="H104" s="2822">
        <f>IF(D36="同一抵押权人同一抵押物续贷",C36&amp;"（续贷，未扣减，详见特别提示）",C36)</f>
        <v>0</v>
      </c>
      <c r="I104" s="134"/>
    </row>
    <row r="105" spans="1:35" ht="18.75" customHeight="1" thickBot="1">
      <c r="A105" s="3830"/>
      <c r="B105" s="2818" t="s">
        <v>2120</v>
      </c>
      <c r="C105" s="2819">
        <f ca="1">I118</f>
        <v>11383</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821" t="str">
        <f>IF(项目基本情况!E8="已注销","——","3.房地产抵押价值")</f>
        <v>——</v>
      </c>
      <c r="F107" s="3789"/>
      <c r="G107" s="2013" t="s">
        <v>2118</v>
      </c>
      <c r="H107" s="2821" t="str">
        <f>IF(E107="——","——",H101-H103)</f>
        <v>——</v>
      </c>
      <c r="I107" s="134"/>
    </row>
    <row r="108" spans="1:35" ht="18.75" customHeight="1">
      <c r="A108" s="134"/>
      <c r="B108" s="134"/>
      <c r="C108" s="134"/>
      <c r="D108" s="134"/>
      <c r="E108" s="3821"/>
      <c r="F108" s="3789"/>
      <c r="G108" s="2013" t="s">
        <v>2120</v>
      </c>
      <c r="H108" s="2781" t="e">
        <f>ROUND(H107*10000/'数据-汇总表'!E3,0)</f>
        <v>#VALUE!</v>
      </c>
      <c r="I108" s="134"/>
    </row>
    <row r="109" spans="1:35" ht="18.75" customHeight="1">
      <c r="A109" s="134"/>
      <c r="B109" s="134"/>
      <c r="C109" s="134"/>
      <c r="D109" s="134"/>
      <c r="E109" s="3821" t="str">
        <f>IF(项目基本情况!E8="已注销及未注销","4.抵押担保权已注销时的房地产抵押价值",IF(项目基本情况!E8="已注销","3.抵押担保权已注销时的房地产抵押价值","——"))</f>
        <v>3.抵押担保权已注销时的房地产抵押价值</v>
      </c>
      <c r="F109" s="3789"/>
      <c r="G109" s="2013" t="s">
        <v>2118</v>
      </c>
      <c r="H109" s="2824">
        <f ca="1">IF(E109="——","——",H101-H105-H106)</f>
        <v>357</v>
      </c>
      <c r="I109" s="134"/>
    </row>
    <row r="110" spans="1:35" ht="18.75" customHeight="1">
      <c r="A110" s="134"/>
      <c r="B110" s="134"/>
      <c r="C110" s="134"/>
      <c r="D110" s="134"/>
      <c r="E110" s="3821"/>
      <c r="F110" s="3789"/>
      <c r="G110" s="2013" t="s">
        <v>2120</v>
      </c>
      <c r="H110" s="2781">
        <f ca="1">IF(H109="——","——",ROUND(H109*10000/'数据-汇总表'!E3,0))</f>
        <v>11383</v>
      </c>
      <c r="I110" s="134"/>
    </row>
    <row r="111" spans="1:35" ht="18.75" customHeight="1">
      <c r="A111" s="134"/>
      <c r="B111" s="134"/>
      <c r="C111" s="134"/>
      <c r="D111" s="134"/>
      <c r="E111" s="3822" t="str">
        <f>IF(项目基本情况!E9="抵押净值",IF(OR(项目基本情况!E8="已注销",项目基本情况!E8="房地产抵押价值"),"4.抵押净值","5.抵押净值"),"——")</f>
        <v>——</v>
      </c>
      <c r="F111" s="3808"/>
      <c r="G111" s="2013" t="s">
        <v>2118</v>
      </c>
      <c r="H111" s="2821" t="str">
        <f>IF(E111="——","——",N59)</f>
        <v>——</v>
      </c>
      <c r="I111" s="134"/>
    </row>
    <row r="112" spans="1:35" ht="18.75" customHeight="1" thickBot="1">
      <c r="A112" s="134"/>
      <c r="B112" s="134"/>
      <c r="C112" s="134"/>
      <c r="D112" s="134"/>
      <c r="E112" s="3823"/>
      <c r="F112" s="3824"/>
      <c r="G112" s="2016" t="s">
        <v>2120</v>
      </c>
      <c r="H112" s="2825" t="str">
        <f>IF(E111="——","——",N61)</f>
        <v>——</v>
      </c>
      <c r="I112" s="134"/>
    </row>
    <row r="113" spans="1:27" ht="18.75" customHeight="1">
      <c r="A113" s="134"/>
      <c r="B113" s="134"/>
      <c r="C113" s="134"/>
      <c r="D113" s="134"/>
      <c r="E113" s="3831" t="s">
        <v>2126</v>
      </c>
      <c r="F113" s="3831"/>
      <c r="G113" s="3831"/>
      <c r="H113" s="3831"/>
      <c r="I113" s="134"/>
    </row>
    <row r="114" spans="1:27" ht="3.75" customHeight="1">
      <c r="A114" s="1933"/>
      <c r="B114" s="1933"/>
      <c r="C114" s="1933"/>
      <c r="D114" s="1933"/>
      <c r="E114" s="1995"/>
      <c r="F114" s="1995"/>
      <c r="G114" s="1995"/>
      <c r="H114" s="1995"/>
      <c r="I114" s="1933"/>
    </row>
    <row r="115" spans="1:27" ht="18.75" customHeight="1">
      <c r="A115" s="3842" t="s">
        <v>2128</v>
      </c>
      <c r="B115" s="3843"/>
      <c r="C115" s="3843"/>
      <c r="D115" s="3843"/>
      <c r="E115" s="3843"/>
      <c r="F115" s="3843"/>
      <c r="G115" s="3843"/>
      <c r="H115" s="3843"/>
      <c r="I115" s="3844"/>
    </row>
    <row r="116" spans="1:27" ht="27" customHeight="1">
      <c r="A116" s="3796" t="s">
        <v>2129</v>
      </c>
      <c r="B116" s="3800" t="s">
        <v>2130</v>
      </c>
      <c r="C116" s="3800" t="s">
        <v>2131</v>
      </c>
      <c r="D116" s="3806" t="s">
        <v>2132</v>
      </c>
      <c r="E116" s="3807"/>
      <c r="F116" s="3838" t="s">
        <v>2133</v>
      </c>
      <c r="G116" s="3838"/>
      <c r="H116" s="3796" t="s">
        <v>2134</v>
      </c>
      <c r="I116" s="3796"/>
    </row>
    <row r="117" spans="1:27" ht="18.75" customHeight="1">
      <c r="A117" s="3796"/>
      <c r="B117" s="3801"/>
      <c r="C117" s="3801"/>
      <c r="D117" s="2552" t="s">
        <v>2135</v>
      </c>
      <c r="E117" s="2552" t="s">
        <v>2136</v>
      </c>
      <c r="F117" s="2552" t="s">
        <v>2135</v>
      </c>
      <c r="G117" s="2552" t="s">
        <v>2137</v>
      </c>
      <c r="H117" s="2552" t="s">
        <v>2135</v>
      </c>
      <c r="I117" s="2552" t="s">
        <v>2137</v>
      </c>
    </row>
    <row r="118" spans="1:27" ht="24.75" customHeight="1">
      <c r="A118" s="2826" t="str">
        <f>项目基本情况!S2</f>
        <v>房地产</v>
      </c>
      <c r="B118" s="2552">
        <f>M18</f>
        <v>313.63</v>
      </c>
      <c r="C118" s="2552">
        <f>M19</f>
        <v>1442.46</v>
      </c>
      <c r="D118" s="2552">
        <f ca="1">ROUND(IF(D32="总价",C34,E118*B118/10000),0)</f>
        <v>225</v>
      </c>
      <c r="E118" s="2552">
        <f ca="1">ROUND(IF(C33="自定义",IF(D32="楼面单价",C34,D118*10000/B118),I118-G118),0)</f>
        <v>7171</v>
      </c>
      <c r="F118" s="2552">
        <f ca="1">ROUND(IF(D32="总价",C35,G118*B118/10000),0)</f>
        <v>132</v>
      </c>
      <c r="G118" s="2552">
        <f ca="1">ROUND(IF(D32="楼面单价",C35,F118*10000/B118),0)</f>
        <v>4212</v>
      </c>
      <c r="H118" s="2552">
        <f ca="1">ROUND(IF(D32="总价",C32,I118*B118/10000),0)</f>
        <v>357</v>
      </c>
      <c r="I118" s="2552">
        <f ca="1">ROUND(IF(D32="楼面单价",C32,H118*10000/B118),0)</f>
        <v>11383</v>
      </c>
    </row>
    <row r="119" spans="1:27" ht="18.75" customHeight="1">
      <c r="A119" s="3796" t="s">
        <v>2138</v>
      </c>
      <c r="B119" s="3796"/>
      <c r="C119" s="3796"/>
      <c r="D119" s="3802" t="str">
        <f ca="1">NUMBERSTRING(INT(D118*10000),2)&amp;"元整"</f>
        <v>贰佰贰拾伍万元整</v>
      </c>
      <c r="E119" s="3803"/>
      <c r="F119" s="3802" t="str">
        <f ca="1">NUMBERSTRING(INT(F118*10000),2)&amp;"元整"</f>
        <v>壹佰叁拾贰万元整</v>
      </c>
      <c r="G119" s="3803"/>
      <c r="H119" s="3802" t="str">
        <f ca="1">NUMBERSTRING(INT(H118*10000),2)&amp;"元整"</f>
        <v>叁佰伍拾柒万元整</v>
      </c>
      <c r="I119" s="3803"/>
    </row>
    <row r="120" spans="1:27" ht="18.75" customHeight="1">
      <c r="A120" s="3797" t="str">
        <f>IF(项目基本情况!B9="房地产市场价值","",MID(E103,3,LEN(E103)-2))</f>
        <v/>
      </c>
      <c r="B120" s="3798"/>
      <c r="C120" s="3799"/>
      <c r="D120" s="3797">
        <f>H103</f>
        <v>0</v>
      </c>
      <c r="E120" s="3798"/>
      <c r="F120" s="3798"/>
      <c r="G120" s="3798"/>
      <c r="H120" s="3798"/>
      <c r="I120" s="3799"/>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839" t="s">
        <v>2138</v>
      </c>
      <c r="B121" s="3840"/>
      <c r="C121" s="3841"/>
      <c r="D121" s="3802" t="str">
        <f>IF(D120=0,"零元整",NUMBERSTRING(INT(D120*10000),2)&amp;"元整")</f>
        <v>零元整</v>
      </c>
      <c r="E121" s="3804"/>
      <c r="F121" s="3804"/>
      <c r="G121" s="3804"/>
      <c r="H121" s="3804"/>
      <c r="I121" s="3803"/>
      <c r="AA121" s="734"/>
    </row>
    <row r="122" spans="1:27" ht="18.75" customHeight="1">
      <c r="A122" s="3808" t="str">
        <f>IF(项目基本情况!B9="房地产市场价值","",MID(E107,3,LEN(E107)-2))</f>
        <v/>
      </c>
      <c r="B122" s="3808"/>
      <c r="C122" s="3808"/>
      <c r="D122" s="3797" t="str">
        <f>H107</f>
        <v>——</v>
      </c>
      <c r="E122" s="3798"/>
      <c r="F122" s="3798"/>
      <c r="G122" s="3798"/>
      <c r="H122" s="3798"/>
      <c r="I122" s="3799"/>
      <c r="AA122" s="734"/>
    </row>
    <row r="123" spans="1:27" ht="18.75" customHeight="1">
      <c r="A123" s="3796" t="s">
        <v>2138</v>
      </c>
      <c r="B123" s="3796"/>
      <c r="C123" s="3796"/>
      <c r="D123" s="3802" t="e">
        <f>NUMBERSTRING(INT(D122*10000),2)&amp;"元整"</f>
        <v>#VALUE!</v>
      </c>
      <c r="E123" s="3804"/>
      <c r="F123" s="3804"/>
      <c r="G123" s="3804"/>
      <c r="H123" s="3804"/>
      <c r="I123" s="3803"/>
      <c r="AA123" s="734"/>
    </row>
    <row r="124" spans="1:27" ht="18.75" customHeight="1">
      <c r="A124" s="3808" t="str">
        <f>IF(项目基本情况!B9="房地产市场价值","",MID(E109,3,LEN(E109)-2))</f>
        <v/>
      </c>
      <c r="B124" s="3808"/>
      <c r="C124" s="3808"/>
      <c r="D124" s="3797">
        <f ca="1">H109</f>
        <v>357</v>
      </c>
      <c r="E124" s="3798"/>
      <c r="F124" s="3798"/>
      <c r="G124" s="3798"/>
      <c r="H124" s="3798"/>
      <c r="I124" s="3799"/>
      <c r="AA124" s="734"/>
    </row>
    <row r="125" spans="1:27" ht="18.75" customHeight="1">
      <c r="A125" s="3796" t="s">
        <v>2138</v>
      </c>
      <c r="B125" s="3796"/>
      <c r="C125" s="3796"/>
      <c r="D125" s="3802" t="str">
        <f ca="1">NUMBERSTRING(INT(D124*10000),2)&amp;"元整"</f>
        <v>叁佰伍拾柒万元整</v>
      </c>
      <c r="E125" s="3804"/>
      <c r="F125" s="3804"/>
      <c r="G125" s="3804"/>
      <c r="H125" s="3804"/>
      <c r="I125" s="3803"/>
      <c r="AA125" s="734"/>
    </row>
    <row r="126" spans="1:27" ht="18.75" customHeight="1">
      <c r="A126" s="3808" t="str">
        <f>IF(项目基本情况!B9="房地产市场价值","",MID(E111,3,LEN(E111)-2))</f>
        <v/>
      </c>
      <c r="B126" s="3808"/>
      <c r="C126" s="3808"/>
      <c r="D126" s="3797" t="str">
        <f>H111</f>
        <v>——</v>
      </c>
      <c r="E126" s="3798"/>
      <c r="F126" s="3798"/>
      <c r="G126" s="3798"/>
      <c r="H126" s="3798"/>
      <c r="I126" s="3799"/>
      <c r="AA126" s="734"/>
    </row>
    <row r="127" spans="1:27" ht="18.75" customHeight="1">
      <c r="A127" s="3796" t="s">
        <v>2138</v>
      </c>
      <c r="B127" s="3796"/>
      <c r="C127" s="3796"/>
      <c r="D127" s="3802" t="e">
        <f>NUMBERSTRING(INT(D126*10000),2)&amp;"元整"</f>
        <v>#VALUE!</v>
      </c>
      <c r="E127" s="3804"/>
      <c r="F127" s="3804"/>
      <c r="G127" s="3804"/>
      <c r="H127" s="3804"/>
      <c r="I127" s="3803"/>
      <c r="AA127" s="734"/>
    </row>
    <row r="128" spans="1:27" ht="21.75" customHeight="1">
      <c r="A128" s="3805" t="s">
        <v>2139</v>
      </c>
      <c r="B128" s="3805"/>
      <c r="C128" s="3805"/>
      <c r="D128" s="3805"/>
      <c r="E128" s="3805"/>
      <c r="F128" s="3805"/>
      <c r="G128" s="3805"/>
      <c r="H128" s="3805"/>
      <c r="I128" s="380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90" zoomScaleNormal="70" zoomScaleSheetLayoutView="90" workbookViewId="0">
      <selection activeCell="B49" sqref="B4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276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8800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179</v>
      </c>
      <c r="D5" s="217" t="s">
        <v>2155</v>
      </c>
      <c r="E5" s="218" t="s">
        <v>2156</v>
      </c>
      <c r="F5" s="218" t="s">
        <v>2157</v>
      </c>
      <c r="G5" s="219"/>
    </row>
    <row r="6" spans="1:9" s="220" customFormat="1" ht="13.5" customHeight="1">
      <c r="A6" s="886" t="s">
        <v>2158</v>
      </c>
      <c r="B6" s="221" t="s">
        <v>2159</v>
      </c>
      <c r="C6" s="222">
        <f>'比较法-土地'!B2</f>
        <v>174</v>
      </c>
      <c r="D6" s="223"/>
      <c r="E6" s="224"/>
      <c r="F6" s="224"/>
      <c r="G6" s="225"/>
    </row>
    <row r="7" spans="1:9" s="220" customFormat="1" ht="13.5" customHeight="1">
      <c r="A7" s="886" t="s">
        <v>2160</v>
      </c>
      <c r="B7" s="221" t="s">
        <v>2161</v>
      </c>
      <c r="C7" s="226">
        <f>ROUND(C6*F7,0)</f>
        <v>5</v>
      </c>
      <c r="D7" s="226"/>
      <c r="E7" s="224"/>
      <c r="F7" s="227">
        <f>IF(项目基本情况!B8="出让",0,'数据-取费表'!B48+'数据-取费表'!B49)</f>
        <v>3.0499999999999999E-2</v>
      </c>
      <c r="G7" s="225"/>
    </row>
    <row r="8" spans="1:9" s="229" customFormat="1">
      <c r="A8" s="886" t="s">
        <v>2162</v>
      </c>
      <c r="B8" s="221" t="s">
        <v>2163</v>
      </c>
      <c r="C8" s="226" t="str">
        <f>IF(G8="已包含在土地购买价格中","0",IF(B1="",'数据-取费表'!B29,IF(G9="全部缴纳",C9+C10,H9)))</f>
        <v>0</v>
      </c>
      <c r="D8" s="228"/>
      <c r="E8" s="226"/>
      <c r="F8" s="227"/>
      <c r="G8" s="2042" t="s">
        <v>1116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customHeight="1">
      <c r="A10" s="887" t="s">
        <v>801</v>
      </c>
      <c r="B10" s="230" t="s">
        <v>2166</v>
      </c>
      <c r="C10" s="231">
        <f ca="1">ROUND(D10*E10/10000,0)</f>
        <v>4</v>
      </c>
      <c r="D10" s="954">
        <f ca="1">IF(B1="",'数据-汇总表'!E6,IF(INDIRECT("'数据-取费表'!c"&amp;$G$1)="住宅",INDIRECT("'数据-取费表'!s"&amp;$G$1),INDIRECT("'数据-取费表'!k"&amp;$G$1)+INDIRECT("'数据-取费表'!s"&amp;$G$1)))</f>
        <v>313.63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313.63</v>
      </c>
      <c r="E19" s="217">
        <f>'数据-取费表'!B31</f>
        <v>200</v>
      </c>
      <c r="F19" s="237"/>
      <c r="G19" s="2042" t="s">
        <v>3076</v>
      </c>
    </row>
    <row r="20" spans="1:7" s="220" customFormat="1" ht="13.5" customHeight="1">
      <c r="A20" s="261" t="s">
        <v>2179</v>
      </c>
      <c r="B20" s="216" t="s">
        <v>2180</v>
      </c>
      <c r="C20" s="238">
        <f>ROUND((C5+C19)*F20,0)</f>
        <v>5</v>
      </c>
      <c r="D20" s="238"/>
      <c r="E20" s="238"/>
      <c r="F20" s="239">
        <f>'数据-取费表'!B37</f>
        <v>0.03</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10</v>
      </c>
      <c r="D22" s="241">
        <f ca="1">C26</f>
        <v>6.9999999999999999E-4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9</v>
      </c>
      <c r="D27" s="241">
        <f ca="1">C29</f>
        <v>1.2999999999999999E-3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9</v>
      </c>
      <c r="D28" s="241"/>
      <c r="E28" s="242"/>
      <c r="F28" s="252"/>
      <c r="G28" s="253"/>
    </row>
    <row r="29" spans="1:7" s="220" customFormat="1" ht="13.5" customHeight="1">
      <c r="A29" s="888" t="s">
        <v>792</v>
      </c>
      <c r="B29" s="254" t="s">
        <v>2203</v>
      </c>
      <c r="C29" s="244">
        <f ca="1">ROUND(C21*F27*'数据-取费表'!B21/'数据-取费表'!B20,4)</f>
        <v>1.2999999999999999E-3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2212</v>
      </c>
    </row>
    <row r="35" spans="1:7" ht="13.5" customHeight="1">
      <c r="A35" s="888" t="s">
        <v>796</v>
      </c>
      <c r="B35" s="221" t="s">
        <v>2213</v>
      </c>
      <c r="C35" s="226">
        <f ca="1">ROUND(C34*F35,0)</f>
        <v>4</v>
      </c>
      <c r="D35" s="226"/>
      <c r="E35" s="226"/>
      <c r="F35" s="265">
        <f>'数据-取费表'!B33</f>
        <v>0.05</v>
      </c>
      <c r="G35" s="225" t="s">
        <v>2214</v>
      </c>
    </row>
    <row r="36" spans="1:7" ht="24">
      <c r="A36" s="888" t="s">
        <v>797</v>
      </c>
      <c r="B36" s="3665" t="s">
        <v>3544</v>
      </c>
      <c r="C36" s="226">
        <f>ROUND(D36*F36/10000,0)</f>
        <v>17</v>
      </c>
      <c r="D36" s="223">
        <f>项目基本情况!C18</f>
        <v>1442.46</v>
      </c>
      <c r="E36" s="226"/>
      <c r="F36" s="3664">
        <v>120</v>
      </c>
      <c r="G36" s="266" t="s">
        <v>2216</v>
      </c>
    </row>
    <row r="37" spans="1:7" s="264" customFormat="1" ht="13.5" customHeight="1">
      <c r="A37" s="888" t="s">
        <v>798</v>
      </c>
      <c r="B37" s="221" t="s">
        <v>2217</v>
      </c>
      <c r="C37" s="255">
        <f ca="1">ROUND(E37*D37*F34/10000,0)</f>
        <v>4</v>
      </c>
      <c r="D37" s="223">
        <f ca="1">D19</f>
        <v>313.63</v>
      </c>
      <c r="E37" s="255">
        <f>'数据-取费表'!B35</f>
        <v>140</v>
      </c>
      <c r="F37" s="265"/>
      <c r="G37" s="267" t="s">
        <v>2218</v>
      </c>
    </row>
    <row r="38" spans="1:7" ht="13.5" customHeight="1">
      <c r="A38" s="888" t="s">
        <v>799</v>
      </c>
      <c r="B38" s="221" t="s">
        <v>2219</v>
      </c>
      <c r="C38" s="226">
        <f ca="1">ROUND(C34*F38,0)</f>
        <v>1</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2</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v>
      </c>
      <c r="D42" s="244"/>
      <c r="E42" s="244"/>
      <c r="F42" s="245"/>
      <c r="G42" s="3878" t="s">
        <v>2230</v>
      </c>
    </row>
    <row r="43" spans="1:7" ht="13.5" customHeight="1">
      <c r="A43" s="888" t="s">
        <v>792</v>
      </c>
      <c r="B43" s="221" t="s">
        <v>2231</v>
      </c>
      <c r="C43" s="244">
        <f ca="1">ROUND(IF('数据-取费表'!B22&lt;=1,C39*F22*'数据-取费表'!B21/2,C39*(POWER((1+F22),'数据-取费表'!B21/2)-1)),0)</f>
        <v>0</v>
      </c>
      <c r="D43" s="244"/>
      <c r="E43" s="244"/>
      <c r="F43" s="245"/>
      <c r="G43" s="3879"/>
    </row>
    <row r="44" spans="1:7" ht="13.5" customHeight="1">
      <c r="A44" s="888" t="s">
        <v>793</v>
      </c>
      <c r="B44" s="221" t="s">
        <v>2232</v>
      </c>
      <c r="C44" s="244">
        <f ca="1">ROUND(IF('数据-取费表'!B22&lt;=1,C40*F22*'数据-取费表'!B21/2,C40*(POWER((1+F22),'数据-取费表'!B21/2)-1)),4)</f>
        <v>5.0000000000000001E-4</v>
      </c>
      <c r="D44" s="244"/>
      <c r="E44" s="244"/>
      <c r="F44" s="245"/>
      <c r="G44" s="3880"/>
    </row>
    <row r="45" spans="1:7" s="220" customFormat="1" ht="13.5" customHeight="1">
      <c r="A45" s="261" t="s">
        <v>2233</v>
      </c>
      <c r="B45" s="250" t="s">
        <v>2199</v>
      </c>
      <c r="C45" s="251">
        <f ca="1">C46</f>
        <v>5</v>
      </c>
      <c r="D45" s="241">
        <f ca="1">C47</f>
        <v>1.2999999999999999E-3</v>
      </c>
      <c r="E45" s="242" t="s">
        <v>2225</v>
      </c>
      <c r="F45" s="2537">
        <f ca="1">F27</f>
        <v>0.05</v>
      </c>
      <c r="G45" s="253" t="s">
        <v>2234</v>
      </c>
    </row>
    <row r="46" spans="1:7" s="220" customFormat="1" ht="13.5" customHeight="1">
      <c r="A46" s="888" t="s">
        <v>791</v>
      </c>
      <c r="B46" s="254" t="s">
        <v>2235</v>
      </c>
      <c r="C46" s="255">
        <f ca="1">ROUND((C33+C39)*F27,0)</f>
        <v>5</v>
      </c>
      <c r="D46" s="269"/>
      <c r="E46" s="242"/>
      <c r="F46" s="252"/>
      <c r="G46" s="253"/>
    </row>
    <row r="47" spans="1:7" s="220" customFormat="1" ht="13.5" customHeight="1">
      <c r="A47" s="888" t="s">
        <v>792</v>
      </c>
      <c r="B47" s="254" t="s">
        <v>2236</v>
      </c>
      <c r="C47" s="244">
        <f ca="1">ROUND(C40*F27,4)</f>
        <v>1.2999999999999999E-3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124</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102</v>
      </c>
      <c r="D51" s="238"/>
      <c r="E51" s="238"/>
      <c r="F51" s="270"/>
      <c r="G51" s="240" t="s">
        <v>2246</v>
      </c>
    </row>
    <row r="52" spans="1:7" s="214" customFormat="1" ht="16.5" thickBot="1">
      <c r="A52" s="271" t="s">
        <v>2247</v>
      </c>
      <c r="B52" s="272"/>
      <c r="C52" s="273">
        <f ca="1">C31+C51</f>
        <v>276</v>
      </c>
      <c r="D52" s="272"/>
      <c r="E52" s="272"/>
      <c r="F52" s="272"/>
      <c r="G52" s="274"/>
    </row>
    <row r="55" spans="1:7" ht="15">
      <c r="B55" s="276" t="s">
        <v>2248</v>
      </c>
      <c r="C55" s="277"/>
    </row>
    <row r="56" spans="1:7">
      <c r="B56" s="279" t="s">
        <v>1478</v>
      </c>
      <c r="C56" s="281">
        <f ca="1">1-C57</f>
        <v>0.63</v>
      </c>
    </row>
    <row r="57" spans="1:7">
      <c r="B57" s="279" t="s">
        <v>1479</v>
      </c>
      <c r="C57" s="280">
        <f ca="1">ROUND(C51/C52,3)</f>
        <v>0.37</v>
      </c>
    </row>
  </sheetData>
  <sheetProtection algorithmName="SHA-512" hashValue="D7oNCFtHrahaZGZSxTMZfQUMwyLrJo2rTvEhOk58vkZ+pPiTnR7AtonYwjiS16Su8UjujVzm2RLK1COwfkrWAw==" saltValue="Xr5COTNJdgWtwYmRip4XNA==" spinCount="100000"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43908</v>
      </c>
      <c r="D10" s="954">
        <f ca="1">IF(B1="",'数据-汇总表'!E6,IF(INDIRECT("'数据-取费表'!c"&amp;$G$1)="住宅",INDIRECT("'数据-取费表'!s"&amp;$G$1),INDIRECT("'数据-取费表'!k"&amp;$G$1)+INDIRECT("'数据-取费表'!s"&amp;$G$1)))</f>
        <v>313.63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313.63</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0.03</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#REF!</v>
      </c>
      <c r="D22" s="241">
        <f ca="1">C26</f>
        <v>6.9999999999999999E-4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#REF!</v>
      </c>
      <c r="D27" s="241">
        <f ca="1">C29</f>
        <v>1.2999999999999999E-3</v>
      </c>
      <c r="E27" s="242" t="s">
        <v>2200</v>
      </c>
      <c r="F27" s="252">
        <f ca="1">IF(B1="",'数据-取费表'!Q16,INDIRECT("'数据-取费表'!q"&amp;$G$1))</f>
        <v>0.05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1.2999999999999999E-3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878948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784075</v>
      </c>
      <c r="D34" s="223"/>
      <c r="E34" s="226"/>
      <c r="F34" s="263"/>
      <c r="G34" s="225"/>
    </row>
    <row r="35" spans="1:7" ht="13.5" customHeight="1">
      <c r="A35" s="888" t="s">
        <v>796</v>
      </c>
      <c r="B35" s="221" t="s">
        <v>2213</v>
      </c>
      <c r="C35" s="226">
        <f ca="1">ROUND(C34*F35,0)</f>
        <v>39204</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43908</v>
      </c>
      <c r="D37" s="223">
        <f ca="1">D19</f>
        <v>313.63</v>
      </c>
      <c r="E37" s="255">
        <f>'数据-取费表'!B35</f>
        <v>140</v>
      </c>
      <c r="F37" s="265"/>
      <c r="G37" s="267"/>
    </row>
    <row r="38" spans="1:7" ht="13.5" customHeight="1">
      <c r="A38" s="888" t="s">
        <v>799</v>
      </c>
      <c r="B38" s="221" t="s">
        <v>2219</v>
      </c>
      <c r="C38" s="226">
        <f ca="1">ROUND(C34*F38,0)</f>
        <v>11761</v>
      </c>
      <c r="D38" s="226"/>
      <c r="E38" s="226"/>
      <c r="F38" s="265">
        <f>'数据-取费表'!B36</f>
        <v>1.4999999999999999E-2</v>
      </c>
      <c r="G38" s="225" t="s">
        <v>2214</v>
      </c>
    </row>
    <row r="39" spans="1:7" s="220" customFormat="1" ht="13.5" customHeight="1">
      <c r="A39" s="261" t="s">
        <v>2220</v>
      </c>
      <c r="B39" s="216" t="s">
        <v>2221</v>
      </c>
      <c r="C39" s="238">
        <f ca="1">ROUND(C33*F20,0)</f>
        <v>26368</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17263</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16760</v>
      </c>
      <c r="D42" s="244"/>
      <c r="E42" s="244"/>
      <c r="F42" s="245"/>
      <c r="G42" s="3878" t="s">
        <v>2277</v>
      </c>
    </row>
    <row r="43" spans="1:7" ht="13.5" customHeight="1">
      <c r="A43" s="888" t="s">
        <v>792</v>
      </c>
      <c r="B43" s="221" t="s">
        <v>2231</v>
      </c>
      <c r="C43" s="244">
        <f ca="1">ROUND(IF('数据-取费表'!B22&lt;=1,C39*F22*'数据-取费表'!B20/2,C39*(POWER((1+F22),'数据-取费表'!B20/2)-1)),0)</f>
        <v>503</v>
      </c>
      <c r="D43" s="244"/>
      <c r="E43" s="244"/>
      <c r="F43" s="245"/>
      <c r="G43" s="3879"/>
    </row>
    <row r="44" spans="1:7" ht="13.5" customHeight="1">
      <c r="A44" s="888" t="s">
        <v>793</v>
      </c>
      <c r="B44" s="221" t="s">
        <v>2232</v>
      </c>
      <c r="C44" s="244">
        <f ca="1">ROUND(IF('数据-取费表'!B22&lt;=1,C40*F22*'数据-取费表'!B20/2,C40*(POWER((1+F22),'数据-取费表'!B20/2)-1)),4)</f>
        <v>5.0000000000000001E-4</v>
      </c>
      <c r="D44" s="244"/>
      <c r="E44" s="244"/>
      <c r="F44" s="245"/>
      <c r="G44" s="3880"/>
    </row>
    <row r="45" spans="1:7" s="220" customFormat="1" ht="13.5" customHeight="1">
      <c r="A45" s="261" t="s">
        <v>2233</v>
      </c>
      <c r="B45" s="250" t="s">
        <v>2199</v>
      </c>
      <c r="C45" s="251">
        <f ca="1">C46</f>
        <v>45266</v>
      </c>
      <c r="D45" s="241">
        <f ca="1">C47</f>
        <v>1.2999999999999999E-3</v>
      </c>
      <c r="E45" s="242" t="s">
        <v>2225</v>
      </c>
      <c r="F45" s="2537">
        <f ca="1">F27</f>
        <v>0.05</v>
      </c>
      <c r="G45" s="253" t="s">
        <v>2234</v>
      </c>
    </row>
    <row r="46" spans="1:7" s="220" customFormat="1" ht="13.5" customHeight="1">
      <c r="A46" s="888" t="s">
        <v>791</v>
      </c>
      <c r="B46" s="254" t="s">
        <v>2235</v>
      </c>
      <c r="C46" s="255">
        <f ca="1">ROUND((C33+C39)*F27,0)</f>
        <v>45266</v>
      </c>
      <c r="D46" s="269"/>
      <c r="E46" s="242"/>
      <c r="F46" s="252"/>
      <c r="G46" s="253"/>
    </row>
    <row r="47" spans="1:7" s="220" customFormat="1" ht="13.5" customHeight="1">
      <c r="A47" s="888" t="s">
        <v>792</v>
      </c>
      <c r="B47" s="254" t="s">
        <v>2236</v>
      </c>
      <c r="C47" s="244">
        <f ca="1">ROUND(C40*F27,4)</f>
        <v>1.2999999999999999E-3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1051091</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861895</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313.63</v>
      </c>
      <c r="E14" s="24">
        <f>'数据-取费表'!B35</f>
        <v>140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313.63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313.63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80" zoomScaleNormal="70" zoomScaleSheetLayoutView="80" workbookViewId="0">
      <selection activeCell="C13" sqref="C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667</v>
      </c>
      <c r="C2" s="1571" t="s">
        <v>1481</v>
      </c>
      <c r="D2" s="1571"/>
      <c r="E2" s="1572"/>
      <c r="F2" s="1573"/>
      <c r="G2" s="2935"/>
      <c r="H2" s="2924"/>
      <c r="I2" s="2924"/>
      <c r="J2" s="2924"/>
      <c r="K2" s="2925"/>
      <c r="L2" s="2924"/>
      <c r="M2" s="2924"/>
    </row>
    <row r="3" spans="1:37" ht="18" customHeight="1" thickBot="1">
      <c r="A3" s="1574" t="s">
        <v>1482</v>
      </c>
      <c r="B3" s="1575">
        <f ca="1">IF(ISERROR(B2*10000/F43),0,ROUND(B2*10000/F43,0))</f>
        <v>21267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v>
      </c>
      <c r="D5" s="1548" t="s">
        <v>1367</v>
      </c>
      <c r="E5" s="1203"/>
      <c r="F5" s="1204"/>
      <c r="G5" s="1568"/>
      <c r="H5" s="305">
        <v>1</v>
      </c>
      <c r="I5" s="306" t="s">
        <v>1366</v>
      </c>
      <c r="J5" s="1202">
        <f ca="1">J6+J10+J12</f>
        <v>63</v>
      </c>
      <c r="K5" s="1548" t="s">
        <v>1367</v>
      </c>
      <c r="L5" s="1203"/>
      <c r="M5" s="1204"/>
    </row>
    <row r="6" spans="1:37" ht="18" customHeight="1">
      <c r="A6" s="1201" t="s">
        <v>1003</v>
      </c>
      <c r="B6" s="3883" t="s">
        <v>1368</v>
      </c>
      <c r="C6" s="1206">
        <f ca="1">ROUND(F6*F8*F7*(1-F9)/10000,0)</f>
        <v>52</v>
      </c>
      <c r="D6" s="160" t="s">
        <v>2851</v>
      </c>
      <c r="E6" s="308" t="s">
        <v>1370</v>
      </c>
      <c r="F6" s="309">
        <f ca="1">INDIRECT("'数据-取费表'!u"&amp;$G$1)</f>
        <v>519000</v>
      </c>
      <c r="G6" s="1568"/>
      <c r="H6" s="1201" t="s">
        <v>1003</v>
      </c>
      <c r="I6" s="3883" t="s">
        <v>1368</v>
      </c>
      <c r="J6" s="307">
        <f ca="1">ROUND(M6*M8*M7*(1-M9)/10000,0)</f>
        <v>63</v>
      </c>
      <c r="K6" s="160" t="s">
        <v>2850</v>
      </c>
      <c r="L6" s="308" t="s">
        <v>1370</v>
      </c>
      <c r="M6" s="309">
        <f ca="1">INDIRECT("'数据-取费表'!z"&amp;$G$1)</f>
        <v>738704</v>
      </c>
    </row>
    <row r="7" spans="1:37" ht="18" customHeight="1">
      <c r="A7" s="1205"/>
      <c r="B7" s="3884"/>
      <c r="C7" s="1207"/>
      <c r="D7" s="313"/>
      <c r="E7" s="1208" t="s">
        <v>1371</v>
      </c>
      <c r="F7" s="309">
        <f ca="1">IF(INDIRECT("'数据-取费表'!ah"&amp;$G$1)="",INDIRECT("'数据-取费表'!k"&amp;$G$1),INDIRECT("'数据-取费表'!ah"&amp;$G$1))</f>
        <v>1</v>
      </c>
      <c r="G7" s="1568"/>
      <c r="H7" s="310"/>
      <c r="I7" s="3884"/>
      <c r="J7" s="312"/>
      <c r="K7" s="313"/>
      <c r="L7" s="308" t="s">
        <v>1371</v>
      </c>
      <c r="M7" s="309">
        <f ca="1">F7</f>
        <v>1</v>
      </c>
    </row>
    <row r="8" spans="1:37" ht="18" customHeight="1">
      <c r="A8" s="310"/>
      <c r="B8" s="3884"/>
      <c r="C8" s="312"/>
      <c r="D8" s="313"/>
      <c r="E8" s="308" t="s">
        <v>1372</v>
      </c>
      <c r="F8" s="309">
        <f ca="1">INDIRECT("'数据-取费表'!ai"&amp;$G$1)</f>
        <v>1</v>
      </c>
      <c r="G8" s="1568"/>
      <c r="H8" s="310"/>
      <c r="I8" s="3884"/>
      <c r="J8" s="312"/>
      <c r="K8" s="313"/>
      <c r="L8" s="308" t="s">
        <v>1372</v>
      </c>
      <c r="M8" s="309">
        <f ca="1">INDIRECT("'数据-取费表'!ai"&amp;$G$1)</f>
        <v>1</v>
      </c>
    </row>
    <row r="9" spans="1:37" ht="18" customHeight="1">
      <c r="A9" s="310"/>
      <c r="B9" s="3885"/>
      <c r="C9" s="312"/>
      <c r="D9" s="313"/>
      <c r="E9" s="308" t="s">
        <v>1373</v>
      </c>
      <c r="F9" s="318">
        <f ca="1">INDIRECT("'数据-取费表'!w"&amp;$G$1)</f>
        <v>0</v>
      </c>
      <c r="G9" s="1568"/>
      <c r="H9" s="310"/>
      <c r="I9" s="3885"/>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3545</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v>5.19</v>
      </c>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102</v>
      </c>
      <c r="D13" s="1241" t="s">
        <v>1380</v>
      </c>
      <c r="E13" s="1241" t="s">
        <v>1381</v>
      </c>
      <c r="F13" s="1242">
        <f ca="1">INDIRECT("'数据-取费表'!y"&amp;$G$1)</f>
        <v>0.82</v>
      </c>
      <c r="G13" s="1568"/>
      <c r="H13" s="1239">
        <v>2</v>
      </c>
      <c r="I13" s="1240" t="s">
        <v>1379</v>
      </c>
      <c r="J13" s="1200">
        <f ca="1">ROUND(J14*J15,0)</f>
        <v>102</v>
      </c>
      <c r="K13" s="1247" t="s">
        <v>1380</v>
      </c>
      <c r="L13" s="1576"/>
      <c r="M13" s="1577"/>
    </row>
    <row r="14" spans="1:37" ht="18" customHeight="1">
      <c r="A14" s="1113" t="s">
        <v>1002</v>
      </c>
      <c r="B14" s="308" t="s">
        <v>1382</v>
      </c>
      <c r="C14" s="324">
        <f ca="1">INDIRECT("'数据-取费表'!m"&amp;$G$1)+INDIRECT("'数据-取费表'!t"&amp;$G$1)</f>
        <v>78</v>
      </c>
      <c r="D14" s="1529" t="s">
        <v>1383</v>
      </c>
      <c r="E14" s="1526"/>
      <c r="F14" s="325"/>
      <c r="G14" s="1568"/>
      <c r="H14" s="1113" t="s">
        <v>1003</v>
      </c>
      <c r="I14" s="308" t="s">
        <v>1384</v>
      </c>
      <c r="J14" s="24">
        <f ca="1">C29</f>
        <v>124</v>
      </c>
      <c r="K14" s="15"/>
      <c r="L14" s="916"/>
      <c r="M14" s="917"/>
    </row>
    <row r="15" spans="1:37" s="1581" customFormat="1" ht="18" customHeight="1" thickBot="1">
      <c r="A15" s="1113" t="s">
        <v>1004</v>
      </c>
      <c r="B15" s="308" t="s">
        <v>1385</v>
      </c>
      <c r="C15" s="24">
        <f ca="1">ROUND(C14*F15,0)</f>
        <v>4</v>
      </c>
      <c r="D15" s="326" t="s">
        <v>1386</v>
      </c>
      <c r="E15" s="326" t="s">
        <v>1387</v>
      </c>
      <c r="F15" s="327">
        <f>'数据-取费表'!B33</f>
        <v>0.05</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成本法!C36</f>
        <v>17</v>
      </c>
      <c r="D16" s="308" t="s">
        <v>1386</v>
      </c>
      <c r="E16" s="308" t="s">
        <v>1387</v>
      </c>
      <c r="F16" s="328">
        <f ca="1">IF(INDIRECT("'数据-取费表'!c"&amp;$G$1)="住宅",'数据-取费表'!B34,0)</f>
        <v>0</v>
      </c>
      <c r="G16" s="1568"/>
      <c r="H16" s="1239" t="s">
        <v>998</v>
      </c>
      <c r="I16" s="1240" t="s">
        <v>1389</v>
      </c>
      <c r="J16" s="316">
        <f ca="1">ROUND(J17+J22+J23+J24,0)</f>
        <v>9</v>
      </c>
      <c r="K16" s="1247" t="s">
        <v>1390</v>
      </c>
      <c r="L16" s="1248"/>
      <c r="M16" s="1204"/>
    </row>
    <row r="17" spans="1:37" s="1581" customFormat="1" ht="18" customHeight="1">
      <c r="A17" s="1113" t="s">
        <v>1355</v>
      </c>
      <c r="B17" s="308" t="s">
        <v>1391</v>
      </c>
      <c r="C17" s="24">
        <f ca="1">ROUND(F17*(F43+INDIRECT("'数据-取费表'!S"&amp;$G$1))/10000,0)</f>
        <v>4</v>
      </c>
      <c r="D17" s="308" t="s">
        <v>1392</v>
      </c>
      <c r="E17" s="308" t="s">
        <v>1393</v>
      </c>
      <c r="F17" s="26">
        <f>'数据-取费表'!B35</f>
        <v>140</v>
      </c>
      <c r="G17" s="1580"/>
      <c r="H17" s="1113" t="s">
        <v>1003</v>
      </c>
      <c r="I17" s="308" t="s">
        <v>1394</v>
      </c>
      <c r="J17" s="2534">
        <f ca="1">ROUND(IF(AND(项目基本情况!B11="自然人",项目基本情况!B10="北京市"),J6*M17/(1+'数据-取费表'!C42),J18+J19+J20),0)</f>
        <v>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3.3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104</v>
      </c>
      <c r="D19" s="136" t="s">
        <v>1401</v>
      </c>
      <c r="E19" s="1544"/>
      <c r="F19" s="26"/>
      <c r="G19" s="1568"/>
      <c r="H19" s="1113" t="s">
        <v>1004</v>
      </c>
      <c r="I19" s="308" t="s">
        <v>1402</v>
      </c>
      <c r="J19" s="24">
        <f ca="1">IF(K19="按租金收入计税",ROUND(J6*M19/(1+'数据-取费表'!C42),2),ROUND(C29*M19*0.7,2))</f>
        <v>1.04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v>
      </c>
      <c r="D20" s="329" t="s">
        <v>1405</v>
      </c>
      <c r="E20" s="308" t="s">
        <v>1387</v>
      </c>
      <c r="F20" s="328">
        <f>'数据-取费表'!B37</f>
        <v>0.03</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1.9</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0.2</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0.6</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54</v>
      </c>
      <c r="K25" s="1255" t="s">
        <v>1429</v>
      </c>
      <c r="L25" s="1256"/>
      <c r="M25" s="1257"/>
    </row>
    <row r="26" spans="1:37">
      <c r="A26" s="1113" t="s">
        <v>1002</v>
      </c>
      <c r="B26" s="308" t="s">
        <v>1430</v>
      </c>
      <c r="C26" s="24">
        <f ca="1">ROUND((C19+C20)*F26,0)</f>
        <v>5</v>
      </c>
      <c r="D26" s="329" t="s">
        <v>1431</v>
      </c>
      <c r="E26" s="319" t="s">
        <v>1432</v>
      </c>
      <c r="F26" s="318">
        <f ca="1">INDIRECT("'数据-取费表'!q"&amp;$G$1)</f>
        <v>0.05</v>
      </c>
      <c r="G26" s="1568"/>
      <c r="H26" s="305" t="s">
        <v>1000</v>
      </c>
      <c r="I26" s="306" t="s">
        <v>1433</v>
      </c>
      <c r="J26" s="307">
        <f ca="1">IF(J5&lt;&gt;0,ROUND(J25*(1-((1+M28)/(1+M26))^M27)/(M26-M28),0),0)</f>
        <v>703</v>
      </c>
      <c r="K26" s="330" t="s">
        <v>1434</v>
      </c>
      <c r="L26" s="308" t="s">
        <v>1435</v>
      </c>
      <c r="M26" s="318">
        <f ca="1">INDIRECT("'数据-取费表'!I"&amp;$G$1)</f>
        <v>7.0000000000000007E-2</v>
      </c>
    </row>
    <row r="27" spans="1:37" ht="18" customHeight="1">
      <c r="A27" s="1113" t="s">
        <v>1004</v>
      </c>
      <c r="B27" s="308" t="s">
        <v>1436</v>
      </c>
      <c r="C27" s="24">
        <f ca="1">ROUND(F21*F26,4)</f>
        <v>1.2999999999999999E-3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124</v>
      </c>
      <c r="D29" s="1252"/>
      <c r="E29" s="1250"/>
      <c r="F29" s="1253"/>
      <c r="G29" s="1580"/>
      <c r="H29" s="340" t="s">
        <v>1001</v>
      </c>
      <c r="I29" s="341" t="s">
        <v>1444</v>
      </c>
      <c r="J29" s="342">
        <f ca="1">ROUND(J26/(1+F40)^F41,0)</f>
        <v>531</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1.9</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0.5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39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136</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4336</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-185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3087</v>
      </c>
      <c r="K47" s="1600" t="s">
        <v>1492</v>
      </c>
      <c r="L47" s="1601">
        <f ca="1">INDIRECT("'数据-取费表'!d"&amp;$G$1)</f>
        <v>40</v>
      </c>
      <c r="M47" s="1564" t="str">
        <f>IF(ISNUMBER(FIND("住宅",C1)),"住宅","非住宅")</f>
        <v>非住宅</v>
      </c>
      <c r="O47" s="1602" t="s">
        <v>1008</v>
      </c>
      <c r="P47" s="1603" t="s">
        <v>1493</v>
      </c>
      <c r="Q47" s="1604">
        <f ca="1">C40+J29</f>
        <v>667</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124</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464</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881" t="s">
        <v>1513</v>
      </c>
      <c r="L53" s="3882"/>
      <c r="O53" s="1602" t="s">
        <v>1014</v>
      </c>
      <c r="P53" s="1603" t="s">
        <v>1514</v>
      </c>
      <c r="Q53" s="1604">
        <f ca="1">Q47+Q48</f>
        <v>667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102</v>
      </c>
      <c r="D56" s="1631"/>
      <c r="E56" s="1632"/>
      <c r="F56" s="1624"/>
      <c r="I56" s="1633" t="s">
        <v>1519</v>
      </c>
      <c r="J56" s="1634" t="s">
        <v>3073</v>
      </c>
      <c r="K56" s="1605" t="s">
        <v>1520</v>
      </c>
      <c r="L56" s="1608" t="str">
        <f ca="1">IF(L48&lt;J51,"——",L48-J53)</f>
        <v>——</v>
      </c>
      <c r="O56" s="1602" t="s">
        <v>1008</v>
      </c>
      <c r="P56" s="1603" t="s">
        <v>1493</v>
      </c>
      <c r="Q56" s="1604">
        <f ca="1">C40+J29</f>
        <v>667</v>
      </c>
      <c r="R56" s="1604" t="s">
        <v>1494</v>
      </c>
    </row>
    <row r="57" spans="1:18" s="1568" customFormat="1" ht="24.75" thickBot="1">
      <c r="A57" s="1635"/>
      <c r="B57" s="1081" t="s">
        <v>1443</v>
      </c>
      <c r="C57" s="244">
        <f ca="1">C29</f>
        <v>124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10.42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667</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1.9</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0.2</v>
      </c>
      <c r="D65" s="1095" t="s">
        <v>1419</v>
      </c>
      <c r="E65" s="1081" t="s">
        <v>1420</v>
      </c>
      <c r="F65" s="336">
        <f t="shared" ca="1" si="0"/>
        <v>1.5E-3</v>
      </c>
      <c r="I65" s="1646" t="s">
        <v>1544</v>
      </c>
      <c r="J65" s="1647">
        <v>40</v>
      </c>
      <c r="K65" s="1647">
        <v>30</v>
      </c>
      <c r="L65" s="1647">
        <v>50</v>
      </c>
      <c r="M65" s="1649">
        <v>0.02</v>
      </c>
      <c r="O65" s="1602" t="s">
        <v>1008</v>
      </c>
      <c r="P65" s="1603" t="s">
        <v>1545</v>
      </c>
      <c r="Q65" s="1604">
        <f ca="1">C40+J29</f>
        <v>667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-14</v>
      </c>
      <c r="D67" s="1094" t="s">
        <v>1429</v>
      </c>
      <c r="E67" s="1099"/>
      <c r="F67" s="1100"/>
      <c r="O67" s="1612" t="s">
        <v>1010</v>
      </c>
      <c r="P67" s="1603" t="s">
        <v>1527</v>
      </c>
      <c r="Q67" s="1650">
        <f ca="1">L51</f>
        <v>464</v>
      </c>
      <c r="R67" s="1604" t="s">
        <v>1547</v>
      </c>
    </row>
    <row r="68" spans="1:18" s="1568" customFormat="1" ht="16.5" thickBot="1">
      <c r="A68" s="1078" t="s">
        <v>1000</v>
      </c>
      <c r="B68" s="1079" t="s">
        <v>1450</v>
      </c>
      <c r="C68" s="307">
        <f ca="1">ROUND(C67*(1-((1+F70)/(1+F68))^F69)/(F68-F70),0)</f>
        <v>-49</v>
      </c>
      <c r="D68" s="1096" t="s">
        <v>1434</v>
      </c>
      <c r="E68" s="1081" t="s">
        <v>1435</v>
      </c>
      <c r="F68" s="318">
        <f ca="1">F40</f>
        <v>7.0000000000000007E-2</v>
      </c>
      <c r="O68" s="1612" t="s">
        <v>1011</v>
      </c>
      <c r="P68" s="1651" t="s">
        <v>1548</v>
      </c>
      <c r="Q68" s="1604">
        <f ca="1">ROUND(Q69-Q70*Q71,0)</f>
        <v>31</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39</v>
      </c>
      <c r="R69" s="1604" t="s">
        <v>1494</v>
      </c>
    </row>
    <row r="70" spans="1:18" s="1568" customFormat="1" ht="13.5" thickBot="1">
      <c r="A70" s="1085"/>
      <c r="B70" s="1086"/>
      <c r="C70" s="316"/>
      <c r="D70" s="1097"/>
      <c r="E70" s="1081" t="s">
        <v>1442</v>
      </c>
      <c r="F70" s="1185"/>
      <c r="O70" s="1612" t="s">
        <v>1017</v>
      </c>
      <c r="P70" s="1651" t="s">
        <v>1550</v>
      </c>
      <c r="Q70" s="1604">
        <f ca="1">C13</f>
        <v>102</v>
      </c>
      <c r="R70" s="1604" t="s">
        <v>1494</v>
      </c>
    </row>
    <row r="71" spans="1:18" s="1568" customFormat="1" ht="13.5" thickBot="1">
      <c r="A71" s="1102" t="s">
        <v>1001</v>
      </c>
      <c r="B71" s="1103" t="s">
        <v>1452</v>
      </c>
      <c r="C71" s="342">
        <f ca="1">ROUND(C68*10000/F71,0)</f>
        <v>-1562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8</v>
      </c>
      <c r="D75" s="1568"/>
      <c r="E75" s="1568"/>
      <c r="F75" s="1568"/>
      <c r="K75" s="1586"/>
      <c r="L75" s="1568"/>
      <c r="O75" s="1602" t="s">
        <v>1014</v>
      </c>
      <c r="P75" s="1603" t="s">
        <v>1514</v>
      </c>
      <c r="Q75" s="1604">
        <f ca="1">Q65+Q66</f>
        <v>667</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0.79500000000000004</v>
      </c>
    </row>
    <row r="80" spans="1:18">
      <c r="B80" s="346" t="s">
        <v>1476</v>
      </c>
      <c r="C80" s="280">
        <f ca="1">ROUND(C75/C39,3)</f>
        <v>0.20499999999999999</v>
      </c>
    </row>
    <row r="81" spans="2:3">
      <c r="B81" s="276" t="s">
        <v>1477</v>
      </c>
      <c r="C81" s="244"/>
    </row>
    <row r="82" spans="2:3">
      <c r="B82" s="279" t="s">
        <v>1478</v>
      </c>
      <c r="C82" s="281">
        <f ca="1">1-C83</f>
        <v>0.25</v>
      </c>
    </row>
    <row r="83" spans="2:3">
      <c r="B83" s="279" t="s">
        <v>1479</v>
      </c>
      <c r="C83" s="280">
        <f ca="1">ROUND(C13/C40,3)</f>
        <v>0.75</v>
      </c>
    </row>
  </sheetData>
  <sheetProtection algorithmName="SHA-512" hashValue="wbAde2zR52yKEpzDeNGrCK8O9zP6OuVZw681oUW9ywv2OMowqgl2lYz1Jnkxz2zl9Z+frqRtY+AS9JAVOFa4TA==" saltValue="JX9vPOr0I7IJKrwQ8O/14w==" spinCount="100000"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698</v>
      </c>
      <c r="C2" s="1571" t="s">
        <v>1556</v>
      </c>
      <c r="D2" s="1655">
        <f ca="1">C40+J29+L46</f>
        <v>6976459</v>
      </c>
      <c r="E2" s="1572" t="s">
        <v>1557</v>
      </c>
      <c r="F2" s="1573"/>
      <c r="G2" s="2935"/>
      <c r="H2" s="2924"/>
      <c r="I2" s="2924"/>
      <c r="J2" s="2924"/>
      <c r="K2" s="2925"/>
      <c r="L2" s="2924"/>
      <c r="M2" s="2924"/>
    </row>
    <row r="3" spans="1:37" ht="18" customHeight="1" thickBot="1">
      <c r="A3" s="1574" t="s">
        <v>1558</v>
      </c>
      <c r="B3" s="1575">
        <f ca="1">IF(ISERROR(D2/F43),0,ROUND(D2/F43,0))</f>
        <v>22244</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627898</v>
      </c>
      <c r="K5" s="1548" t="s">
        <v>1566</v>
      </c>
      <c r="L5" s="1203"/>
      <c r="M5" s="1204"/>
    </row>
    <row r="6" spans="1:37" ht="18" customHeight="1">
      <c r="A6" s="1201" t="s">
        <v>1003</v>
      </c>
      <c r="B6" s="3883" t="s">
        <v>1368</v>
      </c>
      <c r="C6" s="1206">
        <f ca="1">ROUND(F6*F8*F7*(1-F9),0)</f>
        <v>519000</v>
      </c>
      <c r="D6" s="160" t="s">
        <v>2848</v>
      </c>
      <c r="E6" s="308" t="s">
        <v>1370</v>
      </c>
      <c r="F6" s="309">
        <f ca="1">INDIRECT("'数据-取费表'!u"&amp;$G$1)</f>
        <v>519000</v>
      </c>
      <c r="G6" s="1568"/>
      <c r="H6" s="1201" t="s">
        <v>1003</v>
      </c>
      <c r="I6" s="3883" t="s">
        <v>1368</v>
      </c>
      <c r="J6" s="307">
        <f ca="1">ROUND(M6*M8*M7*(1-M9),0)</f>
        <v>627898</v>
      </c>
      <c r="K6" s="1560" t="s">
        <v>2849</v>
      </c>
      <c r="L6" s="308" t="s">
        <v>1370</v>
      </c>
      <c r="M6" s="309">
        <f ca="1">INDIRECT("'数据-取费表'!z"&amp;$G$1)</f>
        <v>738704</v>
      </c>
    </row>
    <row r="7" spans="1:37" ht="18" customHeight="1">
      <c r="A7" s="1205"/>
      <c r="B7" s="3884"/>
      <c r="C7" s="1207"/>
      <c r="D7" s="313"/>
      <c r="E7" s="1208" t="s">
        <v>1371</v>
      </c>
      <c r="F7" s="309">
        <f ca="1">IF(INDIRECT("'数据-取费表'!ah"&amp;$G$1)="",INDIRECT("'数据-取费表'!k"&amp;$G$1),INDIRECT("'数据-取费表'!ah"&amp;$G$1))</f>
        <v>1</v>
      </c>
      <c r="G7" s="1568"/>
      <c r="H7" s="310"/>
      <c r="I7" s="3884"/>
      <c r="J7" s="312"/>
      <c r="K7" s="313"/>
      <c r="L7" s="308" t="s">
        <v>1371</v>
      </c>
      <c r="M7" s="309">
        <f ca="1">F7</f>
        <v>1</v>
      </c>
    </row>
    <row r="8" spans="1:37" ht="18" customHeight="1">
      <c r="A8" s="310"/>
      <c r="B8" s="3884"/>
      <c r="C8" s="312"/>
      <c r="D8" s="313"/>
      <c r="E8" s="308" t="s">
        <v>1372</v>
      </c>
      <c r="F8" s="309">
        <f ca="1">INDIRECT("'数据-取费表'!ai"&amp;$G$1)</f>
        <v>1</v>
      </c>
      <c r="G8" s="1568"/>
      <c r="H8" s="310"/>
      <c r="I8" s="3884"/>
      <c r="J8" s="312"/>
      <c r="K8" s="313"/>
      <c r="L8" s="308" t="s">
        <v>1372</v>
      </c>
      <c r="M8" s="309">
        <f ca="1">INDIRECT("'数据-取费表'!ai"&amp;$G$1)</f>
        <v>1</v>
      </c>
    </row>
    <row r="9" spans="1:37" ht="18" customHeight="1">
      <c r="A9" s="310"/>
      <c r="B9" s="3885"/>
      <c r="C9" s="312"/>
      <c r="D9" s="313"/>
      <c r="E9" s="308" t="s">
        <v>1373</v>
      </c>
      <c r="F9" s="318">
        <f ca="1">INDIRECT("'数据-取费表'!w"&amp;$G$1)</f>
        <v>0</v>
      </c>
      <c r="G9" s="1568"/>
      <c r="H9" s="310"/>
      <c r="I9" s="3885"/>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861895</v>
      </c>
      <c r="D13" s="1241" t="s">
        <v>1380</v>
      </c>
      <c r="E13" s="1241" t="s">
        <v>1381</v>
      </c>
      <c r="F13" s="1242">
        <f ca="1">INDIRECT("'数据-取费表'!y"&amp;$G$1)</f>
        <v>0.82</v>
      </c>
      <c r="G13" s="1568"/>
      <c r="H13" s="1239">
        <v>2</v>
      </c>
      <c r="I13" s="1240" t="s">
        <v>1379</v>
      </c>
      <c r="J13" s="1200">
        <f ca="1">ROUND(J14*J15,0)</f>
        <v>861895</v>
      </c>
      <c r="K13" s="1247" t="s">
        <v>1380</v>
      </c>
      <c r="L13" s="1576"/>
      <c r="M13" s="1577"/>
    </row>
    <row r="14" spans="1:37" ht="18" customHeight="1">
      <c r="A14" s="1113" t="s">
        <v>1002</v>
      </c>
      <c r="B14" s="308" t="s">
        <v>1382</v>
      </c>
      <c r="C14" s="324">
        <f ca="1">ROUND(INDIRECT("'数据-取费表'!l"&amp;$G$1)*F43+'数据-取费表'!L14*INDIRECT("'数据-取费表'!S"&amp;$G$1),0)</f>
        <v>784075</v>
      </c>
      <c r="D14" s="1529" t="s">
        <v>1383</v>
      </c>
      <c r="E14" s="1526"/>
      <c r="F14" s="325"/>
      <c r="G14" s="1568"/>
      <c r="H14" s="1113" t="s">
        <v>1003</v>
      </c>
      <c r="I14" s="308" t="s">
        <v>1384</v>
      </c>
      <c r="J14" s="24">
        <f ca="1">C29</f>
        <v>1051091</v>
      </c>
      <c r="K14" s="15"/>
      <c r="L14" s="916"/>
      <c r="M14" s="917"/>
    </row>
    <row r="15" spans="1:37" s="1581" customFormat="1" ht="18" customHeight="1" thickBot="1">
      <c r="A15" s="1113" t="s">
        <v>1004</v>
      </c>
      <c r="B15" s="308" t="s">
        <v>1385</v>
      </c>
      <c r="C15" s="24">
        <f ca="1">ROUND(C14*F15,0)</f>
        <v>39204</v>
      </c>
      <c r="D15" s="326" t="s">
        <v>1386</v>
      </c>
      <c r="E15" s="326" t="s">
        <v>1387</v>
      </c>
      <c r="F15" s="327">
        <f>'数据-取费表'!B33</f>
        <v>0.05</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78039</v>
      </c>
      <c r="K16" s="1247" t="s">
        <v>1390</v>
      </c>
      <c r="L16" s="1248"/>
      <c r="M16" s="1204"/>
    </row>
    <row r="17" spans="1:37" s="1581" customFormat="1" ht="18" customHeight="1">
      <c r="A17" s="1113" t="s">
        <v>1355</v>
      </c>
      <c r="B17" s="308" t="s">
        <v>1391</v>
      </c>
      <c r="C17" s="24">
        <f ca="1">ROUND(F17*(F43+INDIRECT("'数据-取费表'!S"&amp;$G$1)),0)</f>
        <v>43908</v>
      </c>
      <c r="D17" s="308" t="s">
        <v>1392</v>
      </c>
      <c r="E17" s="308" t="s">
        <v>1393</v>
      </c>
      <c r="F17" s="26">
        <f>'数据-取费表'!B35</f>
        <v>140</v>
      </c>
      <c r="G17" s="1580"/>
      <c r="H17" s="1113" t="s">
        <v>1003</v>
      </c>
      <c r="I17" s="308" t="s">
        <v>1394</v>
      </c>
      <c r="J17" s="2534">
        <f ca="1">ROUND(IF(AND(项目基本情况!B11="自然人",项目基本情况!B10="北京市"),J6*M17/(1+'数据-取费表'!C42),J18+J19+J20),0)</f>
        <v>54701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11761</v>
      </c>
      <c r="D18" s="308" t="s">
        <v>1386</v>
      </c>
      <c r="E18" s="308" t="s">
        <v>1387</v>
      </c>
      <c r="F18" s="328">
        <f>'数据-取费表'!B36</f>
        <v>1.4999999999999999E-2</v>
      </c>
      <c r="G18" s="1580"/>
      <c r="H18" s="1113" t="s">
        <v>1002</v>
      </c>
      <c r="I18" s="308" t="s">
        <v>1398</v>
      </c>
      <c r="J18" s="24">
        <f ca="1">ROUND(J6*M18/(1+'数据-取费表'!C42),0)</f>
        <v>32890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878948</v>
      </c>
      <c r="D19" s="136" t="s">
        <v>1401</v>
      </c>
      <c r="E19" s="1544"/>
      <c r="F19" s="26"/>
      <c r="G19" s="1568"/>
      <c r="H19" s="1113" t="s">
        <v>1004</v>
      </c>
      <c r="I19" s="308" t="s">
        <v>1402</v>
      </c>
      <c r="J19" s="24">
        <f ca="1">IF(K19="按租金收入计税",ROUND(J6*M19/(1+'数据-取费表'!C42),0),ROUND(C29*M19*0.7,0))</f>
        <v>8829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26368</v>
      </c>
      <c r="D20" s="329" t="s">
        <v>1405</v>
      </c>
      <c r="E20" s="308" t="s">
        <v>1387</v>
      </c>
      <c r="F20" s="328">
        <f>'数据-取费表'!B37</f>
        <v>0.03</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15766</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17263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1293</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6279</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549859</v>
      </c>
      <c r="K25" s="1255" t="s">
        <v>1429</v>
      </c>
      <c r="L25" s="1256"/>
      <c r="M25" s="1257"/>
    </row>
    <row r="26" spans="1:37" ht="18" customHeight="1">
      <c r="A26" s="1113" t="s">
        <v>1002</v>
      </c>
      <c r="B26" s="308" t="s">
        <v>1430</v>
      </c>
      <c r="C26" s="24">
        <f ca="1">ROUND((C19+C20)*F26,0)</f>
        <v>45266</v>
      </c>
      <c r="D26" s="329" t="s">
        <v>1431</v>
      </c>
      <c r="E26" s="319" t="s">
        <v>1432</v>
      </c>
      <c r="F26" s="318">
        <f ca="1">INDIRECT("'数据-取费表'!q"&amp;$G$1)</f>
        <v>0.05</v>
      </c>
      <c r="G26" s="1568"/>
      <c r="H26" s="305" t="s">
        <v>1000</v>
      </c>
      <c r="I26" s="306" t="s">
        <v>1433</v>
      </c>
      <c r="J26" s="307">
        <f ca="1">IF(J5&lt;&gt;0,ROUND(J25*(1-((1+M28)/(1+M26))^M27)/(M26-M28),0),0)</f>
        <v>7160982</v>
      </c>
      <c r="K26" s="330" t="s">
        <v>1434</v>
      </c>
      <c r="L26" s="308" t="s">
        <v>1435</v>
      </c>
      <c r="M26" s="318">
        <f ca="1">INDIRECT("'数据-取费表'!I"&amp;$G$1)</f>
        <v>7.0000000000000007E-2</v>
      </c>
    </row>
    <row r="27" spans="1:37" ht="18" customHeight="1">
      <c r="A27" s="1113" t="s">
        <v>1004</v>
      </c>
      <c r="B27" s="308" t="s">
        <v>1436</v>
      </c>
      <c r="C27" s="24">
        <f ca="1">ROUND(F21*F26,4)</f>
        <v>1.2999999999999999E-3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1051091</v>
      </c>
      <c r="D29" s="1252"/>
      <c r="E29" s="1250"/>
      <c r="F29" s="1253"/>
      <c r="G29" s="1580"/>
      <c r="H29" s="340" t="s">
        <v>1001</v>
      </c>
      <c r="I29" s="341" t="s">
        <v>1444</v>
      </c>
      <c r="J29" s="342">
        <f ca="1">ROUND(J26/(1+F40)^F41,0)</f>
        <v>5411576</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71253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48997</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8829</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15766</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1293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5196.5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448396</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1564883</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4990</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-1700538</v>
      </c>
      <c r="D45" s="1657" t="s">
        <v>1569</v>
      </c>
      <c r="E45" s="1584"/>
      <c r="F45" s="1584"/>
      <c r="O45" s="1587" t="s">
        <v>1484</v>
      </c>
      <c r="P45" s="1645"/>
      <c r="Q45" s="1645"/>
      <c r="R45" s="1645"/>
    </row>
    <row r="46" spans="1:18" s="1568" customFormat="1" ht="13.5" thickBot="1">
      <c r="A46" s="1588" t="s">
        <v>1485</v>
      </c>
      <c r="C46" s="1589">
        <f ca="1">ROUND(C45/10000,0)</f>
        <v>-170</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6976459</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1051091</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5587137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881" t="s">
        <v>1513</v>
      </c>
      <c r="L53" s="3882"/>
      <c r="O53" s="1602" t="s">
        <v>1014</v>
      </c>
      <c r="P53" s="1603" t="s">
        <v>1514</v>
      </c>
      <c r="Q53" s="1604">
        <f ca="1">Q47+Q48</f>
        <v>6976459</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861895</v>
      </c>
      <c r="D56" s="1631"/>
      <c r="E56" s="1632"/>
      <c r="F56" s="1624"/>
      <c r="I56" s="1633" t="s">
        <v>1519</v>
      </c>
      <c r="J56" s="1634" t="s">
        <v>3073</v>
      </c>
      <c r="K56" s="1605" t="s">
        <v>1520</v>
      </c>
      <c r="L56" s="1608" t="str">
        <f ca="1">IF(L48&lt;J51,"——",L48-J51)</f>
        <v>——</v>
      </c>
      <c r="O56" s="1602" t="s">
        <v>1008</v>
      </c>
      <c r="P56" s="1603" t="s">
        <v>1493</v>
      </c>
      <c r="Q56" s="1604">
        <f ca="1">C40+J29</f>
        <v>6976459</v>
      </c>
      <c r="R56" s="1604" t="s">
        <v>1494</v>
      </c>
    </row>
    <row r="57" spans="1:18" s="1568" customFormat="1" ht="24.75" thickBot="1">
      <c r="A57" s="1635"/>
      <c r="B57" s="1081" t="s">
        <v>1443</v>
      </c>
      <c r="C57" s="244">
        <f ca="1">C29</f>
        <v>1051091</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38870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21811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8829</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6976459</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15766</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1293</v>
      </c>
      <c r="D65" s="1095" t="s">
        <v>1419</v>
      </c>
      <c r="E65" s="1081" t="s">
        <v>1420</v>
      </c>
      <c r="F65" s="336">
        <f t="shared" ca="1" si="0"/>
        <v>1.5E-3</v>
      </c>
      <c r="I65" s="1646" t="s">
        <v>1544</v>
      </c>
      <c r="J65" s="1647">
        <v>40</v>
      </c>
      <c r="K65" s="1647">
        <v>30</v>
      </c>
      <c r="L65" s="1647">
        <v>50</v>
      </c>
      <c r="M65" s="1649">
        <v>0.02</v>
      </c>
      <c r="O65" s="1602" t="s">
        <v>1008</v>
      </c>
      <c r="P65" s="1603" t="s">
        <v>1545</v>
      </c>
      <c r="Q65" s="1604">
        <f ca="1">C40+J29</f>
        <v>6976459</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-38870</v>
      </c>
      <c r="D67" s="1094" t="s">
        <v>1429</v>
      </c>
      <c r="E67" s="1099"/>
      <c r="F67" s="1100"/>
      <c r="O67" s="1612" t="s">
        <v>1010</v>
      </c>
      <c r="P67" s="1603" t="s">
        <v>1527</v>
      </c>
      <c r="Q67" s="1650">
        <f ca="1">L51</f>
        <v>5587137</v>
      </c>
      <c r="R67" s="1604" t="s">
        <v>1547</v>
      </c>
    </row>
    <row r="68" spans="1:18" s="1568" customFormat="1" ht="16.5" thickBot="1">
      <c r="A68" s="1078" t="s">
        <v>1000</v>
      </c>
      <c r="B68" s="1079" t="s">
        <v>1450</v>
      </c>
      <c r="C68" s="307">
        <f ca="1">ROUND(C67*(1-((1+F70)/(1+F68))^F69)/(F68-F70),0)</f>
        <v>-135655</v>
      </c>
      <c r="D68" s="1096" t="s">
        <v>1434</v>
      </c>
      <c r="E68" s="1081" t="s">
        <v>1435</v>
      </c>
      <c r="F68" s="318">
        <f ca="1">F40</f>
        <v>7.0000000000000007E-2</v>
      </c>
      <c r="O68" s="1612" t="s">
        <v>1011</v>
      </c>
      <c r="P68" s="1651" t="s">
        <v>1548</v>
      </c>
      <c r="Q68" s="1604">
        <f ca="1">ROUND(Q69-Q70*Q71,0)</f>
        <v>379444</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448396</v>
      </c>
      <c r="R69" s="1604" t="s">
        <v>1494</v>
      </c>
    </row>
    <row r="70" spans="1:18" s="1568" customFormat="1" ht="13.5" thickBot="1">
      <c r="A70" s="1085"/>
      <c r="B70" s="1086"/>
      <c r="C70" s="316"/>
      <c r="D70" s="1097"/>
      <c r="E70" s="1081" t="s">
        <v>1442</v>
      </c>
      <c r="F70" s="1185">
        <f ca="1">F42</f>
        <v>0</v>
      </c>
      <c r="O70" s="1612" t="s">
        <v>1017</v>
      </c>
      <c r="P70" s="1651" t="s">
        <v>1550</v>
      </c>
      <c r="Q70" s="1604">
        <f ca="1">C13</f>
        <v>861895</v>
      </c>
      <c r="R70" s="1604" t="s">
        <v>1494</v>
      </c>
    </row>
    <row r="71" spans="1:18" s="1568" customFormat="1" ht="13.5" thickBot="1">
      <c r="A71" s="1102" t="s">
        <v>1001</v>
      </c>
      <c r="B71" s="1103" t="s">
        <v>1452</v>
      </c>
      <c r="C71" s="342">
        <f ca="1">ROUND(C68/F71,0)</f>
        <v>-433</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68952</v>
      </c>
      <c r="D75" s="1568"/>
      <c r="E75" s="1568"/>
      <c r="F75" s="1568"/>
      <c r="K75" s="1586"/>
      <c r="L75" s="1568"/>
      <c r="O75" s="1602" t="s">
        <v>1014</v>
      </c>
      <c r="P75" s="1603" t="s">
        <v>1514</v>
      </c>
      <c r="Q75" s="1604">
        <f ca="1">Q65+Q66</f>
        <v>6976459</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0.84599999999999997</v>
      </c>
    </row>
    <row r="80" spans="1:18">
      <c r="B80" s="346" t="s">
        <v>1476</v>
      </c>
      <c r="C80" s="280">
        <f ca="1">ROUND(C75/C39,3)</f>
        <v>0.154</v>
      </c>
    </row>
    <row r="81" spans="2:3">
      <c r="B81" s="276" t="s">
        <v>1477</v>
      </c>
      <c r="C81" s="244"/>
    </row>
    <row r="82" spans="2:3">
      <c r="B82" s="279" t="s">
        <v>1478</v>
      </c>
      <c r="C82" s="281">
        <f ca="1">1-C83</f>
        <v>0.44899999999999995</v>
      </c>
    </row>
    <row r="83" spans="2:3">
      <c r="B83" s="279" t="s">
        <v>1479</v>
      </c>
      <c r="C83" s="280">
        <f ca="1">ROUND(C13/C40,3)</f>
        <v>0.55100000000000005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698</v>
      </c>
      <c r="C2" s="2058" t="s">
        <v>2340</v>
      </c>
      <c r="D2" s="2059" t="s">
        <v>2341</v>
      </c>
      <c r="E2" s="2833">
        <f>SUM(E6:E13)</f>
        <v>313.63</v>
      </c>
      <c r="F2" s="2936"/>
      <c r="G2" s="1674"/>
      <c r="H2" s="1674"/>
      <c r="I2" s="1674"/>
      <c r="J2" s="1674"/>
      <c r="K2" s="1674"/>
      <c r="L2" s="1674"/>
      <c r="M2" s="1674"/>
      <c r="N2" s="1674"/>
      <c r="O2" s="1674"/>
      <c r="P2" s="1674"/>
      <c r="Q2" s="1674"/>
      <c r="R2" s="1674"/>
      <c r="S2" s="1674"/>
    </row>
    <row r="3" spans="1:22" ht="15.75">
      <c r="A3" s="2056" t="s">
        <v>1360</v>
      </c>
      <c r="B3" s="2827">
        <f ca="1">ROUND(B2*10000/E2,0)</f>
        <v>22256</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886" t="s">
        <v>2343</v>
      </c>
      <c r="C5" s="3887"/>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698</v>
      </c>
      <c r="C6" s="2058" t="s">
        <v>2340</v>
      </c>
      <c r="D6" s="2938"/>
      <c r="E6" s="2832">
        <f>IF(OR(A6=0,F6="否"),0,'数据-取费表'!K6+'数据-取费表'!S6)</f>
        <v>313.63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888" t="s">
        <v>1044</v>
      </c>
      <c r="B1" s="3889"/>
      <c r="C1" s="3890"/>
      <c r="D1" s="3891">
        <f>SUM(I10,I15,I20,I21,I23)</f>
        <v>0</v>
      </c>
      <c r="E1" s="3891"/>
      <c r="F1" s="3891"/>
      <c r="G1" s="3891"/>
      <c r="H1" s="3891"/>
      <c r="I1" s="3892"/>
    </row>
    <row r="2" spans="1:9">
      <c r="A2" s="3893" t="s">
        <v>1045</v>
      </c>
      <c r="B2" s="3894" t="s">
        <v>1046</v>
      </c>
      <c r="C2" s="3894"/>
      <c r="D2" s="1211" t="s">
        <v>1047</v>
      </c>
      <c r="E2" s="1211" t="s">
        <v>1048</v>
      </c>
      <c r="F2" s="1211" t="s">
        <v>1049</v>
      </c>
      <c r="G2" s="1211" t="s">
        <v>1050</v>
      </c>
      <c r="H2" s="1211" t="s">
        <v>1051</v>
      </c>
      <c r="I2" s="1212" t="s">
        <v>1052</v>
      </c>
    </row>
    <row r="3" spans="1:9">
      <c r="A3" s="3893"/>
      <c r="B3" s="3894" t="s">
        <v>1053</v>
      </c>
      <c r="C3" s="3894"/>
      <c r="D3" s="1213"/>
      <c r="E3" s="1211"/>
      <c r="F3" s="1214"/>
      <c r="G3" s="1214"/>
      <c r="H3" s="1215"/>
      <c r="I3" s="1216">
        <f>ROUND(D3*E3*F3*G3*H3/10000,0)</f>
        <v>0</v>
      </c>
    </row>
    <row r="4" spans="1:9">
      <c r="A4" s="3893"/>
      <c r="B4" s="3894" t="s">
        <v>1054</v>
      </c>
      <c r="C4" s="3894"/>
      <c r="D4" s="1213"/>
      <c r="E4" s="1211"/>
      <c r="F4" s="1214"/>
      <c r="G4" s="1214"/>
      <c r="H4" s="1215"/>
      <c r="I4" s="1216">
        <f t="shared" ref="I4:I9" si="0">ROUND(D4*E4*F4*G4*H4/10000,0)</f>
        <v>0</v>
      </c>
    </row>
    <row r="5" spans="1:9">
      <c r="A5" s="3893"/>
      <c r="B5" s="3894" t="s">
        <v>1055</v>
      </c>
      <c r="C5" s="3894"/>
      <c r="D5" s="1213"/>
      <c r="E5" s="1211"/>
      <c r="F5" s="1214"/>
      <c r="G5" s="1214"/>
      <c r="H5" s="1215"/>
      <c r="I5" s="1216">
        <f t="shared" si="0"/>
        <v>0</v>
      </c>
    </row>
    <row r="6" spans="1:9">
      <c r="A6" s="3893"/>
      <c r="B6" s="3894" t="s">
        <v>1056</v>
      </c>
      <c r="C6" s="3894"/>
      <c r="D6" s="1213"/>
      <c r="E6" s="1211"/>
      <c r="F6" s="1214"/>
      <c r="G6" s="1214"/>
      <c r="H6" s="1215"/>
      <c r="I6" s="1216">
        <f t="shared" si="0"/>
        <v>0</v>
      </c>
    </row>
    <row r="7" spans="1:9">
      <c r="A7" s="3893"/>
      <c r="B7" s="3894" t="s">
        <v>1057</v>
      </c>
      <c r="C7" s="3894"/>
      <c r="D7" s="1213"/>
      <c r="E7" s="1211"/>
      <c r="F7" s="1214"/>
      <c r="G7" s="1214"/>
      <c r="H7" s="1215"/>
      <c r="I7" s="1216">
        <f t="shared" si="0"/>
        <v>0</v>
      </c>
    </row>
    <row r="8" spans="1:9">
      <c r="A8" s="3893"/>
      <c r="B8" s="3894" t="s">
        <v>1058</v>
      </c>
      <c r="C8" s="3894"/>
      <c r="D8" s="1213"/>
      <c r="E8" s="1211"/>
      <c r="F8" s="1214"/>
      <c r="G8" s="1214"/>
      <c r="H8" s="1215"/>
      <c r="I8" s="1216">
        <f t="shared" si="0"/>
        <v>0</v>
      </c>
    </row>
    <row r="9" spans="1:9">
      <c r="A9" s="3893"/>
      <c r="B9" s="3894" t="s">
        <v>1059</v>
      </c>
      <c r="C9" s="3894"/>
      <c r="D9" s="1213"/>
      <c r="E9" s="1211"/>
      <c r="F9" s="1214"/>
      <c r="G9" s="1214"/>
      <c r="H9" s="1215"/>
      <c r="I9" s="1216">
        <f t="shared" si="0"/>
        <v>0</v>
      </c>
    </row>
    <row r="10" spans="1:9">
      <c r="A10" s="3893"/>
      <c r="B10" s="3895" t="s">
        <v>1060</v>
      </c>
      <c r="C10" s="3895"/>
      <c r="D10" s="1217"/>
      <c r="E10" s="1217" t="e">
        <f>ROUND(D1*10000/D10/H9,0)</f>
        <v>#DIV/0!</v>
      </c>
      <c r="F10" s="1218"/>
      <c r="G10" s="1218"/>
      <c r="H10" s="1219"/>
      <c r="I10" s="1220">
        <f>SUM(I3:I9)</f>
        <v>0</v>
      </c>
    </row>
    <row r="11" spans="1:9" ht="14.25">
      <c r="A11" s="3893" t="s">
        <v>1061</v>
      </c>
      <c r="B11" s="3894" t="s">
        <v>1062</v>
      </c>
      <c r="C11" s="3894"/>
      <c r="D11" s="1213" t="s">
        <v>1063</v>
      </c>
      <c r="E11" s="1213" t="s">
        <v>1064</v>
      </c>
      <c r="F11" s="1214" t="s">
        <v>1065</v>
      </c>
      <c r="G11" s="1214" t="s">
        <v>1051</v>
      </c>
      <c r="H11" s="1221" t="s">
        <v>1066</v>
      </c>
      <c r="I11" s="1212" t="s">
        <v>1052</v>
      </c>
    </row>
    <row r="12" spans="1:9">
      <c r="A12" s="3893"/>
      <c r="B12" s="3894" t="s">
        <v>1067</v>
      </c>
      <c r="C12" s="3894"/>
      <c r="D12" s="1213"/>
      <c r="E12" s="1213"/>
      <c r="F12" s="1214"/>
      <c r="G12" s="1215"/>
      <c r="H12" s="1222"/>
      <c r="I12" s="1212">
        <f>ROUND(D12*E12*F12*G12/10000,0)</f>
        <v>0</v>
      </c>
    </row>
    <row r="13" spans="1:9">
      <c r="A13" s="3893"/>
      <c r="B13" s="3894" t="s">
        <v>1068</v>
      </c>
      <c r="C13" s="3894"/>
      <c r="D13" s="1213"/>
      <c r="E13" s="1213"/>
      <c r="F13" s="1214"/>
      <c r="G13" s="1215"/>
      <c r="H13" s="1222"/>
      <c r="I13" s="1212">
        <f>ROUND(D13*E13*F13*G13/10000,0)</f>
        <v>0</v>
      </c>
    </row>
    <row r="14" spans="1:9">
      <c r="A14" s="3893"/>
      <c r="B14" s="3894" t="s">
        <v>1069</v>
      </c>
      <c r="C14" s="3894"/>
      <c r="D14" s="1213"/>
      <c r="E14" s="1213"/>
      <c r="F14" s="1214"/>
      <c r="G14" s="1215"/>
      <c r="H14" s="1222"/>
      <c r="I14" s="1212">
        <f>ROUND(D14*E14*F14*G14/10000,0)</f>
        <v>0</v>
      </c>
    </row>
    <row r="15" spans="1:9">
      <c r="A15" s="3893"/>
      <c r="B15" s="3895" t="s">
        <v>1060</v>
      </c>
      <c r="C15" s="3895"/>
      <c r="D15" s="1217"/>
      <c r="E15" s="1217">
        <f>SUM(E12:E14)</f>
        <v>0</v>
      </c>
      <c r="F15" s="1218"/>
      <c r="G15" s="1215"/>
      <c r="H15" s="1222"/>
      <c r="I15" s="1223">
        <f>SUM(I12:I14)</f>
        <v>0</v>
      </c>
    </row>
    <row r="16" spans="1:9" ht="24">
      <c r="A16" s="3893" t="s">
        <v>1070</v>
      </c>
      <c r="B16" s="3894" t="s">
        <v>1071</v>
      </c>
      <c r="C16" s="3894"/>
      <c r="D16" s="1213" t="s">
        <v>1047</v>
      </c>
      <c r="E16" s="1224" t="s">
        <v>1072</v>
      </c>
      <c r="F16" s="1214" t="s">
        <v>1073</v>
      </c>
      <c r="G16" s="1215" t="s">
        <v>1051</v>
      </c>
      <c r="H16" s="1221" t="s">
        <v>1066</v>
      </c>
      <c r="I16" s="1212" t="s">
        <v>1052</v>
      </c>
    </row>
    <row r="17" spans="1:9" ht="14.25">
      <c r="A17" s="3893"/>
      <c r="B17" s="3894" t="s">
        <v>1074</v>
      </c>
      <c r="C17" s="3894"/>
      <c r="D17" s="1213"/>
      <c r="E17" s="1213"/>
      <c r="F17" s="1214"/>
      <c r="G17" s="1215"/>
      <c r="H17" s="1225"/>
      <c r="I17" s="1226">
        <f>ROUND(D17*E17*F17*G17/10000,0)</f>
        <v>0</v>
      </c>
    </row>
    <row r="18" spans="1:9" ht="14.25">
      <c r="A18" s="3893"/>
      <c r="B18" s="3894" t="s">
        <v>1075</v>
      </c>
      <c r="C18" s="3894"/>
      <c r="D18" s="1213"/>
      <c r="E18" s="1213"/>
      <c r="F18" s="1214"/>
      <c r="G18" s="1215"/>
      <c r="H18" s="1225"/>
      <c r="I18" s="1226">
        <f>ROUND(D18*E18*F18*G18/10000,0)</f>
        <v>0</v>
      </c>
    </row>
    <row r="19" spans="1:9" ht="14.25">
      <c r="A19" s="3893"/>
      <c r="B19" s="3894" t="s">
        <v>1076</v>
      </c>
      <c r="C19" s="3894"/>
      <c r="D19" s="1213"/>
      <c r="E19" s="1213"/>
      <c r="F19" s="1214"/>
      <c r="G19" s="1215"/>
      <c r="H19" s="1225"/>
      <c r="I19" s="1226">
        <f>ROUND(D19*E19*F19*G19/10000,0)</f>
        <v>0</v>
      </c>
    </row>
    <row r="20" spans="1:9">
      <c r="A20" s="3893"/>
      <c r="B20" s="3895" t="s">
        <v>1060</v>
      </c>
      <c r="C20" s="3895"/>
      <c r="D20" s="1217">
        <f>SUM(D17:D19)</f>
        <v>0</v>
      </c>
      <c r="E20" s="1217"/>
      <c r="F20" s="1218"/>
      <c r="G20" s="1215"/>
      <c r="H20" s="1222"/>
      <c r="I20" s="1223">
        <f>SUM(I17:I19)</f>
        <v>0</v>
      </c>
    </row>
    <row r="21" spans="1:9">
      <c r="A21" s="3893" t="s">
        <v>1077</v>
      </c>
      <c r="B21" s="3897"/>
      <c r="C21" s="3897"/>
      <c r="D21" s="3897"/>
      <c r="E21" s="3897"/>
      <c r="F21" s="3897"/>
      <c r="G21" s="3897"/>
      <c r="H21" s="1502">
        <v>0.1</v>
      </c>
      <c r="I21" s="1220">
        <f>ROUND(I10*H21,0)</f>
        <v>0</v>
      </c>
    </row>
    <row r="22" spans="1:9" ht="14.25">
      <c r="A22" s="3898" t="s">
        <v>1078</v>
      </c>
      <c r="B22" s="3899"/>
      <c r="C22" s="3900"/>
      <c r="D22" s="1227" t="s">
        <v>1079</v>
      </c>
      <c r="E22" s="1227" t="s">
        <v>1080</v>
      </c>
      <c r="F22" s="1228" t="s">
        <v>1081</v>
      </c>
      <c r="G22" s="1228" t="s">
        <v>1082</v>
      </c>
      <c r="H22" s="1221" t="s">
        <v>1083</v>
      </c>
      <c r="I22" s="1212" t="s">
        <v>1084</v>
      </c>
    </row>
    <row r="23" spans="1:9" ht="14.25" thickBot="1">
      <c r="A23" s="3901"/>
      <c r="B23" s="3902"/>
      <c r="C23" s="3903"/>
      <c r="D23" s="1229"/>
      <c r="E23" s="1229"/>
      <c r="F23" s="1229"/>
      <c r="G23" s="1230"/>
      <c r="H23" s="1231"/>
      <c r="I23" s="1232">
        <f>ROUND(E23*D23*F23*(1-G23)/10000,0)</f>
        <v>0</v>
      </c>
    </row>
    <row r="26" spans="1:9">
      <c r="A26" s="1233" t="s">
        <v>1085</v>
      </c>
      <c r="B26" s="1233"/>
      <c r="C26" s="1233"/>
      <c r="D26" s="1233"/>
      <c r="E26" s="3904">
        <f>C27-C30-C31-C32</f>
        <v>0</v>
      </c>
      <c r="F26" s="3904"/>
      <c r="G26" s="3904"/>
      <c r="H26" s="1499" t="s">
        <v>1306</v>
      </c>
    </row>
    <row r="27" spans="1:9">
      <c r="A27" s="1234">
        <v>1</v>
      </c>
      <c r="B27" s="1235" t="s">
        <v>1086</v>
      </c>
      <c r="C27" s="1235">
        <f>C28+C29</f>
        <v>0</v>
      </c>
      <c r="D27" s="1235"/>
      <c r="E27" s="3905"/>
      <c r="F27" s="3905"/>
      <c r="G27" s="3905"/>
    </row>
    <row r="28" spans="1:9">
      <c r="A28" s="1236" t="s">
        <v>1087</v>
      </c>
      <c r="B28" s="1235" t="s">
        <v>1088</v>
      </c>
      <c r="C28" s="1235"/>
      <c r="D28" s="1235"/>
      <c r="E28" s="3905"/>
      <c r="F28" s="3905"/>
      <c r="G28" s="390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896"/>
      <c r="F32" s="3896"/>
      <c r="G32" s="3896"/>
    </row>
    <row r="33" spans="1:7" hidden="1">
      <c r="A33" s="3906" t="s">
        <v>1097</v>
      </c>
      <c r="B33" s="3907"/>
      <c r="C33" s="3907"/>
      <c r="D33" s="3908"/>
      <c r="E33" s="3904"/>
      <c r="F33" s="3904"/>
      <c r="G33" s="3904"/>
    </row>
    <row r="34" spans="1:7" hidden="1">
      <c r="A34" s="1238">
        <v>1</v>
      </c>
      <c r="B34" s="1235" t="s">
        <v>1098</v>
      </c>
      <c r="C34" s="1235"/>
      <c r="D34" s="1235"/>
      <c r="E34" s="3905"/>
      <c r="F34" s="3905"/>
      <c r="G34" s="3905"/>
    </row>
    <row r="35" spans="1:7" hidden="1">
      <c r="A35" s="1238">
        <v>2</v>
      </c>
      <c r="B35" s="1235" t="s">
        <v>1099</v>
      </c>
      <c r="C35" s="1235"/>
      <c r="D35" s="1235"/>
      <c r="E35" s="3905"/>
      <c r="F35" s="3905"/>
      <c r="G35" s="3905"/>
    </row>
    <row r="36" spans="1:7" hidden="1">
      <c r="A36" s="1238">
        <v>3</v>
      </c>
      <c r="B36" s="1235" t="s">
        <v>1100</v>
      </c>
      <c r="C36" s="1235"/>
      <c r="D36" s="1235"/>
      <c r="E36" s="3905"/>
      <c r="F36" s="3905"/>
      <c r="G36" s="3905"/>
    </row>
    <row r="37" spans="1:7" hidden="1">
      <c r="A37" s="1238">
        <v>4</v>
      </c>
      <c r="B37" s="1235" t="s">
        <v>1101</v>
      </c>
      <c r="C37" s="1235"/>
      <c r="D37" s="1235"/>
      <c r="E37" s="3905"/>
      <c r="F37" s="3905"/>
      <c r="G37" s="3905"/>
    </row>
    <row r="38" spans="1:7" hidden="1">
      <c r="A38" s="3906" t="s">
        <v>1102</v>
      </c>
      <c r="B38" s="3907"/>
      <c r="C38" s="3907"/>
      <c r="D38" s="3908"/>
      <c r="E38" s="3904"/>
      <c r="F38" s="3904"/>
      <c r="G38" s="39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313.63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927" t="s">
        <v>2357</v>
      </c>
      <c r="D4" s="3928"/>
      <c r="E4" s="3929" t="s">
        <v>2358</v>
      </c>
      <c r="F4" s="3930"/>
      <c r="G4" s="3927" t="s">
        <v>2359</v>
      </c>
      <c r="H4" s="3928"/>
      <c r="I4" s="3927" t="s">
        <v>2360</v>
      </c>
      <c r="J4" s="3928"/>
      <c r="K4" s="2075" t="s">
        <v>2361</v>
      </c>
      <c r="L4" s="2944"/>
      <c r="M4" s="2945"/>
      <c r="N4" s="2945"/>
      <c r="O4" s="2945"/>
      <c r="P4" s="3931" t="s">
        <v>2362</v>
      </c>
      <c r="Q4" s="3932"/>
      <c r="R4" s="3914" t="s">
        <v>2358</v>
      </c>
      <c r="S4" s="3915"/>
      <c r="T4" s="3914" t="s">
        <v>2359</v>
      </c>
      <c r="U4" s="3915"/>
      <c r="V4" s="3939" t="s">
        <v>2360</v>
      </c>
      <c r="W4" s="3939"/>
      <c r="X4" s="1539"/>
      <c r="Y4" s="3914" t="s">
        <v>2362</v>
      </c>
      <c r="Z4" s="3915"/>
      <c r="AA4" s="3909" t="s">
        <v>2358</v>
      </c>
      <c r="AB4" s="3909" t="s">
        <v>2359</v>
      </c>
      <c r="AC4" s="3909" t="s">
        <v>2360</v>
      </c>
    </row>
    <row r="5" spans="1:29" ht="15">
      <c r="A5" s="364"/>
      <c r="B5" s="365"/>
      <c r="C5" s="3920" t="s">
        <v>2363</v>
      </c>
      <c r="D5" s="3921"/>
      <c r="E5" s="3918" t="s">
        <v>2364</v>
      </c>
      <c r="F5" s="3919"/>
      <c r="G5" s="3920" t="s">
        <v>2365</v>
      </c>
      <c r="H5" s="3921"/>
      <c r="I5" s="3920" t="s">
        <v>2366</v>
      </c>
      <c r="J5" s="3921"/>
      <c r="K5" s="2076"/>
      <c r="L5" s="2944"/>
      <c r="M5" s="2945"/>
      <c r="N5" s="2945"/>
      <c r="O5" s="2945"/>
      <c r="P5" s="3933"/>
      <c r="Q5" s="3934"/>
      <c r="R5" s="3916"/>
      <c r="S5" s="3917"/>
      <c r="T5" s="3916"/>
      <c r="U5" s="3917"/>
      <c r="V5" s="3939"/>
      <c r="W5" s="3939"/>
      <c r="X5" s="1539"/>
      <c r="Y5" s="3916"/>
      <c r="Z5" s="3917"/>
      <c r="AA5" s="3910"/>
      <c r="AB5" s="3910"/>
      <c r="AC5" s="3910"/>
    </row>
    <row r="6" spans="1:29" ht="15.75" thickBot="1">
      <c r="A6" s="366"/>
      <c r="B6" s="367"/>
      <c r="C6" s="3922" t="s">
        <v>2367</v>
      </c>
      <c r="D6" s="3923"/>
      <c r="E6" s="3924" t="s">
        <v>2367</v>
      </c>
      <c r="F6" s="3925"/>
      <c r="G6" s="3922" t="s">
        <v>2367</v>
      </c>
      <c r="H6" s="3923"/>
      <c r="I6" s="3922" t="s">
        <v>2367</v>
      </c>
      <c r="J6" s="3923"/>
      <c r="K6" s="2076" t="s">
        <v>2368</v>
      </c>
      <c r="L6" s="2944"/>
      <c r="M6" s="2945"/>
      <c r="N6" s="2945"/>
      <c r="O6" s="2945"/>
      <c r="P6" s="3935"/>
      <c r="Q6" s="3936"/>
      <c r="R6" s="3916"/>
      <c r="S6" s="3917"/>
      <c r="T6" s="3937"/>
      <c r="U6" s="3938"/>
      <c r="V6" s="3939"/>
      <c r="W6" s="3939"/>
      <c r="X6" s="1539"/>
      <c r="Y6" s="3937"/>
      <c r="Z6" s="3938"/>
      <c r="AA6" s="3911"/>
      <c r="AB6" s="3911"/>
      <c r="AC6" s="3911"/>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912" t="s">
        <v>2370</v>
      </c>
      <c r="Q7" s="3940"/>
      <c r="R7" s="710" t="s">
        <v>23</v>
      </c>
      <c r="S7" s="711">
        <f t="shared" ref="S7:S15" si="0">F7</f>
        <v>0</v>
      </c>
      <c r="T7" s="710" t="s">
        <v>23</v>
      </c>
      <c r="U7" s="711">
        <f t="shared" ref="U7:U15" si="1">H7</f>
        <v>0</v>
      </c>
      <c r="V7" s="710" t="s">
        <v>23</v>
      </c>
      <c r="W7" s="711">
        <f t="shared" ref="W7:W15" si="2">J7</f>
        <v>0</v>
      </c>
      <c r="X7" s="712"/>
      <c r="Y7" s="3912" t="s">
        <v>2370</v>
      </c>
      <c r="Z7" s="391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912" t="s">
        <v>2373</v>
      </c>
      <c r="Q8" s="3913"/>
      <c r="R8" s="710" t="s">
        <v>23</v>
      </c>
      <c r="S8" s="711">
        <f t="shared" si="0"/>
        <v>0</v>
      </c>
      <c r="T8" s="710" t="s">
        <v>23</v>
      </c>
      <c r="U8" s="711">
        <f t="shared" si="1"/>
        <v>0</v>
      </c>
      <c r="V8" s="710" t="s">
        <v>23</v>
      </c>
      <c r="W8" s="711">
        <f t="shared" si="2"/>
        <v>0</v>
      </c>
      <c r="X8" s="712"/>
      <c r="Y8" s="3912" t="s">
        <v>2373</v>
      </c>
      <c r="Z8" s="391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926" t="s">
        <v>2376</v>
      </c>
      <c r="Q9" s="1527" t="str">
        <f t="shared" ref="Q9:Q15" si="6">B9</f>
        <v>用途</v>
      </c>
      <c r="R9" s="710" t="s">
        <v>17</v>
      </c>
      <c r="S9" s="711">
        <f t="shared" si="0"/>
        <v>100</v>
      </c>
      <c r="T9" s="710" t="s">
        <v>17</v>
      </c>
      <c r="U9" s="711">
        <f t="shared" si="1"/>
        <v>100</v>
      </c>
      <c r="V9" s="710" t="s">
        <v>17</v>
      </c>
      <c r="W9" s="711">
        <f t="shared" si="2"/>
        <v>100</v>
      </c>
      <c r="X9" s="712"/>
      <c r="Y9" s="385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926"/>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926"/>
      <c r="Q11" s="1527" t="str">
        <f t="shared" si="6"/>
        <v>容积率</v>
      </c>
      <c r="R11" s="710" t="s">
        <v>21</v>
      </c>
      <c r="S11" s="711" t="e">
        <f t="shared" si="0"/>
        <v>#N/A</v>
      </c>
      <c r="T11" s="710" t="s">
        <v>21</v>
      </c>
      <c r="U11" s="711" t="e">
        <f t="shared" si="1"/>
        <v>#N/A</v>
      </c>
      <c r="V11" s="710" t="s">
        <v>21</v>
      </c>
      <c r="W11" s="711" t="e">
        <f t="shared" si="2"/>
        <v>#N/A</v>
      </c>
      <c r="X11" s="712"/>
      <c r="Y11" s="385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926"/>
      <c r="Q12" s="1527">
        <f t="shared" si="6"/>
        <v>111</v>
      </c>
      <c r="R12" s="710" t="s">
        <v>21</v>
      </c>
      <c r="S12" s="711">
        <f t="shared" si="0"/>
        <v>100</v>
      </c>
      <c r="T12" s="710" t="s">
        <v>21</v>
      </c>
      <c r="U12" s="711">
        <f t="shared" si="1"/>
        <v>100</v>
      </c>
      <c r="V12" s="710" t="s">
        <v>21</v>
      </c>
      <c r="W12" s="711">
        <f t="shared" si="2"/>
        <v>100</v>
      </c>
      <c r="X12" s="712"/>
      <c r="Y12" s="385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926"/>
      <c r="Q13" s="1527">
        <f t="shared" si="6"/>
        <v>111</v>
      </c>
      <c r="R13" s="710" t="s">
        <v>21</v>
      </c>
      <c r="S13" s="711">
        <f t="shared" si="0"/>
        <v>100</v>
      </c>
      <c r="T13" s="710" t="s">
        <v>21</v>
      </c>
      <c r="U13" s="711">
        <f t="shared" si="1"/>
        <v>100</v>
      </c>
      <c r="V13" s="710" t="s">
        <v>21</v>
      </c>
      <c r="W13" s="711">
        <f t="shared" si="2"/>
        <v>100</v>
      </c>
      <c r="X13" s="712"/>
      <c r="Y13" s="385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926"/>
      <c r="Q14" s="1527">
        <f t="shared" si="6"/>
        <v>111</v>
      </c>
      <c r="R14" s="710" t="s">
        <v>21</v>
      </c>
      <c r="S14" s="711">
        <f t="shared" si="0"/>
        <v>100</v>
      </c>
      <c r="T14" s="710" t="s">
        <v>21</v>
      </c>
      <c r="U14" s="711">
        <f t="shared" si="1"/>
        <v>100</v>
      </c>
      <c r="V14" s="710" t="s">
        <v>21</v>
      </c>
      <c r="W14" s="711">
        <f t="shared" si="2"/>
        <v>100</v>
      </c>
      <c r="X14" s="712"/>
      <c r="Y14" s="385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953" t="s">
        <v>2381</v>
      </c>
      <c r="Q15" s="1536" t="str">
        <f t="shared" si="6"/>
        <v>居住社区成熟度</v>
      </c>
      <c r="R15" s="714" t="s">
        <v>21</v>
      </c>
      <c r="S15" s="715">
        <f t="shared" si="0"/>
        <v>100</v>
      </c>
      <c r="T15" s="714" t="s">
        <v>21</v>
      </c>
      <c r="U15" s="715">
        <f t="shared" si="1"/>
        <v>100</v>
      </c>
      <c r="V15" s="714" t="s">
        <v>21</v>
      </c>
      <c r="W15" s="715">
        <f t="shared" si="2"/>
        <v>100</v>
      </c>
      <c r="X15" s="1539"/>
      <c r="Y15" s="394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954"/>
      <c r="Q16" s="1536"/>
      <c r="R16" s="714"/>
      <c r="S16" s="715"/>
      <c r="T16" s="714"/>
      <c r="U16" s="715"/>
      <c r="V16" s="714"/>
      <c r="W16" s="715"/>
      <c r="X16" s="1539"/>
      <c r="Y16" s="394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954"/>
      <c r="Q17" s="1536" t="str">
        <f>B17</f>
        <v>交通便捷度</v>
      </c>
      <c r="R17" s="714" t="s">
        <v>21</v>
      </c>
      <c r="S17" s="715">
        <f>F17</f>
        <v>100</v>
      </c>
      <c r="T17" s="714" t="s">
        <v>21</v>
      </c>
      <c r="U17" s="715">
        <f>H17</f>
        <v>100</v>
      </c>
      <c r="V17" s="714" t="s">
        <v>21</v>
      </c>
      <c r="W17" s="715">
        <f>J17</f>
        <v>100</v>
      </c>
      <c r="X17" s="1539"/>
      <c r="Y17" s="394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954"/>
      <c r="Q18" s="1536"/>
      <c r="R18" s="714"/>
      <c r="S18" s="715"/>
      <c r="T18" s="714"/>
      <c r="U18" s="715"/>
      <c r="V18" s="714"/>
      <c r="W18" s="715"/>
      <c r="X18" s="1539"/>
      <c r="Y18" s="394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954"/>
      <c r="Q19" s="1536" t="str">
        <f>B19</f>
        <v>公共配套设施</v>
      </c>
      <c r="R19" s="714" t="s">
        <v>21</v>
      </c>
      <c r="S19" s="715">
        <f>F19</f>
        <v>100</v>
      </c>
      <c r="T19" s="714" t="s">
        <v>21</v>
      </c>
      <c r="U19" s="715">
        <f>H19</f>
        <v>100</v>
      </c>
      <c r="V19" s="714" t="s">
        <v>21</v>
      </c>
      <c r="W19" s="715">
        <f>J19</f>
        <v>100</v>
      </c>
      <c r="X19" s="1539"/>
      <c r="Y19" s="394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954"/>
      <c r="Q20" s="1536"/>
      <c r="R20" s="714"/>
      <c r="S20" s="715"/>
      <c r="T20" s="714"/>
      <c r="U20" s="715"/>
      <c r="V20" s="714"/>
      <c r="W20" s="715"/>
      <c r="X20" s="1539"/>
      <c r="Y20" s="394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954"/>
      <c r="Q21" s="1536" t="str">
        <f>B21</f>
        <v>基础设施水平</v>
      </c>
      <c r="R21" s="714" t="s">
        <v>17</v>
      </c>
      <c r="S21" s="715">
        <f>F21</f>
        <v>100</v>
      </c>
      <c r="T21" s="714" t="s">
        <v>17</v>
      </c>
      <c r="U21" s="715">
        <f>H21</f>
        <v>100</v>
      </c>
      <c r="V21" s="714" t="s">
        <v>17</v>
      </c>
      <c r="W21" s="715">
        <f>J21</f>
        <v>100</v>
      </c>
      <c r="X21" s="1539"/>
      <c r="Y21" s="394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954"/>
      <c r="Q22" s="1536"/>
      <c r="R22" s="714"/>
      <c r="S22" s="715"/>
      <c r="T22" s="714"/>
      <c r="U22" s="715"/>
      <c r="V22" s="714"/>
      <c r="W22" s="715"/>
      <c r="X22" s="1539"/>
      <c r="Y22" s="394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954"/>
      <c r="Q23" s="1536" t="str">
        <f>B23</f>
        <v>自然及人文环境</v>
      </c>
      <c r="R23" s="714" t="s">
        <v>21</v>
      </c>
      <c r="S23" s="715">
        <f>F23</f>
        <v>100</v>
      </c>
      <c r="T23" s="714" t="s">
        <v>21</v>
      </c>
      <c r="U23" s="715">
        <f>H23</f>
        <v>100</v>
      </c>
      <c r="V23" s="714" t="s">
        <v>21</v>
      </c>
      <c r="W23" s="715">
        <f>J23</f>
        <v>100</v>
      </c>
      <c r="X23" s="1539"/>
      <c r="Y23" s="394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954"/>
      <c r="Q24" s="1536"/>
      <c r="R24" s="714"/>
      <c r="S24" s="715"/>
      <c r="T24" s="714"/>
      <c r="U24" s="715"/>
      <c r="V24" s="714"/>
      <c r="W24" s="715"/>
      <c r="X24" s="1539"/>
      <c r="Y24" s="394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95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94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954"/>
      <c r="Q26" s="1536" t="str">
        <f t="shared" si="11"/>
        <v>朝向</v>
      </c>
      <c r="R26" s="714" t="s">
        <v>21</v>
      </c>
      <c r="S26" s="715">
        <f t="shared" si="12"/>
        <v>100</v>
      </c>
      <c r="T26" s="714" t="s">
        <v>21</v>
      </c>
      <c r="U26" s="715">
        <f t="shared" si="13"/>
        <v>100</v>
      </c>
      <c r="V26" s="714" t="s">
        <v>21</v>
      </c>
      <c r="W26" s="715">
        <f t="shared" si="14"/>
        <v>100</v>
      </c>
      <c r="X26" s="1539"/>
      <c r="Y26" s="394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954"/>
      <c r="Q27" s="1527">
        <f t="shared" si="11"/>
        <v>111</v>
      </c>
      <c r="R27" s="710" t="s">
        <v>21</v>
      </c>
      <c r="S27" s="711">
        <f t="shared" si="12"/>
        <v>100</v>
      </c>
      <c r="T27" s="710" t="s">
        <v>21</v>
      </c>
      <c r="U27" s="711">
        <f t="shared" si="13"/>
        <v>100</v>
      </c>
      <c r="V27" s="710" t="s">
        <v>21</v>
      </c>
      <c r="W27" s="711">
        <f t="shared" si="14"/>
        <v>100</v>
      </c>
      <c r="X27" s="712"/>
      <c r="Y27" s="394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954"/>
      <c r="Q28" s="1536">
        <f t="shared" si="11"/>
        <v>111</v>
      </c>
      <c r="R28" s="714" t="s">
        <v>21</v>
      </c>
      <c r="S28" s="715">
        <f t="shared" si="12"/>
        <v>100</v>
      </c>
      <c r="T28" s="714" t="s">
        <v>21</v>
      </c>
      <c r="U28" s="715">
        <f t="shared" si="13"/>
        <v>100</v>
      </c>
      <c r="V28" s="714" t="s">
        <v>21</v>
      </c>
      <c r="W28" s="715">
        <f t="shared" si="14"/>
        <v>100</v>
      </c>
      <c r="X28" s="1539"/>
      <c r="Y28" s="394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954"/>
      <c r="Q29" s="1536">
        <f t="shared" si="11"/>
        <v>111</v>
      </c>
      <c r="R29" s="714" t="s">
        <v>21</v>
      </c>
      <c r="S29" s="715">
        <f t="shared" si="12"/>
        <v>100</v>
      </c>
      <c r="T29" s="714" t="s">
        <v>21</v>
      </c>
      <c r="U29" s="715">
        <f t="shared" si="13"/>
        <v>100</v>
      </c>
      <c r="V29" s="714" t="s">
        <v>21</v>
      </c>
      <c r="W29" s="715">
        <f t="shared" si="14"/>
        <v>100</v>
      </c>
      <c r="X29" s="1539"/>
      <c r="Y29" s="394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954"/>
      <c r="Q30" s="1536">
        <f t="shared" si="11"/>
        <v>111</v>
      </c>
      <c r="R30" s="714" t="s">
        <v>21</v>
      </c>
      <c r="S30" s="715">
        <f t="shared" si="12"/>
        <v>100</v>
      </c>
      <c r="T30" s="714" t="s">
        <v>21</v>
      </c>
      <c r="U30" s="715">
        <f t="shared" si="13"/>
        <v>100</v>
      </c>
      <c r="V30" s="714" t="s">
        <v>21</v>
      </c>
      <c r="W30" s="715">
        <f t="shared" si="14"/>
        <v>100</v>
      </c>
      <c r="X30" s="1539"/>
      <c r="Y30" s="394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954"/>
      <c r="Q31" s="1536">
        <f t="shared" si="11"/>
        <v>111</v>
      </c>
      <c r="R31" s="714" t="s">
        <v>21</v>
      </c>
      <c r="S31" s="715">
        <f t="shared" si="12"/>
        <v>100</v>
      </c>
      <c r="T31" s="714" t="s">
        <v>21</v>
      </c>
      <c r="U31" s="715">
        <f t="shared" si="13"/>
        <v>100</v>
      </c>
      <c r="V31" s="714" t="s">
        <v>21</v>
      </c>
      <c r="W31" s="715">
        <f t="shared" si="14"/>
        <v>100</v>
      </c>
      <c r="X31" s="1539"/>
      <c r="Y31" s="394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948" t="s">
        <v>2386</v>
      </c>
      <c r="Q32" s="1536" t="str">
        <f t="shared" si="11"/>
        <v>建筑类型</v>
      </c>
      <c r="R32" s="714" t="s">
        <v>21</v>
      </c>
      <c r="S32" s="715">
        <f t="shared" si="12"/>
        <v>100</v>
      </c>
      <c r="T32" s="714" t="s">
        <v>21</v>
      </c>
      <c r="U32" s="715">
        <f t="shared" si="13"/>
        <v>100</v>
      </c>
      <c r="V32" s="714" t="s">
        <v>21</v>
      </c>
      <c r="W32" s="715">
        <f t="shared" si="14"/>
        <v>100</v>
      </c>
      <c r="X32" s="1539"/>
      <c r="Y32" s="395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949"/>
      <c r="Q33" s="716" t="str">
        <f t="shared" si="11"/>
        <v>项目建筑规模</v>
      </c>
      <c r="R33" s="717" t="s">
        <v>21</v>
      </c>
      <c r="S33" s="718" t="e">
        <f t="shared" si="12"/>
        <v>#N/A</v>
      </c>
      <c r="T33" s="717" t="s">
        <v>21</v>
      </c>
      <c r="U33" s="718" t="e">
        <f t="shared" si="13"/>
        <v>#N/A</v>
      </c>
      <c r="V33" s="717" t="s">
        <v>21</v>
      </c>
      <c r="W33" s="718" t="e">
        <f t="shared" si="14"/>
        <v>#N/A</v>
      </c>
      <c r="X33" s="719"/>
      <c r="Y33" s="395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949"/>
      <c r="Q34" s="1536" t="str">
        <f t="shared" si="11"/>
        <v>建筑结构</v>
      </c>
      <c r="R34" s="714" t="s">
        <v>21</v>
      </c>
      <c r="S34" s="715">
        <f t="shared" si="12"/>
        <v>100</v>
      </c>
      <c r="T34" s="714" t="s">
        <v>21</v>
      </c>
      <c r="U34" s="715">
        <f t="shared" si="13"/>
        <v>100</v>
      </c>
      <c r="V34" s="714" t="s">
        <v>21</v>
      </c>
      <c r="W34" s="715">
        <f t="shared" si="14"/>
        <v>100</v>
      </c>
      <c r="X34" s="1539"/>
      <c r="Y34" s="395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949"/>
      <c r="Q35" s="1536" t="str">
        <f t="shared" si="11"/>
        <v>建筑品质</v>
      </c>
      <c r="R35" s="714" t="s">
        <v>21</v>
      </c>
      <c r="S35" s="715">
        <f t="shared" si="12"/>
        <v>100</v>
      </c>
      <c r="T35" s="714" t="s">
        <v>21</v>
      </c>
      <c r="U35" s="715">
        <f t="shared" si="13"/>
        <v>100</v>
      </c>
      <c r="V35" s="714" t="s">
        <v>21</v>
      </c>
      <c r="W35" s="715">
        <f t="shared" si="14"/>
        <v>100</v>
      </c>
      <c r="X35" s="1539"/>
      <c r="Y35" s="395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949"/>
      <c r="Q36" s="1536" t="str">
        <f t="shared" si="11"/>
        <v>公共部分装修</v>
      </c>
      <c r="R36" s="714" t="s">
        <v>21</v>
      </c>
      <c r="S36" s="715">
        <f t="shared" si="12"/>
        <v>100</v>
      </c>
      <c r="T36" s="714" t="s">
        <v>21</v>
      </c>
      <c r="U36" s="715">
        <f t="shared" si="13"/>
        <v>100</v>
      </c>
      <c r="V36" s="714" t="s">
        <v>21</v>
      </c>
      <c r="W36" s="715">
        <f t="shared" si="14"/>
        <v>100</v>
      </c>
      <c r="X36" s="1539"/>
      <c r="Y36" s="395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949"/>
      <c r="Q37" s="1527" t="str">
        <f t="shared" si="11"/>
        <v>成新度</v>
      </c>
      <c r="R37" s="710" t="s">
        <v>21</v>
      </c>
      <c r="S37" s="711" t="e">
        <f t="shared" si="12"/>
        <v>#N/A</v>
      </c>
      <c r="T37" s="710" t="s">
        <v>21</v>
      </c>
      <c r="U37" s="711" t="e">
        <f t="shared" si="13"/>
        <v>#N/A</v>
      </c>
      <c r="V37" s="710" t="s">
        <v>21</v>
      </c>
      <c r="W37" s="711" t="e">
        <f t="shared" si="14"/>
        <v>#N/A</v>
      </c>
      <c r="X37" s="712"/>
      <c r="Y37" s="395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949" t="s">
        <v>2386</v>
      </c>
      <c r="Q38" s="1536" t="str">
        <f t="shared" si="11"/>
        <v>物业管理</v>
      </c>
      <c r="R38" s="714" t="s">
        <v>21</v>
      </c>
      <c r="S38" s="715">
        <f t="shared" si="12"/>
        <v>100</v>
      </c>
      <c r="T38" s="714" t="s">
        <v>21</v>
      </c>
      <c r="U38" s="715">
        <f t="shared" si="13"/>
        <v>100</v>
      </c>
      <c r="V38" s="714" t="s">
        <v>21</v>
      </c>
      <c r="W38" s="715">
        <f t="shared" si="14"/>
        <v>100</v>
      </c>
      <c r="X38" s="1539"/>
      <c r="Y38" s="395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949"/>
      <c r="Q39" s="1536" t="str">
        <f t="shared" si="11"/>
        <v>市政基础设施</v>
      </c>
      <c r="R39" s="714" t="s">
        <v>21</v>
      </c>
      <c r="S39" s="715">
        <f t="shared" si="12"/>
        <v>100</v>
      </c>
      <c r="T39" s="714" t="s">
        <v>21</v>
      </c>
      <c r="U39" s="715">
        <f t="shared" si="13"/>
        <v>100</v>
      </c>
      <c r="V39" s="714" t="s">
        <v>21</v>
      </c>
      <c r="W39" s="715">
        <f t="shared" si="14"/>
        <v>100</v>
      </c>
      <c r="X39" s="1539"/>
      <c r="Y39" s="395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949"/>
      <c r="Q40" s="1536" t="str">
        <f t="shared" si="11"/>
        <v>房型</v>
      </c>
      <c r="R40" s="714" t="s">
        <v>21</v>
      </c>
      <c r="S40" s="715">
        <f t="shared" si="12"/>
        <v>100</v>
      </c>
      <c r="T40" s="714" t="s">
        <v>21</v>
      </c>
      <c r="U40" s="715">
        <f t="shared" si="13"/>
        <v>100</v>
      </c>
      <c r="V40" s="714" t="s">
        <v>21</v>
      </c>
      <c r="W40" s="715">
        <f t="shared" si="14"/>
        <v>100</v>
      </c>
      <c r="X40" s="1539"/>
      <c r="Y40" s="395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949"/>
      <c r="Q41" s="716" t="str">
        <f t="shared" si="11"/>
        <v>单套/主力户型建筑面积</v>
      </c>
      <c r="R41" s="717" t="s">
        <v>21</v>
      </c>
      <c r="S41" s="718">
        <f t="shared" si="12"/>
        <v>100</v>
      </c>
      <c r="T41" s="717" t="s">
        <v>21</v>
      </c>
      <c r="U41" s="718">
        <f t="shared" si="13"/>
        <v>100</v>
      </c>
      <c r="V41" s="717" t="s">
        <v>21</v>
      </c>
      <c r="W41" s="718">
        <f t="shared" si="14"/>
        <v>100</v>
      </c>
      <c r="X41" s="719"/>
      <c r="Y41" s="395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949"/>
      <c r="Q42" s="1536" t="str">
        <f t="shared" si="11"/>
        <v>内部装修</v>
      </c>
      <c r="R42" s="714" t="s">
        <v>21</v>
      </c>
      <c r="S42" s="715">
        <f t="shared" si="12"/>
        <v>100</v>
      </c>
      <c r="T42" s="714" t="s">
        <v>21</v>
      </c>
      <c r="U42" s="715">
        <f t="shared" si="13"/>
        <v>100</v>
      </c>
      <c r="V42" s="714" t="s">
        <v>21</v>
      </c>
      <c r="W42" s="715">
        <f t="shared" si="14"/>
        <v>100</v>
      </c>
      <c r="X42" s="1539"/>
      <c r="Y42" s="395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949"/>
      <c r="Q43" s="1536" t="str">
        <f t="shared" si="11"/>
        <v>内部装修维护情况</v>
      </c>
      <c r="R43" s="714" t="s">
        <v>21</v>
      </c>
      <c r="S43" s="715">
        <f t="shared" si="12"/>
        <v>100</v>
      </c>
      <c r="T43" s="714" t="s">
        <v>21</v>
      </c>
      <c r="U43" s="715">
        <f t="shared" si="13"/>
        <v>100</v>
      </c>
      <c r="V43" s="714" t="s">
        <v>21</v>
      </c>
      <c r="W43" s="715">
        <f t="shared" si="14"/>
        <v>100</v>
      </c>
      <c r="X43" s="1539"/>
      <c r="Y43" s="395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949"/>
      <c r="Q44" s="1527">
        <f t="shared" si="11"/>
        <v>111</v>
      </c>
      <c r="R44" s="710" t="s">
        <v>21</v>
      </c>
      <c r="S44" s="711">
        <f t="shared" si="12"/>
        <v>100</v>
      </c>
      <c r="T44" s="710" t="s">
        <v>21</v>
      </c>
      <c r="U44" s="711">
        <f t="shared" si="13"/>
        <v>100</v>
      </c>
      <c r="V44" s="710" t="s">
        <v>21</v>
      </c>
      <c r="W44" s="711">
        <f t="shared" si="14"/>
        <v>100</v>
      </c>
      <c r="X44" s="712"/>
      <c r="Y44" s="395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949"/>
      <c r="Q45" s="1536">
        <f t="shared" si="11"/>
        <v>111</v>
      </c>
      <c r="R45" s="714" t="s">
        <v>21</v>
      </c>
      <c r="S45" s="715">
        <f t="shared" si="12"/>
        <v>100</v>
      </c>
      <c r="T45" s="714" t="s">
        <v>21</v>
      </c>
      <c r="U45" s="715">
        <f t="shared" si="13"/>
        <v>100</v>
      </c>
      <c r="V45" s="714" t="s">
        <v>21</v>
      </c>
      <c r="W45" s="715">
        <f t="shared" si="14"/>
        <v>100</v>
      </c>
      <c r="X45" s="1539"/>
      <c r="Y45" s="395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950"/>
      <c r="Q46" s="1536">
        <f t="shared" si="11"/>
        <v>111</v>
      </c>
      <c r="R46" s="714" t="s">
        <v>20</v>
      </c>
      <c r="S46" s="715">
        <f t="shared" si="12"/>
        <v>100</v>
      </c>
      <c r="T46" s="714" t="s">
        <v>20</v>
      </c>
      <c r="U46" s="715">
        <f t="shared" si="13"/>
        <v>100</v>
      </c>
      <c r="V46" s="714" t="s">
        <v>20</v>
      </c>
      <c r="W46" s="715">
        <f t="shared" si="14"/>
        <v>100</v>
      </c>
      <c r="X46" s="1539"/>
      <c r="Y46" s="395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944" t="str">
        <f>A47</f>
        <v>成交单价（元/平方米）</v>
      </c>
      <c r="Q47" s="3944"/>
      <c r="R47" s="3945">
        <f>E47</f>
        <v>0</v>
      </c>
      <c r="S47" s="3945"/>
      <c r="T47" s="3945">
        <f>G47</f>
        <v>0</v>
      </c>
      <c r="U47" s="3945"/>
      <c r="V47" s="3945">
        <f>I47</f>
        <v>0</v>
      </c>
      <c r="W47" s="3945"/>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944" t="str">
        <f>A48</f>
        <v>比较价值（元/平方米）</v>
      </c>
      <c r="Q48" s="3944"/>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941" t="str">
        <f>A49</f>
        <v>估价对象XX用房的比较价值（楼面单价，元/平方米）</v>
      </c>
      <c r="Q49" s="3942"/>
      <c r="R49" s="3943" t="e">
        <f>IF(F1="售价",ROUND(IF(D48="简单平均",AVERAGE(R48:V48),R48*F48+T48*H48+V48*J48),0),ROUND(IF(D48="简单平均",AVERAGE(R48:V48),R48*F48+T48*H48+V48*J48),1))</f>
        <v>#DIV/0!</v>
      </c>
      <c r="S49" s="3943"/>
      <c r="T49" s="3943"/>
      <c r="U49" s="3943"/>
      <c r="V49" s="3943"/>
      <c r="W49" s="394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927" t="s">
        <v>2467</v>
      </c>
      <c r="D4" s="3928"/>
      <c r="E4" s="3929" t="s">
        <v>2468</v>
      </c>
      <c r="F4" s="3930"/>
      <c r="G4" s="3927" t="s">
        <v>2469</v>
      </c>
      <c r="H4" s="3928"/>
      <c r="I4" s="3927" t="s">
        <v>2470</v>
      </c>
      <c r="J4" s="3928"/>
      <c r="K4" s="567" t="s">
        <v>2471</v>
      </c>
      <c r="L4" s="2944"/>
      <c r="M4" s="2945"/>
      <c r="N4" s="2945"/>
      <c r="O4" s="2945"/>
      <c r="P4" s="3931" t="s">
        <v>2472</v>
      </c>
      <c r="Q4" s="3932"/>
      <c r="R4" s="3914" t="s">
        <v>2468</v>
      </c>
      <c r="S4" s="3915"/>
      <c r="T4" s="3914" t="s">
        <v>2469</v>
      </c>
      <c r="U4" s="3915"/>
      <c r="V4" s="3939" t="s">
        <v>2470</v>
      </c>
      <c r="W4" s="3939"/>
      <c r="X4" s="1539"/>
      <c r="Y4" s="3914" t="s">
        <v>2472</v>
      </c>
      <c r="Z4" s="3915"/>
      <c r="AA4" s="3909" t="s">
        <v>2468</v>
      </c>
      <c r="AB4" s="3939" t="s">
        <v>2469</v>
      </c>
      <c r="AC4" s="3909" t="s">
        <v>2470</v>
      </c>
    </row>
    <row r="5" spans="1:29" ht="15">
      <c r="A5" s="364"/>
      <c r="B5" s="365"/>
      <c r="C5" s="3920" t="s">
        <v>2363</v>
      </c>
      <c r="D5" s="3921"/>
      <c r="E5" s="3918" t="s">
        <v>2364</v>
      </c>
      <c r="F5" s="3919"/>
      <c r="G5" s="3920" t="s">
        <v>2365</v>
      </c>
      <c r="H5" s="3921"/>
      <c r="I5" s="3920" t="s">
        <v>2366</v>
      </c>
      <c r="J5" s="3921"/>
      <c r="K5" s="567"/>
      <c r="L5" s="2944"/>
      <c r="M5" s="2945"/>
      <c r="N5" s="2945"/>
      <c r="O5" s="2945"/>
      <c r="P5" s="3933"/>
      <c r="Q5" s="3934"/>
      <c r="R5" s="3916"/>
      <c r="S5" s="3917"/>
      <c r="T5" s="3916"/>
      <c r="U5" s="3917"/>
      <c r="V5" s="3939"/>
      <c r="W5" s="3939"/>
      <c r="X5" s="1539"/>
      <c r="Y5" s="3916"/>
      <c r="Z5" s="3917"/>
      <c r="AA5" s="3910"/>
      <c r="AB5" s="3939"/>
      <c r="AC5" s="3910"/>
    </row>
    <row r="6" spans="1:29" ht="15.75" thickBot="1">
      <c r="A6" s="366"/>
      <c r="B6" s="367"/>
      <c r="C6" s="3922" t="s">
        <v>2367</v>
      </c>
      <c r="D6" s="3923"/>
      <c r="E6" s="3924" t="s">
        <v>2367</v>
      </c>
      <c r="F6" s="3925"/>
      <c r="G6" s="3922" t="s">
        <v>2367</v>
      </c>
      <c r="H6" s="3923"/>
      <c r="I6" s="3922" t="s">
        <v>2367</v>
      </c>
      <c r="J6" s="3923"/>
      <c r="K6" s="567" t="s">
        <v>2368</v>
      </c>
      <c r="L6" s="2944"/>
      <c r="M6" s="2945"/>
      <c r="N6" s="2945"/>
      <c r="O6" s="2945"/>
      <c r="P6" s="3935"/>
      <c r="Q6" s="3936"/>
      <c r="R6" s="3916"/>
      <c r="S6" s="3917"/>
      <c r="T6" s="3937"/>
      <c r="U6" s="3938"/>
      <c r="V6" s="3939"/>
      <c r="W6" s="3939"/>
      <c r="X6" s="1539"/>
      <c r="Y6" s="3937"/>
      <c r="Z6" s="3938"/>
      <c r="AA6" s="3911"/>
      <c r="AB6" s="3939"/>
      <c r="AC6" s="3911"/>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912" t="s">
        <v>2370</v>
      </c>
      <c r="Q7" s="3940"/>
      <c r="R7" s="710" t="s">
        <v>17</v>
      </c>
      <c r="S7" s="711">
        <f t="shared" ref="S7:S15" si="0">F7</f>
        <v>0</v>
      </c>
      <c r="T7" s="710" t="s">
        <v>17</v>
      </c>
      <c r="U7" s="711">
        <f t="shared" ref="U7:U15" si="1">H7</f>
        <v>0</v>
      </c>
      <c r="V7" s="710" t="s">
        <v>17</v>
      </c>
      <c r="W7" s="711">
        <f t="shared" ref="W7:W15" si="2">J7</f>
        <v>0</v>
      </c>
      <c r="X7" s="712"/>
      <c r="Y7" s="3912" t="s">
        <v>2370</v>
      </c>
      <c r="Z7" s="391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912" t="s">
        <v>2373</v>
      </c>
      <c r="Q8" s="3913"/>
      <c r="R8" s="710" t="s">
        <v>17</v>
      </c>
      <c r="S8" s="711">
        <f t="shared" si="0"/>
        <v>0</v>
      </c>
      <c r="T8" s="710" t="s">
        <v>17</v>
      </c>
      <c r="U8" s="711">
        <f t="shared" si="1"/>
        <v>0</v>
      </c>
      <c r="V8" s="710" t="s">
        <v>17</v>
      </c>
      <c r="W8" s="711">
        <f t="shared" si="2"/>
        <v>0</v>
      </c>
      <c r="X8" s="712"/>
      <c r="Y8" s="3912" t="s">
        <v>2373</v>
      </c>
      <c r="Z8" s="391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926" t="s">
        <v>2376</v>
      </c>
      <c r="Q9" s="1527" t="str">
        <f t="shared" ref="Q9:Q15" si="6">B9</f>
        <v>用途</v>
      </c>
      <c r="R9" s="710" t="s">
        <v>17</v>
      </c>
      <c r="S9" s="711">
        <f t="shared" si="0"/>
        <v>100</v>
      </c>
      <c r="T9" s="710" t="s">
        <v>17</v>
      </c>
      <c r="U9" s="711">
        <f t="shared" si="1"/>
        <v>100</v>
      </c>
      <c r="V9" s="710" t="s">
        <v>17</v>
      </c>
      <c r="W9" s="711">
        <f t="shared" si="2"/>
        <v>100</v>
      </c>
      <c r="X9" s="712"/>
      <c r="Y9" s="385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926"/>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926"/>
      <c r="Q11" s="1527" t="str">
        <f t="shared" si="6"/>
        <v>容积率</v>
      </c>
      <c r="R11" s="710" t="s">
        <v>17</v>
      </c>
      <c r="S11" s="711" t="e">
        <f t="shared" si="0"/>
        <v>#N/A</v>
      </c>
      <c r="T11" s="710" t="s">
        <v>17</v>
      </c>
      <c r="U11" s="711" t="e">
        <f t="shared" si="1"/>
        <v>#N/A</v>
      </c>
      <c r="V11" s="710" t="s">
        <v>17</v>
      </c>
      <c r="W11" s="711" t="e">
        <f t="shared" si="2"/>
        <v>#N/A</v>
      </c>
      <c r="X11" s="712"/>
      <c r="Y11" s="385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926"/>
      <c r="Q12" s="1527">
        <f t="shared" si="6"/>
        <v>111</v>
      </c>
      <c r="R12" s="710" t="s">
        <v>17</v>
      </c>
      <c r="S12" s="711">
        <f t="shared" si="0"/>
        <v>100</v>
      </c>
      <c r="T12" s="710" t="s">
        <v>17</v>
      </c>
      <c r="U12" s="711">
        <f t="shared" si="1"/>
        <v>100</v>
      </c>
      <c r="V12" s="710" t="s">
        <v>17</v>
      </c>
      <c r="W12" s="711">
        <f t="shared" si="2"/>
        <v>100</v>
      </c>
      <c r="X12" s="712"/>
      <c r="Y12" s="385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926"/>
      <c r="Q13" s="1527">
        <f t="shared" si="6"/>
        <v>111</v>
      </c>
      <c r="R13" s="710" t="s">
        <v>17</v>
      </c>
      <c r="S13" s="711">
        <f t="shared" si="0"/>
        <v>100</v>
      </c>
      <c r="T13" s="710" t="s">
        <v>17</v>
      </c>
      <c r="U13" s="711">
        <f t="shared" si="1"/>
        <v>100</v>
      </c>
      <c r="V13" s="710" t="s">
        <v>17</v>
      </c>
      <c r="W13" s="711">
        <f t="shared" si="2"/>
        <v>100</v>
      </c>
      <c r="X13" s="712"/>
      <c r="Y13" s="385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926"/>
      <c r="Q14" s="1527">
        <f t="shared" si="6"/>
        <v>111</v>
      </c>
      <c r="R14" s="710" t="s">
        <v>17</v>
      </c>
      <c r="S14" s="711">
        <f t="shared" si="0"/>
        <v>100</v>
      </c>
      <c r="T14" s="710" t="s">
        <v>17</v>
      </c>
      <c r="U14" s="711">
        <f t="shared" si="1"/>
        <v>100</v>
      </c>
      <c r="V14" s="710" t="s">
        <v>17</v>
      </c>
      <c r="W14" s="711">
        <f t="shared" si="2"/>
        <v>100</v>
      </c>
      <c r="X14" s="712"/>
      <c r="Y14" s="385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953" t="s">
        <v>2381</v>
      </c>
      <c r="Q15" s="1536" t="str">
        <f t="shared" si="6"/>
        <v>商业繁华度</v>
      </c>
      <c r="R15" s="714" t="s">
        <v>17</v>
      </c>
      <c r="S15" s="715">
        <f t="shared" si="0"/>
        <v>100</v>
      </c>
      <c r="T15" s="714" t="s">
        <v>17</v>
      </c>
      <c r="U15" s="715">
        <f t="shared" si="1"/>
        <v>100</v>
      </c>
      <c r="V15" s="714" t="s">
        <v>17</v>
      </c>
      <c r="W15" s="715">
        <f t="shared" si="2"/>
        <v>100</v>
      </c>
      <c r="X15" s="1539"/>
      <c r="Y15" s="394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954"/>
      <c r="Q16" s="1536"/>
      <c r="R16" s="714"/>
      <c r="S16" s="715"/>
      <c r="T16" s="714"/>
      <c r="U16" s="715"/>
      <c r="V16" s="714"/>
      <c r="W16" s="715"/>
      <c r="X16" s="1539"/>
      <c r="Y16" s="394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954"/>
      <c r="Q17" s="1536" t="str">
        <f>B17</f>
        <v>交通便捷度</v>
      </c>
      <c r="R17" s="714" t="s">
        <v>17</v>
      </c>
      <c r="S17" s="715">
        <f>F17</f>
        <v>100</v>
      </c>
      <c r="T17" s="714" t="s">
        <v>17</v>
      </c>
      <c r="U17" s="715">
        <f>H17</f>
        <v>100</v>
      </c>
      <c r="V17" s="714" t="s">
        <v>17</v>
      </c>
      <c r="W17" s="715">
        <f>J17</f>
        <v>100</v>
      </c>
      <c r="X17" s="1539"/>
      <c r="Y17" s="394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954"/>
      <c r="Q18" s="1536"/>
      <c r="R18" s="714"/>
      <c r="S18" s="715"/>
      <c r="T18" s="714"/>
      <c r="U18" s="715"/>
      <c r="V18" s="714"/>
      <c r="W18" s="715"/>
      <c r="X18" s="1539"/>
      <c r="Y18" s="394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954"/>
      <c r="Q19" s="1536" t="str">
        <f>B19</f>
        <v>公共配套设施</v>
      </c>
      <c r="R19" s="714" t="s">
        <v>17</v>
      </c>
      <c r="S19" s="715">
        <f>F19</f>
        <v>100</v>
      </c>
      <c r="T19" s="714" t="s">
        <v>17</v>
      </c>
      <c r="U19" s="715">
        <f>H19</f>
        <v>100</v>
      </c>
      <c r="V19" s="714" t="s">
        <v>17</v>
      </c>
      <c r="W19" s="715">
        <f>J19</f>
        <v>100</v>
      </c>
      <c r="X19" s="1539"/>
      <c r="Y19" s="394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954"/>
      <c r="Q20" s="1536"/>
      <c r="R20" s="714"/>
      <c r="S20" s="715"/>
      <c r="T20" s="714"/>
      <c r="U20" s="715"/>
      <c r="V20" s="714"/>
      <c r="W20" s="715"/>
      <c r="X20" s="1539"/>
      <c r="Y20" s="394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954"/>
      <c r="Q21" s="1536" t="str">
        <f>B21</f>
        <v>基础设施水平</v>
      </c>
      <c r="R21" s="714" t="s">
        <v>17</v>
      </c>
      <c r="S21" s="715">
        <f>F21</f>
        <v>100</v>
      </c>
      <c r="T21" s="714" t="s">
        <v>17</v>
      </c>
      <c r="U21" s="715">
        <f>H21</f>
        <v>100</v>
      </c>
      <c r="V21" s="714" t="s">
        <v>17</v>
      </c>
      <c r="W21" s="715">
        <f>J21</f>
        <v>100</v>
      </c>
      <c r="X21" s="1539"/>
      <c r="Y21" s="394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954"/>
      <c r="Q22" s="1536"/>
      <c r="R22" s="714"/>
      <c r="S22" s="715"/>
      <c r="T22" s="714"/>
      <c r="U22" s="715"/>
      <c r="V22" s="714"/>
      <c r="W22" s="715"/>
      <c r="X22" s="1539"/>
      <c r="Y22" s="394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954"/>
      <c r="Q23" s="1536" t="str">
        <f>B23</f>
        <v>自然及人文环境</v>
      </c>
      <c r="R23" s="714" t="s">
        <v>17</v>
      </c>
      <c r="S23" s="715">
        <f>F23</f>
        <v>100</v>
      </c>
      <c r="T23" s="714" t="s">
        <v>17</v>
      </c>
      <c r="U23" s="715">
        <f>H23</f>
        <v>100</v>
      </c>
      <c r="V23" s="714" t="s">
        <v>17</v>
      </c>
      <c r="W23" s="715">
        <f>J23</f>
        <v>100</v>
      </c>
      <c r="X23" s="1539"/>
      <c r="Y23" s="394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954"/>
      <c r="Q24" s="1536"/>
      <c r="R24" s="714"/>
      <c r="S24" s="715"/>
      <c r="T24" s="714"/>
      <c r="U24" s="715"/>
      <c r="V24" s="714"/>
      <c r="W24" s="715"/>
      <c r="X24" s="1539"/>
      <c r="Y24" s="394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954"/>
      <c r="Q25" s="1536" t="str">
        <f t="shared" ref="Q25:Q46" si="11">B25</f>
        <v>临街状况</v>
      </c>
      <c r="R25" s="714" t="s">
        <v>17</v>
      </c>
      <c r="S25" s="715">
        <f>F25</f>
        <v>100</v>
      </c>
      <c r="T25" s="714" t="s">
        <v>17</v>
      </c>
      <c r="U25" s="715">
        <f>H25</f>
        <v>100</v>
      </c>
      <c r="V25" s="714" t="s">
        <v>17</v>
      </c>
      <c r="W25" s="715">
        <f>J25</f>
        <v>100</v>
      </c>
      <c r="X25" s="1539"/>
      <c r="Y25" s="394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954"/>
      <c r="Q26" s="1536" t="str">
        <f t="shared" si="11"/>
        <v>平面位置/可视性</v>
      </c>
      <c r="R26" s="714" t="s">
        <v>17</v>
      </c>
      <c r="S26" s="715">
        <f>F26</f>
        <v>100</v>
      </c>
      <c r="T26" s="714" t="s">
        <v>17</v>
      </c>
      <c r="U26" s="715">
        <f>H26</f>
        <v>100</v>
      </c>
      <c r="V26" s="714" t="s">
        <v>17</v>
      </c>
      <c r="W26" s="715">
        <f>J26</f>
        <v>100</v>
      </c>
      <c r="X26" s="1539"/>
      <c r="Y26" s="394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954"/>
      <c r="Q27" s="1527" t="str">
        <f t="shared" si="11"/>
        <v>人流量</v>
      </c>
      <c r="R27" s="710" t="s">
        <v>17</v>
      </c>
      <c r="S27" s="711">
        <f>F27</f>
        <v>100</v>
      </c>
      <c r="T27" s="710" t="s">
        <v>17</v>
      </c>
      <c r="U27" s="711">
        <f>H27</f>
        <v>100</v>
      </c>
      <c r="V27" s="710" t="s">
        <v>17</v>
      </c>
      <c r="W27" s="711">
        <f>J27</f>
        <v>100</v>
      </c>
      <c r="X27" s="712"/>
      <c r="Y27" s="394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95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94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954"/>
      <c r="Q29" s="1536">
        <f t="shared" si="11"/>
        <v>111</v>
      </c>
      <c r="R29" s="714" t="s">
        <v>17</v>
      </c>
      <c r="S29" s="715">
        <f t="shared" si="12"/>
        <v>100</v>
      </c>
      <c r="T29" s="714" t="s">
        <v>17</v>
      </c>
      <c r="U29" s="715">
        <f t="shared" si="13"/>
        <v>100</v>
      </c>
      <c r="V29" s="714" t="s">
        <v>17</v>
      </c>
      <c r="W29" s="715">
        <f t="shared" si="14"/>
        <v>100</v>
      </c>
      <c r="X29" s="1539"/>
      <c r="Y29" s="394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954"/>
      <c r="Q30" s="1536">
        <f t="shared" si="11"/>
        <v>111</v>
      </c>
      <c r="R30" s="714" t="s">
        <v>17</v>
      </c>
      <c r="S30" s="715">
        <f t="shared" si="12"/>
        <v>100</v>
      </c>
      <c r="T30" s="714" t="s">
        <v>17</v>
      </c>
      <c r="U30" s="715">
        <f t="shared" si="13"/>
        <v>100</v>
      </c>
      <c r="V30" s="714" t="s">
        <v>17</v>
      </c>
      <c r="W30" s="715">
        <f t="shared" si="14"/>
        <v>100</v>
      </c>
      <c r="X30" s="1539"/>
      <c r="Y30" s="394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954"/>
      <c r="Q31" s="1536">
        <f t="shared" si="11"/>
        <v>111</v>
      </c>
      <c r="R31" s="714" t="s">
        <v>17</v>
      </c>
      <c r="S31" s="715">
        <f t="shared" si="12"/>
        <v>100</v>
      </c>
      <c r="T31" s="714" t="s">
        <v>17</v>
      </c>
      <c r="U31" s="715">
        <f t="shared" si="13"/>
        <v>100</v>
      </c>
      <c r="V31" s="714" t="s">
        <v>17</v>
      </c>
      <c r="W31" s="715">
        <f t="shared" si="14"/>
        <v>100</v>
      </c>
      <c r="X31" s="1539"/>
      <c r="Y31" s="394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948" t="s">
        <v>2386</v>
      </c>
      <c r="Q32" s="1536" t="str">
        <f t="shared" si="11"/>
        <v>商业类型</v>
      </c>
      <c r="R32" s="714" t="s">
        <v>17</v>
      </c>
      <c r="S32" s="715">
        <f t="shared" si="12"/>
        <v>100</v>
      </c>
      <c r="T32" s="714" t="s">
        <v>17</v>
      </c>
      <c r="U32" s="715">
        <f t="shared" si="13"/>
        <v>100</v>
      </c>
      <c r="V32" s="714" t="s">
        <v>17</v>
      </c>
      <c r="W32" s="715">
        <f t="shared" si="14"/>
        <v>100</v>
      </c>
      <c r="X32" s="1539"/>
      <c r="Y32" s="395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949"/>
      <c r="Q33" s="716" t="str">
        <f t="shared" si="11"/>
        <v>项目建筑规模</v>
      </c>
      <c r="R33" s="717" t="s">
        <v>17</v>
      </c>
      <c r="S33" s="718" t="e">
        <f t="shared" si="12"/>
        <v>#N/A</v>
      </c>
      <c r="T33" s="717" t="s">
        <v>17</v>
      </c>
      <c r="U33" s="718" t="e">
        <f t="shared" si="13"/>
        <v>#N/A</v>
      </c>
      <c r="V33" s="717" t="s">
        <v>17</v>
      </c>
      <c r="W33" s="718" t="e">
        <f t="shared" si="14"/>
        <v>#N/A</v>
      </c>
      <c r="X33" s="719"/>
      <c r="Y33" s="395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949"/>
      <c r="Q34" s="1536" t="str">
        <f t="shared" si="11"/>
        <v>建筑结构</v>
      </c>
      <c r="R34" s="714" t="s">
        <v>17</v>
      </c>
      <c r="S34" s="715">
        <f t="shared" si="12"/>
        <v>100</v>
      </c>
      <c r="T34" s="714" t="s">
        <v>17</v>
      </c>
      <c r="U34" s="715">
        <f t="shared" si="13"/>
        <v>100</v>
      </c>
      <c r="V34" s="714" t="s">
        <v>17</v>
      </c>
      <c r="W34" s="715">
        <f t="shared" si="14"/>
        <v>100</v>
      </c>
      <c r="X34" s="1539"/>
      <c r="Y34" s="395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949"/>
      <c r="Q35" s="1536" t="str">
        <f t="shared" si="11"/>
        <v>公共部分装修</v>
      </c>
      <c r="R35" s="714" t="s">
        <v>17</v>
      </c>
      <c r="S35" s="715">
        <f t="shared" si="12"/>
        <v>100</v>
      </c>
      <c r="T35" s="714" t="s">
        <v>17</v>
      </c>
      <c r="U35" s="715">
        <f t="shared" si="13"/>
        <v>100</v>
      </c>
      <c r="V35" s="714" t="s">
        <v>17</v>
      </c>
      <c r="W35" s="715">
        <f t="shared" si="14"/>
        <v>100</v>
      </c>
      <c r="X35" s="1539"/>
      <c r="Y35" s="395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949"/>
      <c r="Q36" s="1536" t="str">
        <f t="shared" si="11"/>
        <v>成新度</v>
      </c>
      <c r="R36" s="714" t="s">
        <v>17</v>
      </c>
      <c r="S36" s="715" t="e">
        <f t="shared" si="12"/>
        <v>#N/A</v>
      </c>
      <c r="T36" s="714" t="s">
        <v>17</v>
      </c>
      <c r="U36" s="715" t="e">
        <f t="shared" si="13"/>
        <v>#N/A</v>
      </c>
      <c r="V36" s="714" t="s">
        <v>17</v>
      </c>
      <c r="W36" s="715" t="e">
        <f t="shared" si="14"/>
        <v>#N/A</v>
      </c>
      <c r="X36" s="1539"/>
      <c r="Y36" s="395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949"/>
      <c r="Q37" s="1527" t="str">
        <f t="shared" si="11"/>
        <v>市政基础设施</v>
      </c>
      <c r="R37" s="710" t="s">
        <v>17</v>
      </c>
      <c r="S37" s="711">
        <f t="shared" si="12"/>
        <v>100</v>
      </c>
      <c r="T37" s="710" t="s">
        <v>17</v>
      </c>
      <c r="U37" s="711">
        <f t="shared" si="13"/>
        <v>100</v>
      </c>
      <c r="V37" s="710" t="s">
        <v>17</v>
      </c>
      <c r="W37" s="711">
        <f t="shared" si="14"/>
        <v>100</v>
      </c>
      <c r="X37" s="712"/>
      <c r="Y37" s="395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949" t="s">
        <v>2386</v>
      </c>
      <c r="Q38" s="1536" t="str">
        <f t="shared" si="11"/>
        <v>业态</v>
      </c>
      <c r="R38" s="714" t="s">
        <v>17</v>
      </c>
      <c r="S38" s="715">
        <f t="shared" si="12"/>
        <v>100</v>
      </c>
      <c r="T38" s="714" t="s">
        <v>17</v>
      </c>
      <c r="U38" s="715">
        <f t="shared" si="13"/>
        <v>100</v>
      </c>
      <c r="V38" s="714" t="s">
        <v>17</v>
      </c>
      <c r="W38" s="715">
        <f t="shared" si="14"/>
        <v>100</v>
      </c>
      <c r="X38" s="1539"/>
      <c r="Y38" s="395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949"/>
      <c r="Q39" s="1536" t="str">
        <f t="shared" si="11"/>
        <v>层高</v>
      </c>
      <c r="R39" s="714" t="s">
        <v>17</v>
      </c>
      <c r="S39" s="715">
        <f t="shared" si="12"/>
        <v>100</v>
      </c>
      <c r="T39" s="714" t="s">
        <v>17</v>
      </c>
      <c r="U39" s="715">
        <f t="shared" si="13"/>
        <v>100</v>
      </c>
      <c r="V39" s="714" t="s">
        <v>17</v>
      </c>
      <c r="W39" s="715">
        <f t="shared" si="14"/>
        <v>100</v>
      </c>
      <c r="X39" s="1539"/>
      <c r="Y39" s="395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949"/>
      <c r="Q40" s="1536" t="str">
        <f t="shared" si="11"/>
        <v>单套建筑面积</v>
      </c>
      <c r="R40" s="714" t="s">
        <v>17</v>
      </c>
      <c r="S40" s="715">
        <f t="shared" si="12"/>
        <v>100</v>
      </c>
      <c r="T40" s="714" t="s">
        <v>17</v>
      </c>
      <c r="U40" s="715">
        <f t="shared" si="13"/>
        <v>100</v>
      </c>
      <c r="V40" s="714" t="s">
        <v>17</v>
      </c>
      <c r="W40" s="715">
        <f t="shared" si="14"/>
        <v>100</v>
      </c>
      <c r="X40" s="1539"/>
      <c r="Y40" s="395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949"/>
      <c r="Q41" s="716" t="str">
        <f t="shared" si="11"/>
        <v>进深比</v>
      </c>
      <c r="R41" s="717" t="s">
        <v>17</v>
      </c>
      <c r="S41" s="718">
        <f t="shared" si="12"/>
        <v>100</v>
      </c>
      <c r="T41" s="717" t="s">
        <v>17</v>
      </c>
      <c r="U41" s="718">
        <f t="shared" si="13"/>
        <v>100</v>
      </c>
      <c r="V41" s="717" t="s">
        <v>17</v>
      </c>
      <c r="W41" s="718">
        <f t="shared" si="14"/>
        <v>100</v>
      </c>
      <c r="X41" s="719"/>
      <c r="Y41" s="395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949"/>
      <c r="Q42" s="1536" t="str">
        <f t="shared" si="11"/>
        <v>内部装修</v>
      </c>
      <c r="R42" s="714" t="s">
        <v>17</v>
      </c>
      <c r="S42" s="715">
        <f t="shared" si="12"/>
        <v>100</v>
      </c>
      <c r="T42" s="714" t="s">
        <v>17</v>
      </c>
      <c r="U42" s="715">
        <f t="shared" si="13"/>
        <v>100</v>
      </c>
      <c r="V42" s="714" t="s">
        <v>17</v>
      </c>
      <c r="W42" s="715">
        <f t="shared" si="14"/>
        <v>100</v>
      </c>
      <c r="X42" s="1539"/>
      <c r="Y42" s="395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949"/>
      <c r="Q43" s="1536" t="str">
        <f t="shared" si="11"/>
        <v>内部装修维护情况</v>
      </c>
      <c r="R43" s="714" t="s">
        <v>17</v>
      </c>
      <c r="S43" s="715">
        <f t="shared" si="12"/>
        <v>100</v>
      </c>
      <c r="T43" s="714" t="s">
        <v>17</v>
      </c>
      <c r="U43" s="715">
        <f t="shared" si="13"/>
        <v>100</v>
      </c>
      <c r="V43" s="714" t="s">
        <v>17</v>
      </c>
      <c r="W43" s="715">
        <f t="shared" si="14"/>
        <v>100</v>
      </c>
      <c r="X43" s="1539"/>
      <c r="Y43" s="395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949"/>
      <c r="Q44" s="1527">
        <f t="shared" si="11"/>
        <v>111</v>
      </c>
      <c r="R44" s="710" t="s">
        <v>17</v>
      </c>
      <c r="S44" s="711">
        <f t="shared" si="12"/>
        <v>100</v>
      </c>
      <c r="T44" s="710" t="s">
        <v>17</v>
      </c>
      <c r="U44" s="711">
        <f t="shared" si="13"/>
        <v>100</v>
      </c>
      <c r="V44" s="710" t="s">
        <v>17</v>
      </c>
      <c r="W44" s="711">
        <f t="shared" si="14"/>
        <v>100</v>
      </c>
      <c r="X44" s="712"/>
      <c r="Y44" s="395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949"/>
      <c r="Q45" s="1536">
        <f t="shared" si="11"/>
        <v>111</v>
      </c>
      <c r="R45" s="714" t="s">
        <v>17</v>
      </c>
      <c r="S45" s="715">
        <f t="shared" si="12"/>
        <v>100</v>
      </c>
      <c r="T45" s="714" t="s">
        <v>17</v>
      </c>
      <c r="U45" s="715">
        <f t="shared" si="13"/>
        <v>100</v>
      </c>
      <c r="V45" s="714" t="s">
        <v>17</v>
      </c>
      <c r="W45" s="715">
        <f t="shared" si="14"/>
        <v>100</v>
      </c>
      <c r="X45" s="1539"/>
      <c r="Y45" s="395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950"/>
      <c r="Q46" s="1536">
        <f t="shared" si="11"/>
        <v>111</v>
      </c>
      <c r="R46" s="714" t="s">
        <v>17</v>
      </c>
      <c r="S46" s="715">
        <f t="shared" si="12"/>
        <v>100</v>
      </c>
      <c r="T46" s="714" t="s">
        <v>17</v>
      </c>
      <c r="U46" s="715">
        <f t="shared" si="13"/>
        <v>100</v>
      </c>
      <c r="V46" s="714" t="s">
        <v>17</v>
      </c>
      <c r="W46" s="715">
        <f t="shared" si="14"/>
        <v>100</v>
      </c>
      <c r="X46" s="1539"/>
      <c r="Y46" s="395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944" t="str">
        <f>A47</f>
        <v>成交单价（元/平方米）</v>
      </c>
      <c r="Q47" s="3944"/>
      <c r="R47" s="3939">
        <f>E47</f>
        <v>0</v>
      </c>
      <c r="S47" s="3939"/>
      <c r="T47" s="3939">
        <f>G47</f>
        <v>0</v>
      </c>
      <c r="U47" s="3939"/>
      <c r="V47" s="3939">
        <f>I47</f>
        <v>0</v>
      </c>
      <c r="W47" s="3939"/>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944" t="str">
        <f>A48</f>
        <v>比较价值（元/平方米）</v>
      </c>
      <c r="Q48" s="3944"/>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941" t="str">
        <f>A49</f>
        <v>估价对象XX用房的比较价值（楼面单价，元/平方米）</v>
      </c>
      <c r="Q49" s="3942"/>
      <c r="R49" s="3943" t="e">
        <f>IF(F1="售价",ROUND(IF(D48="简单平均",AVERAGE(R48:V48),R48*F48+T48*H48+V48*J48),0),ROUND(IF(D48="简单平均",AVERAGE(R48:V48),R48*F48+T48*H48+V48*J48),1))</f>
        <v>#DIV/0!</v>
      </c>
      <c r="S49" s="3943"/>
      <c r="T49" s="3943"/>
      <c r="U49" s="3943"/>
      <c r="V49" s="3943"/>
      <c r="W49" s="394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估价对象为房地产，为所有。根据《国有土地使用证》[]，估价对象（分摊）出让国有建设用地使用权面积为1442.46平方米，建筑面积为313.63平方米。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估价对象为房地产,属开发建设的，该项目尚在开发建设中。根据《国有土地使用证》[]，估价对象（分摊）出让国有建设用地使用权面积为1442.46平方米，规划建筑面积为313.63平方米。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927" t="s">
        <v>2467</v>
      </c>
      <c r="D4" s="3928"/>
      <c r="E4" s="3929" t="s">
        <v>2468</v>
      </c>
      <c r="F4" s="3930"/>
      <c r="G4" s="3927" t="s">
        <v>2469</v>
      </c>
      <c r="H4" s="3928"/>
      <c r="I4" s="3927" t="s">
        <v>2470</v>
      </c>
      <c r="J4" s="3928"/>
      <c r="K4" s="567" t="s">
        <v>2471</v>
      </c>
      <c r="L4" s="2944"/>
      <c r="M4" s="2945"/>
      <c r="N4" s="2945"/>
      <c r="O4" s="2945"/>
      <c r="P4" s="3961" t="s">
        <v>2472</v>
      </c>
      <c r="Q4" s="3962"/>
      <c r="R4" s="3956" t="s">
        <v>2468</v>
      </c>
      <c r="S4" s="3957"/>
      <c r="T4" s="3956" t="s">
        <v>2469</v>
      </c>
      <c r="U4" s="3957"/>
      <c r="V4" s="3965" t="s">
        <v>2470</v>
      </c>
      <c r="W4" s="3965"/>
      <c r="X4" s="2144"/>
      <c r="Y4" s="3956" t="s">
        <v>2472</v>
      </c>
      <c r="Z4" s="3957"/>
      <c r="AA4" s="3955" t="s">
        <v>2468</v>
      </c>
      <c r="AB4" s="3955" t="s">
        <v>2469</v>
      </c>
      <c r="AC4" s="3958" t="s">
        <v>2470</v>
      </c>
    </row>
    <row r="5" spans="1:29" ht="15">
      <c r="A5" s="364"/>
      <c r="B5" s="365"/>
      <c r="C5" s="3920" t="s">
        <v>2363</v>
      </c>
      <c r="D5" s="3921"/>
      <c r="E5" s="3918" t="s">
        <v>2364</v>
      </c>
      <c r="F5" s="3919"/>
      <c r="G5" s="3920" t="s">
        <v>2365</v>
      </c>
      <c r="H5" s="3921"/>
      <c r="I5" s="3920" t="s">
        <v>2366</v>
      </c>
      <c r="J5" s="3921"/>
      <c r="K5" s="567"/>
      <c r="L5" s="2944"/>
      <c r="M5" s="2945"/>
      <c r="N5" s="2945"/>
      <c r="O5" s="2945"/>
      <c r="P5" s="3963"/>
      <c r="Q5" s="3934"/>
      <c r="R5" s="3916"/>
      <c r="S5" s="3917"/>
      <c r="T5" s="3916"/>
      <c r="U5" s="3917"/>
      <c r="V5" s="3939"/>
      <c r="W5" s="3939"/>
      <c r="X5" s="1539"/>
      <c r="Y5" s="3916"/>
      <c r="Z5" s="3917"/>
      <c r="AA5" s="3910"/>
      <c r="AB5" s="3910"/>
      <c r="AC5" s="3959"/>
    </row>
    <row r="6" spans="1:29" ht="15.75" thickBot="1">
      <c r="A6" s="366"/>
      <c r="B6" s="367"/>
      <c r="C6" s="3922" t="s">
        <v>2367</v>
      </c>
      <c r="D6" s="3923"/>
      <c r="E6" s="3924" t="s">
        <v>2367</v>
      </c>
      <c r="F6" s="3925"/>
      <c r="G6" s="3922" t="s">
        <v>2367</v>
      </c>
      <c r="H6" s="3923"/>
      <c r="I6" s="3922" t="s">
        <v>2367</v>
      </c>
      <c r="J6" s="3923"/>
      <c r="K6" s="567" t="s">
        <v>2368</v>
      </c>
      <c r="L6" s="2944"/>
      <c r="M6" s="2945"/>
      <c r="N6" s="2945"/>
      <c r="O6" s="2945"/>
      <c r="P6" s="3964"/>
      <c r="Q6" s="3936"/>
      <c r="R6" s="3916"/>
      <c r="S6" s="3917"/>
      <c r="T6" s="3937"/>
      <c r="U6" s="3938"/>
      <c r="V6" s="3939"/>
      <c r="W6" s="3939"/>
      <c r="X6" s="1539"/>
      <c r="Y6" s="3937"/>
      <c r="Z6" s="3938"/>
      <c r="AA6" s="3911"/>
      <c r="AB6" s="3911"/>
      <c r="AC6" s="3960"/>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3966" t="s">
        <v>2370</v>
      </c>
      <c r="Q7" s="3940"/>
      <c r="R7" s="710" t="s">
        <v>17</v>
      </c>
      <c r="S7" s="711">
        <f t="shared" ref="S7:S15" si="0">F7</f>
        <v>0</v>
      </c>
      <c r="T7" s="710" t="s">
        <v>17</v>
      </c>
      <c r="U7" s="711">
        <f t="shared" ref="U7:U15" si="1">H7</f>
        <v>0</v>
      </c>
      <c r="V7" s="710" t="s">
        <v>17</v>
      </c>
      <c r="W7" s="711">
        <f t="shared" ref="W7:W15" si="2">J7</f>
        <v>0</v>
      </c>
      <c r="X7" s="712"/>
      <c r="Y7" s="3912" t="s">
        <v>2370</v>
      </c>
      <c r="Z7" s="3913"/>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966" t="s">
        <v>2373</v>
      </c>
      <c r="Q8" s="3913"/>
      <c r="R8" s="710" t="s">
        <v>17</v>
      </c>
      <c r="S8" s="711">
        <f t="shared" si="0"/>
        <v>0</v>
      </c>
      <c r="T8" s="710" t="s">
        <v>17</v>
      </c>
      <c r="U8" s="711">
        <f t="shared" si="1"/>
        <v>0</v>
      </c>
      <c r="V8" s="710" t="s">
        <v>17</v>
      </c>
      <c r="W8" s="711">
        <f t="shared" si="2"/>
        <v>0</v>
      </c>
      <c r="X8" s="712"/>
      <c r="Y8" s="3912" t="s">
        <v>2373</v>
      </c>
      <c r="Z8" s="3913"/>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926" t="s">
        <v>2376</v>
      </c>
      <c r="Q9" s="1527" t="str">
        <f t="shared" ref="Q9:Q15" si="6">B9</f>
        <v>用途</v>
      </c>
      <c r="R9" s="710" t="s">
        <v>17</v>
      </c>
      <c r="S9" s="711">
        <f t="shared" si="0"/>
        <v>100</v>
      </c>
      <c r="T9" s="710" t="s">
        <v>17</v>
      </c>
      <c r="U9" s="711">
        <f t="shared" si="1"/>
        <v>100</v>
      </c>
      <c r="V9" s="710" t="s">
        <v>17</v>
      </c>
      <c r="W9" s="711">
        <f t="shared" si="2"/>
        <v>100</v>
      </c>
      <c r="X9" s="712"/>
      <c r="Y9" s="385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926"/>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926"/>
      <c r="Q11" s="1527" t="str">
        <f t="shared" si="6"/>
        <v>容积率</v>
      </c>
      <c r="R11" s="710" t="s">
        <v>17</v>
      </c>
      <c r="S11" s="711" t="e">
        <f t="shared" si="0"/>
        <v>#N/A</v>
      </c>
      <c r="T11" s="710" t="s">
        <v>17</v>
      </c>
      <c r="U11" s="711" t="e">
        <f t="shared" si="1"/>
        <v>#N/A</v>
      </c>
      <c r="V11" s="710" t="s">
        <v>17</v>
      </c>
      <c r="W11" s="711" t="e">
        <f t="shared" si="2"/>
        <v>#N/A</v>
      </c>
      <c r="X11" s="712"/>
      <c r="Y11" s="385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926"/>
      <c r="Q12" s="1527">
        <f t="shared" si="6"/>
        <v>111</v>
      </c>
      <c r="R12" s="710" t="s">
        <v>17</v>
      </c>
      <c r="S12" s="711">
        <f t="shared" si="0"/>
        <v>100</v>
      </c>
      <c r="T12" s="710" t="s">
        <v>17</v>
      </c>
      <c r="U12" s="711">
        <f t="shared" si="1"/>
        <v>100</v>
      </c>
      <c r="V12" s="710" t="s">
        <v>17</v>
      </c>
      <c r="W12" s="711">
        <f t="shared" si="2"/>
        <v>100</v>
      </c>
      <c r="X12" s="712"/>
      <c r="Y12" s="385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926"/>
      <c r="Q13" s="1527">
        <f t="shared" si="6"/>
        <v>111</v>
      </c>
      <c r="R13" s="710" t="s">
        <v>17</v>
      </c>
      <c r="S13" s="711">
        <f t="shared" si="0"/>
        <v>100</v>
      </c>
      <c r="T13" s="710" t="s">
        <v>17</v>
      </c>
      <c r="U13" s="711">
        <f t="shared" si="1"/>
        <v>100</v>
      </c>
      <c r="V13" s="710" t="s">
        <v>17</v>
      </c>
      <c r="W13" s="711">
        <f t="shared" si="2"/>
        <v>100</v>
      </c>
      <c r="X13" s="712"/>
      <c r="Y13" s="385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926"/>
      <c r="Q14" s="1527">
        <f t="shared" si="6"/>
        <v>111</v>
      </c>
      <c r="R14" s="710" t="s">
        <v>17</v>
      </c>
      <c r="S14" s="711">
        <f t="shared" si="0"/>
        <v>100</v>
      </c>
      <c r="T14" s="710" t="s">
        <v>17</v>
      </c>
      <c r="U14" s="711">
        <f t="shared" si="1"/>
        <v>100</v>
      </c>
      <c r="V14" s="710" t="s">
        <v>17</v>
      </c>
      <c r="W14" s="711">
        <f t="shared" si="2"/>
        <v>100</v>
      </c>
      <c r="X14" s="712"/>
      <c r="Y14" s="385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953" t="s">
        <v>2381</v>
      </c>
      <c r="Q15" s="1536" t="str">
        <f t="shared" si="6"/>
        <v>办公集聚程度</v>
      </c>
      <c r="R15" s="714" t="s">
        <v>17</v>
      </c>
      <c r="S15" s="715">
        <f t="shared" si="0"/>
        <v>100</v>
      </c>
      <c r="T15" s="714" t="s">
        <v>17</v>
      </c>
      <c r="U15" s="715">
        <f t="shared" si="1"/>
        <v>100</v>
      </c>
      <c r="V15" s="714" t="s">
        <v>17</v>
      </c>
      <c r="W15" s="715">
        <f t="shared" si="2"/>
        <v>100</v>
      </c>
      <c r="X15" s="1539"/>
      <c r="Y15" s="3946"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954"/>
      <c r="Q16" s="1536"/>
      <c r="R16" s="714"/>
      <c r="S16" s="715"/>
      <c r="T16" s="714"/>
      <c r="U16" s="715"/>
      <c r="V16" s="714"/>
      <c r="W16" s="715"/>
      <c r="X16" s="1539"/>
      <c r="Y16" s="394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954"/>
      <c r="Q17" s="1536" t="str">
        <f>B17</f>
        <v>交通便捷度</v>
      </c>
      <c r="R17" s="714" t="s">
        <v>17</v>
      </c>
      <c r="S17" s="715">
        <f>F17</f>
        <v>100</v>
      </c>
      <c r="T17" s="714" t="s">
        <v>17</v>
      </c>
      <c r="U17" s="715">
        <f>H17</f>
        <v>100</v>
      </c>
      <c r="V17" s="714" t="s">
        <v>17</v>
      </c>
      <c r="W17" s="715">
        <f>J17</f>
        <v>100</v>
      </c>
      <c r="X17" s="1539"/>
      <c r="Y17" s="394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954"/>
      <c r="Q18" s="1536"/>
      <c r="R18" s="714"/>
      <c r="S18" s="715"/>
      <c r="T18" s="714"/>
      <c r="U18" s="715"/>
      <c r="V18" s="714"/>
      <c r="W18" s="715"/>
      <c r="X18" s="1539"/>
      <c r="Y18" s="394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954"/>
      <c r="Q19" s="1536" t="str">
        <f>B19</f>
        <v>公共配套设施</v>
      </c>
      <c r="R19" s="714" t="s">
        <v>17</v>
      </c>
      <c r="S19" s="715">
        <f>F19</f>
        <v>100</v>
      </c>
      <c r="T19" s="714" t="s">
        <v>17</v>
      </c>
      <c r="U19" s="715">
        <f>H19</f>
        <v>100</v>
      </c>
      <c r="V19" s="714" t="s">
        <v>17</v>
      </c>
      <c r="W19" s="715">
        <f>J19</f>
        <v>100</v>
      </c>
      <c r="X19" s="1539"/>
      <c r="Y19" s="394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954"/>
      <c r="Q20" s="1536"/>
      <c r="R20" s="714"/>
      <c r="S20" s="715"/>
      <c r="T20" s="714"/>
      <c r="U20" s="715"/>
      <c r="V20" s="714"/>
      <c r="W20" s="715"/>
      <c r="X20" s="1539"/>
      <c r="Y20" s="394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954"/>
      <c r="Q21" s="1536" t="str">
        <f>B21</f>
        <v>基础设施水平</v>
      </c>
      <c r="R21" s="714" t="s">
        <v>17</v>
      </c>
      <c r="S21" s="715">
        <f>F21</f>
        <v>100</v>
      </c>
      <c r="T21" s="714" t="s">
        <v>17</v>
      </c>
      <c r="U21" s="715">
        <f>H21</f>
        <v>100</v>
      </c>
      <c r="V21" s="714" t="s">
        <v>17</v>
      </c>
      <c r="W21" s="715">
        <f>J21</f>
        <v>100</v>
      </c>
      <c r="X21" s="1539"/>
      <c r="Y21" s="394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954"/>
      <c r="Q22" s="1536"/>
      <c r="R22" s="714"/>
      <c r="S22" s="715"/>
      <c r="T22" s="714"/>
      <c r="U22" s="715"/>
      <c r="V22" s="714"/>
      <c r="W22" s="715"/>
      <c r="X22" s="1539"/>
      <c r="Y22" s="394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954"/>
      <c r="Q23" s="1536" t="str">
        <f>B23</f>
        <v>环境质量</v>
      </c>
      <c r="R23" s="714" t="s">
        <v>17</v>
      </c>
      <c r="S23" s="715">
        <f>F23</f>
        <v>100</v>
      </c>
      <c r="T23" s="714" t="s">
        <v>17</v>
      </c>
      <c r="U23" s="715">
        <f>H23</f>
        <v>100</v>
      </c>
      <c r="V23" s="714" t="s">
        <v>17</v>
      </c>
      <c r="W23" s="715">
        <f>J23</f>
        <v>100</v>
      </c>
      <c r="X23" s="1539"/>
      <c r="Y23" s="394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954"/>
      <c r="Q24" s="1536"/>
      <c r="R24" s="714"/>
      <c r="S24" s="715"/>
      <c r="T24" s="714"/>
      <c r="U24" s="715"/>
      <c r="V24" s="714"/>
      <c r="W24" s="715"/>
      <c r="X24" s="1539"/>
      <c r="Y24" s="3947"/>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954"/>
      <c r="Q25" s="1536" t="str">
        <f>B25</f>
        <v>毗邻道路的类型与等级</v>
      </c>
      <c r="R25" s="714" t="s">
        <v>17</v>
      </c>
      <c r="S25" s="715">
        <f>F25</f>
        <v>100</v>
      </c>
      <c r="T25" s="714" t="s">
        <v>17</v>
      </c>
      <c r="U25" s="715">
        <f>H25</f>
        <v>100</v>
      </c>
      <c r="V25" s="714" t="s">
        <v>17</v>
      </c>
      <c r="W25" s="715">
        <f>J25</f>
        <v>100</v>
      </c>
      <c r="X25" s="1539"/>
      <c r="Y25" s="394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954"/>
      <c r="Q26" s="1536"/>
      <c r="R26" s="714"/>
      <c r="S26" s="715"/>
      <c r="T26" s="714"/>
      <c r="U26" s="715"/>
      <c r="V26" s="714"/>
      <c r="W26" s="715"/>
      <c r="X26" s="1539"/>
      <c r="Y26" s="3947"/>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954"/>
      <c r="Q27" s="1536" t="str">
        <f t="shared" ref="Q27:Q47" si="11">B27</f>
        <v>楼层</v>
      </c>
      <c r="R27" s="714" t="s">
        <v>17</v>
      </c>
      <c r="S27" s="715">
        <f>F27</f>
        <v>100</v>
      </c>
      <c r="T27" s="714" t="s">
        <v>17</v>
      </c>
      <c r="U27" s="715">
        <f>H27</f>
        <v>100</v>
      </c>
      <c r="V27" s="714" t="s">
        <v>17</v>
      </c>
      <c r="W27" s="715">
        <f>J27</f>
        <v>100</v>
      </c>
      <c r="X27" s="1539"/>
      <c r="Y27" s="3947"/>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954"/>
      <c r="Q28" s="1527" t="str">
        <f t="shared" si="11"/>
        <v>朝向</v>
      </c>
      <c r="R28" s="710" t="s">
        <v>17</v>
      </c>
      <c r="S28" s="711">
        <f>F28</f>
        <v>100</v>
      </c>
      <c r="T28" s="710" t="s">
        <v>17</v>
      </c>
      <c r="U28" s="711">
        <f>H28</f>
        <v>100</v>
      </c>
      <c r="V28" s="710" t="s">
        <v>17</v>
      </c>
      <c r="W28" s="711">
        <f>J28</f>
        <v>100</v>
      </c>
      <c r="X28" s="712"/>
      <c r="Y28" s="394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954"/>
      <c r="Q29" s="1536">
        <f t="shared" si="11"/>
        <v>111</v>
      </c>
      <c r="R29" s="714" t="s">
        <v>17</v>
      </c>
      <c r="S29" s="715">
        <f t="shared" ref="S29:S47" si="12">F29</f>
        <v>100</v>
      </c>
      <c r="T29" s="714" t="s">
        <v>17</v>
      </c>
      <c r="U29" s="715">
        <f t="shared" ref="U29:U47" si="13">H29</f>
        <v>100</v>
      </c>
      <c r="V29" s="714" t="s">
        <v>17</v>
      </c>
      <c r="W29" s="715">
        <f t="shared" ref="W29:W47" si="14">J29</f>
        <v>100</v>
      </c>
      <c r="X29" s="1539"/>
      <c r="Y29" s="394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954"/>
      <c r="Q30" s="1536">
        <f t="shared" si="11"/>
        <v>111</v>
      </c>
      <c r="R30" s="714" t="s">
        <v>17</v>
      </c>
      <c r="S30" s="715">
        <f t="shared" si="12"/>
        <v>100</v>
      </c>
      <c r="T30" s="714" t="s">
        <v>17</v>
      </c>
      <c r="U30" s="715">
        <f t="shared" si="13"/>
        <v>100</v>
      </c>
      <c r="V30" s="714" t="s">
        <v>17</v>
      </c>
      <c r="W30" s="715">
        <f t="shared" si="14"/>
        <v>100</v>
      </c>
      <c r="X30" s="1539"/>
      <c r="Y30" s="394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954"/>
      <c r="Q31" s="1536">
        <f t="shared" si="11"/>
        <v>111</v>
      </c>
      <c r="R31" s="714" t="s">
        <v>17</v>
      </c>
      <c r="S31" s="715">
        <f t="shared" si="12"/>
        <v>100</v>
      </c>
      <c r="T31" s="714" t="s">
        <v>17</v>
      </c>
      <c r="U31" s="715">
        <f t="shared" si="13"/>
        <v>100</v>
      </c>
      <c r="V31" s="714" t="s">
        <v>17</v>
      </c>
      <c r="W31" s="715">
        <f t="shared" si="14"/>
        <v>100</v>
      </c>
      <c r="X31" s="1539"/>
      <c r="Y31" s="394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954"/>
      <c r="Q32" s="1536">
        <f t="shared" si="11"/>
        <v>111</v>
      </c>
      <c r="R32" s="714" t="s">
        <v>17</v>
      </c>
      <c r="S32" s="715">
        <f t="shared" si="12"/>
        <v>100</v>
      </c>
      <c r="T32" s="714" t="s">
        <v>17</v>
      </c>
      <c r="U32" s="715">
        <f t="shared" si="13"/>
        <v>100</v>
      </c>
      <c r="V32" s="714" t="s">
        <v>17</v>
      </c>
      <c r="W32" s="715">
        <f t="shared" si="14"/>
        <v>100</v>
      </c>
      <c r="X32" s="1539"/>
      <c r="Y32" s="394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948" t="s">
        <v>2386</v>
      </c>
      <c r="Q33" s="1536" t="str">
        <f t="shared" si="11"/>
        <v>建筑类型</v>
      </c>
      <c r="R33" s="714" t="s">
        <v>17</v>
      </c>
      <c r="S33" s="715">
        <f t="shared" si="12"/>
        <v>100</v>
      </c>
      <c r="T33" s="714" t="s">
        <v>17</v>
      </c>
      <c r="U33" s="715">
        <f t="shared" si="13"/>
        <v>100</v>
      </c>
      <c r="V33" s="714" t="s">
        <v>17</v>
      </c>
      <c r="W33" s="715">
        <f t="shared" si="14"/>
        <v>100</v>
      </c>
      <c r="X33" s="1539"/>
      <c r="Y33" s="3951"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949"/>
      <c r="Q34" s="716" t="str">
        <f t="shared" si="11"/>
        <v>项目建筑规模</v>
      </c>
      <c r="R34" s="717" t="s">
        <v>17</v>
      </c>
      <c r="S34" s="718" t="e">
        <f t="shared" si="12"/>
        <v>#N/A</v>
      </c>
      <c r="T34" s="717" t="s">
        <v>17</v>
      </c>
      <c r="U34" s="718" t="e">
        <f t="shared" si="13"/>
        <v>#N/A</v>
      </c>
      <c r="V34" s="717" t="s">
        <v>17</v>
      </c>
      <c r="W34" s="718" t="e">
        <f t="shared" si="14"/>
        <v>#N/A</v>
      </c>
      <c r="X34" s="719"/>
      <c r="Y34" s="3951"/>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949"/>
      <c r="Q35" s="1536" t="str">
        <f t="shared" si="11"/>
        <v>建筑结构</v>
      </c>
      <c r="R35" s="714" t="s">
        <v>17</v>
      </c>
      <c r="S35" s="715">
        <f t="shared" si="12"/>
        <v>100</v>
      </c>
      <c r="T35" s="714" t="s">
        <v>17</v>
      </c>
      <c r="U35" s="715">
        <f t="shared" si="13"/>
        <v>100</v>
      </c>
      <c r="V35" s="714" t="s">
        <v>17</v>
      </c>
      <c r="W35" s="715">
        <f t="shared" si="14"/>
        <v>100</v>
      </c>
      <c r="X35" s="1539"/>
      <c r="Y35" s="3951"/>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949"/>
      <c r="Q36" s="1536" t="str">
        <f t="shared" si="11"/>
        <v>公共部分装修</v>
      </c>
      <c r="R36" s="714" t="s">
        <v>17</v>
      </c>
      <c r="S36" s="715">
        <f t="shared" si="12"/>
        <v>100</v>
      </c>
      <c r="T36" s="714" t="s">
        <v>17</v>
      </c>
      <c r="U36" s="715">
        <f t="shared" si="13"/>
        <v>100</v>
      </c>
      <c r="V36" s="714" t="s">
        <v>17</v>
      </c>
      <c r="W36" s="715">
        <f t="shared" si="14"/>
        <v>100</v>
      </c>
      <c r="X36" s="1539"/>
      <c r="Y36" s="3951"/>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949"/>
      <c r="Q37" s="1536" t="str">
        <f t="shared" si="11"/>
        <v>成新度</v>
      </c>
      <c r="R37" s="714" t="s">
        <v>17</v>
      </c>
      <c r="S37" s="715" t="e">
        <f t="shared" si="12"/>
        <v>#N/A</v>
      </c>
      <c r="T37" s="714" t="s">
        <v>17</v>
      </c>
      <c r="U37" s="715" t="e">
        <f t="shared" si="13"/>
        <v>#N/A</v>
      </c>
      <c r="V37" s="714" t="s">
        <v>17</v>
      </c>
      <c r="W37" s="715" t="e">
        <f t="shared" si="14"/>
        <v>#N/A</v>
      </c>
      <c r="X37" s="1539"/>
      <c r="Y37" s="3951"/>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949"/>
      <c r="Q38" s="1527" t="str">
        <f t="shared" si="11"/>
        <v>写字楼等级</v>
      </c>
      <c r="R38" s="710" t="s">
        <v>17</v>
      </c>
      <c r="S38" s="711">
        <f t="shared" si="12"/>
        <v>100</v>
      </c>
      <c r="T38" s="710" t="s">
        <v>17</v>
      </c>
      <c r="U38" s="711">
        <f t="shared" si="13"/>
        <v>100</v>
      </c>
      <c r="V38" s="710" t="s">
        <v>17</v>
      </c>
      <c r="W38" s="711">
        <f t="shared" si="14"/>
        <v>100</v>
      </c>
      <c r="X38" s="712"/>
      <c r="Y38" s="395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949" t="s">
        <v>2386</v>
      </c>
      <c r="Q39" s="1536" t="str">
        <f t="shared" si="11"/>
        <v>物业管理</v>
      </c>
      <c r="R39" s="714" t="s">
        <v>17</v>
      </c>
      <c r="S39" s="715">
        <f t="shared" si="12"/>
        <v>100</v>
      </c>
      <c r="T39" s="714" t="s">
        <v>17</v>
      </c>
      <c r="U39" s="715">
        <f t="shared" si="13"/>
        <v>100</v>
      </c>
      <c r="V39" s="714" t="s">
        <v>17</v>
      </c>
      <c r="W39" s="715">
        <f t="shared" si="14"/>
        <v>100</v>
      </c>
      <c r="X39" s="1539"/>
      <c r="Y39" s="395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949"/>
      <c r="Q40" s="1536" t="str">
        <f t="shared" si="11"/>
        <v>市政基础设施</v>
      </c>
      <c r="R40" s="714" t="s">
        <v>17</v>
      </c>
      <c r="S40" s="715">
        <f t="shared" si="12"/>
        <v>100</v>
      </c>
      <c r="T40" s="714" t="s">
        <v>17</v>
      </c>
      <c r="U40" s="715">
        <f t="shared" si="13"/>
        <v>100</v>
      </c>
      <c r="V40" s="714" t="s">
        <v>17</v>
      </c>
      <c r="W40" s="715">
        <f t="shared" si="14"/>
        <v>100</v>
      </c>
      <c r="X40" s="1539"/>
      <c r="Y40" s="3951"/>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949"/>
      <c r="Q41" s="1536" t="str">
        <f t="shared" si="11"/>
        <v>层高</v>
      </c>
      <c r="R41" s="714" t="s">
        <v>17</v>
      </c>
      <c r="S41" s="715">
        <f t="shared" si="12"/>
        <v>100</v>
      </c>
      <c r="T41" s="714" t="s">
        <v>17</v>
      </c>
      <c r="U41" s="715">
        <f t="shared" si="13"/>
        <v>100</v>
      </c>
      <c r="V41" s="714" t="s">
        <v>17</v>
      </c>
      <c r="W41" s="715">
        <f t="shared" si="14"/>
        <v>100</v>
      </c>
      <c r="X41" s="1539"/>
      <c r="Y41" s="395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949"/>
      <c r="Q42" s="716" t="str">
        <f t="shared" si="11"/>
        <v>单套建筑面积</v>
      </c>
      <c r="R42" s="717" t="s">
        <v>17</v>
      </c>
      <c r="S42" s="718">
        <f t="shared" si="12"/>
        <v>100</v>
      </c>
      <c r="T42" s="717" t="s">
        <v>17</v>
      </c>
      <c r="U42" s="718">
        <f t="shared" si="13"/>
        <v>100</v>
      </c>
      <c r="V42" s="717" t="s">
        <v>17</v>
      </c>
      <c r="W42" s="718">
        <f t="shared" si="14"/>
        <v>100</v>
      </c>
      <c r="X42" s="719"/>
      <c r="Y42" s="3951"/>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949"/>
      <c r="Q43" s="1536" t="str">
        <f t="shared" si="11"/>
        <v>内部装修</v>
      </c>
      <c r="R43" s="714" t="s">
        <v>17</v>
      </c>
      <c r="S43" s="715">
        <f t="shared" si="12"/>
        <v>100</v>
      </c>
      <c r="T43" s="714" t="s">
        <v>17</v>
      </c>
      <c r="U43" s="715">
        <f t="shared" si="13"/>
        <v>100</v>
      </c>
      <c r="V43" s="714" t="s">
        <v>17</v>
      </c>
      <c r="W43" s="715">
        <f t="shared" si="14"/>
        <v>100</v>
      </c>
      <c r="X43" s="1539"/>
      <c r="Y43" s="3951"/>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949"/>
      <c r="Q44" s="1536" t="str">
        <f t="shared" si="11"/>
        <v>内部装修维护情况</v>
      </c>
      <c r="R44" s="714" t="s">
        <v>17</v>
      </c>
      <c r="S44" s="715">
        <f t="shared" si="12"/>
        <v>100</v>
      </c>
      <c r="T44" s="714" t="s">
        <v>17</v>
      </c>
      <c r="U44" s="715">
        <f t="shared" si="13"/>
        <v>100</v>
      </c>
      <c r="V44" s="714" t="s">
        <v>17</v>
      </c>
      <c r="W44" s="715">
        <f t="shared" si="14"/>
        <v>100</v>
      </c>
      <c r="X44" s="1539"/>
      <c r="Y44" s="395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949"/>
      <c r="Q45" s="1527">
        <f t="shared" si="11"/>
        <v>111</v>
      </c>
      <c r="R45" s="710" t="s">
        <v>17</v>
      </c>
      <c r="S45" s="711">
        <f t="shared" si="12"/>
        <v>100</v>
      </c>
      <c r="T45" s="710" t="s">
        <v>17</v>
      </c>
      <c r="U45" s="711">
        <f t="shared" si="13"/>
        <v>100</v>
      </c>
      <c r="V45" s="710" t="s">
        <v>17</v>
      </c>
      <c r="W45" s="711">
        <f t="shared" si="14"/>
        <v>100</v>
      </c>
      <c r="X45" s="712"/>
      <c r="Y45" s="395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949"/>
      <c r="Q46" s="1536">
        <f t="shared" si="11"/>
        <v>111</v>
      </c>
      <c r="R46" s="714" t="s">
        <v>17</v>
      </c>
      <c r="S46" s="715">
        <f t="shared" si="12"/>
        <v>100</v>
      </c>
      <c r="T46" s="714" t="s">
        <v>17</v>
      </c>
      <c r="U46" s="715">
        <f t="shared" si="13"/>
        <v>100</v>
      </c>
      <c r="V46" s="714" t="s">
        <v>17</v>
      </c>
      <c r="W46" s="715">
        <f t="shared" si="14"/>
        <v>100</v>
      </c>
      <c r="X46" s="1539"/>
      <c r="Y46" s="395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950"/>
      <c r="Q47" s="1536">
        <f t="shared" si="11"/>
        <v>111</v>
      </c>
      <c r="R47" s="714" t="s">
        <v>17</v>
      </c>
      <c r="S47" s="715">
        <f t="shared" si="12"/>
        <v>100</v>
      </c>
      <c r="T47" s="714" t="s">
        <v>17</v>
      </c>
      <c r="U47" s="715">
        <f t="shared" si="13"/>
        <v>100</v>
      </c>
      <c r="V47" s="714" t="s">
        <v>17</v>
      </c>
      <c r="W47" s="715">
        <f t="shared" si="14"/>
        <v>100</v>
      </c>
      <c r="X47" s="1539"/>
      <c r="Y47" s="395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926" t="str">
        <f>A48</f>
        <v>成交单价（元/平方米）</v>
      </c>
      <c r="Q48" s="3944"/>
      <c r="R48" s="3945">
        <f>E48</f>
        <v>0</v>
      </c>
      <c r="S48" s="3945"/>
      <c r="T48" s="3945">
        <f>G48</f>
        <v>0</v>
      </c>
      <c r="U48" s="3945"/>
      <c r="V48" s="3945">
        <f>I48</f>
        <v>0</v>
      </c>
      <c r="W48" s="3945"/>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926" t="str">
        <f>A49</f>
        <v>比较价值（元/平方米）</v>
      </c>
      <c r="Q49" s="3944"/>
      <c r="R49" s="3945" t="e">
        <f>IF(F1="售价",ROUND(PRODUCT(R48,AA7:AA47),0),ROUND(PRODUCT(R48,AA7:AA47),1))</f>
        <v>#DIV/0!</v>
      </c>
      <c r="S49" s="3945"/>
      <c r="T49" s="3945" t="e">
        <f>IF(F1="售价",ROUND(PRODUCT(T48,AB7:AB47),0),ROUND(PRODUCT(T48,AB7:AB47),1))</f>
        <v>#DIV/0!</v>
      </c>
      <c r="U49" s="3945"/>
      <c r="V49" s="3945" t="e">
        <f>IF(F1="售价",ROUND(PRODUCT(V48,AC7:AC47),0),ROUND(PRODUCT(V48,AC7:AC47),1))</f>
        <v>#DIV/0!</v>
      </c>
      <c r="W49" s="394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967" t="str">
        <f>A50</f>
        <v>估价对象XX用房的比较价值（楼面单价，元/平方米）</v>
      </c>
      <c r="Q50" s="3968"/>
      <c r="R50" s="3969" t="e">
        <f>IF(F1="售价",ROUND(IF(D49="简单平均",AVERAGE(R49:V49),R49*F49+T49*H49+V49*J49),0),ROUND(IF(D49="简单平均",AVERAGE(R49:V49),R49*F49+T49*H49+V49*J49),1))</f>
        <v>#DIV/0!</v>
      </c>
      <c r="S50" s="3969"/>
      <c r="T50" s="3969"/>
      <c r="U50" s="3969"/>
      <c r="V50" s="3969"/>
      <c r="W50" s="396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313.63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927" t="s">
        <v>2467</v>
      </c>
      <c r="D4" s="3928"/>
      <c r="E4" s="3929" t="s">
        <v>2468</v>
      </c>
      <c r="F4" s="3930"/>
      <c r="G4" s="3927" t="s">
        <v>2469</v>
      </c>
      <c r="H4" s="3928"/>
      <c r="I4" s="3927" t="s">
        <v>2470</v>
      </c>
      <c r="J4" s="3928"/>
      <c r="K4" s="567" t="s">
        <v>2471</v>
      </c>
      <c r="L4" s="1044"/>
      <c r="M4" s="1045"/>
      <c r="N4" s="1045"/>
      <c r="O4" s="1045"/>
      <c r="P4" s="3931" t="s">
        <v>2472</v>
      </c>
      <c r="Q4" s="3932"/>
      <c r="R4" s="3914" t="s">
        <v>2468</v>
      </c>
      <c r="S4" s="3915"/>
      <c r="T4" s="3914" t="s">
        <v>2469</v>
      </c>
      <c r="U4" s="3915"/>
      <c r="V4" s="3939" t="s">
        <v>2470</v>
      </c>
      <c r="W4" s="3939"/>
      <c r="X4" s="1539"/>
      <c r="Y4" s="3914" t="s">
        <v>2472</v>
      </c>
      <c r="Z4" s="3915"/>
      <c r="AA4" s="3909" t="s">
        <v>2468</v>
      </c>
      <c r="AB4" s="3910" t="s">
        <v>2469</v>
      </c>
      <c r="AC4" s="3909" t="s">
        <v>2470</v>
      </c>
    </row>
    <row r="5" spans="1:29" ht="15">
      <c r="A5" s="364"/>
      <c r="B5" s="365"/>
      <c r="C5" s="3920" t="s">
        <v>2363</v>
      </c>
      <c r="D5" s="3921"/>
      <c r="E5" s="3918" t="s">
        <v>2364</v>
      </c>
      <c r="F5" s="3919"/>
      <c r="G5" s="3920" t="s">
        <v>2365</v>
      </c>
      <c r="H5" s="3921"/>
      <c r="I5" s="3920" t="s">
        <v>2366</v>
      </c>
      <c r="J5" s="3921"/>
      <c r="K5" s="567"/>
      <c r="L5" s="1044"/>
      <c r="M5" s="1045"/>
      <c r="N5" s="1045"/>
      <c r="O5" s="1045"/>
      <c r="P5" s="3933"/>
      <c r="Q5" s="3934"/>
      <c r="R5" s="3916"/>
      <c r="S5" s="3917"/>
      <c r="T5" s="3916"/>
      <c r="U5" s="3917"/>
      <c r="V5" s="3939"/>
      <c r="W5" s="3939"/>
      <c r="X5" s="1539"/>
      <c r="Y5" s="3916"/>
      <c r="Z5" s="3917"/>
      <c r="AA5" s="3910"/>
      <c r="AB5" s="3910"/>
      <c r="AC5" s="3910"/>
    </row>
    <row r="6" spans="1:29" ht="15.75" thickBot="1">
      <c r="A6" s="366"/>
      <c r="B6" s="367"/>
      <c r="C6" s="3922" t="s">
        <v>2367</v>
      </c>
      <c r="D6" s="3923"/>
      <c r="E6" s="3924" t="s">
        <v>2367</v>
      </c>
      <c r="F6" s="3925"/>
      <c r="G6" s="3922" t="s">
        <v>2367</v>
      </c>
      <c r="H6" s="3923"/>
      <c r="I6" s="3922" t="s">
        <v>2367</v>
      </c>
      <c r="J6" s="3923"/>
      <c r="K6" s="567" t="s">
        <v>2368</v>
      </c>
      <c r="L6" s="1044"/>
      <c r="M6" s="1045"/>
      <c r="N6" s="1045"/>
      <c r="O6" s="1045"/>
      <c r="P6" s="3935"/>
      <c r="Q6" s="3936"/>
      <c r="R6" s="3916"/>
      <c r="S6" s="3917"/>
      <c r="T6" s="3937"/>
      <c r="U6" s="3938"/>
      <c r="V6" s="3939"/>
      <c r="W6" s="3939"/>
      <c r="X6" s="1539"/>
      <c r="Y6" s="3937"/>
      <c r="Z6" s="3938"/>
      <c r="AA6" s="3911"/>
      <c r="AB6" s="3911"/>
      <c r="AC6" s="3911"/>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912" t="s">
        <v>2370</v>
      </c>
      <c r="Q7" s="3940"/>
      <c r="R7" s="710" t="s">
        <v>17</v>
      </c>
      <c r="S7" s="711">
        <f t="shared" ref="S7:S15" si="0">F7</f>
        <v>0</v>
      </c>
      <c r="T7" s="710" t="s">
        <v>17</v>
      </c>
      <c r="U7" s="711">
        <f t="shared" ref="U7:U15" si="1">H7</f>
        <v>0</v>
      </c>
      <c r="V7" s="710" t="s">
        <v>17</v>
      </c>
      <c r="W7" s="711">
        <f t="shared" ref="W7:W15" si="2">J7</f>
        <v>0</v>
      </c>
      <c r="X7" s="712"/>
      <c r="Y7" s="3912" t="s">
        <v>2370</v>
      </c>
      <c r="Z7" s="391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912" t="s">
        <v>2373</v>
      </c>
      <c r="Q8" s="3913"/>
      <c r="R8" s="710" t="s">
        <v>17</v>
      </c>
      <c r="S8" s="711">
        <f t="shared" si="0"/>
        <v>0</v>
      </c>
      <c r="T8" s="710" t="s">
        <v>17</v>
      </c>
      <c r="U8" s="711">
        <f t="shared" si="1"/>
        <v>0</v>
      </c>
      <c r="V8" s="710" t="s">
        <v>17</v>
      </c>
      <c r="W8" s="711">
        <f t="shared" si="2"/>
        <v>0</v>
      </c>
      <c r="X8" s="712"/>
      <c r="Y8" s="3912" t="s">
        <v>2373</v>
      </c>
      <c r="Z8" s="391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944" t="s">
        <v>2376</v>
      </c>
      <c r="Q9" s="1527" t="str">
        <f t="shared" ref="Q9:Q15" si="6">B9</f>
        <v>用途</v>
      </c>
      <c r="R9" s="710" t="s">
        <v>17</v>
      </c>
      <c r="S9" s="711">
        <f t="shared" si="0"/>
        <v>100</v>
      </c>
      <c r="T9" s="710" t="s">
        <v>17</v>
      </c>
      <c r="U9" s="711">
        <f t="shared" si="1"/>
        <v>100</v>
      </c>
      <c r="V9" s="710" t="s">
        <v>17</v>
      </c>
      <c r="W9" s="711">
        <f t="shared" si="2"/>
        <v>100</v>
      </c>
      <c r="X9" s="712"/>
      <c r="Y9" s="385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944"/>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944"/>
      <c r="Q11" s="1527" t="str">
        <f t="shared" si="6"/>
        <v>容积率</v>
      </c>
      <c r="R11" s="710" t="s">
        <v>17</v>
      </c>
      <c r="S11" s="711" t="e">
        <f t="shared" si="0"/>
        <v>#N/A</v>
      </c>
      <c r="T11" s="710" t="s">
        <v>17</v>
      </c>
      <c r="U11" s="711" t="e">
        <f t="shared" si="1"/>
        <v>#N/A</v>
      </c>
      <c r="V11" s="710" t="s">
        <v>17</v>
      </c>
      <c r="W11" s="711" t="e">
        <f t="shared" si="2"/>
        <v>#N/A</v>
      </c>
      <c r="X11" s="712"/>
      <c r="Y11" s="385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944"/>
      <c r="Q12" s="1527">
        <f t="shared" si="6"/>
        <v>111</v>
      </c>
      <c r="R12" s="710" t="s">
        <v>17</v>
      </c>
      <c r="S12" s="711">
        <f t="shared" si="0"/>
        <v>100</v>
      </c>
      <c r="T12" s="710" t="s">
        <v>17</v>
      </c>
      <c r="U12" s="711">
        <f t="shared" si="1"/>
        <v>100</v>
      </c>
      <c r="V12" s="710" t="s">
        <v>17</v>
      </c>
      <c r="W12" s="711">
        <f t="shared" si="2"/>
        <v>100</v>
      </c>
      <c r="X12" s="712"/>
      <c r="Y12" s="385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944"/>
      <c r="Q13" s="1527">
        <f t="shared" si="6"/>
        <v>111</v>
      </c>
      <c r="R13" s="710" t="s">
        <v>17</v>
      </c>
      <c r="S13" s="711">
        <f t="shared" si="0"/>
        <v>100</v>
      </c>
      <c r="T13" s="710" t="s">
        <v>17</v>
      </c>
      <c r="U13" s="711">
        <f t="shared" si="1"/>
        <v>100</v>
      </c>
      <c r="V13" s="710" t="s">
        <v>17</v>
      </c>
      <c r="W13" s="711">
        <f t="shared" si="2"/>
        <v>100</v>
      </c>
      <c r="X13" s="712"/>
      <c r="Y13" s="385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944"/>
      <c r="Q14" s="1527">
        <f t="shared" si="6"/>
        <v>111</v>
      </c>
      <c r="R14" s="710" t="s">
        <v>17</v>
      </c>
      <c r="S14" s="711">
        <f t="shared" si="0"/>
        <v>100</v>
      </c>
      <c r="T14" s="710" t="s">
        <v>17</v>
      </c>
      <c r="U14" s="711">
        <f t="shared" si="1"/>
        <v>100</v>
      </c>
      <c r="V14" s="710" t="s">
        <v>17</v>
      </c>
      <c r="W14" s="711">
        <f t="shared" si="2"/>
        <v>100</v>
      </c>
      <c r="X14" s="712"/>
      <c r="Y14" s="385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946" t="s">
        <v>2381</v>
      </c>
      <c r="Q15" s="1536" t="str">
        <f t="shared" si="6"/>
        <v>产业集聚程度</v>
      </c>
      <c r="R15" s="714" t="s">
        <v>17</v>
      </c>
      <c r="S15" s="715">
        <f t="shared" si="0"/>
        <v>100</v>
      </c>
      <c r="T15" s="714" t="s">
        <v>17</v>
      </c>
      <c r="U15" s="715">
        <f t="shared" si="1"/>
        <v>100</v>
      </c>
      <c r="V15" s="714" t="s">
        <v>17</v>
      </c>
      <c r="W15" s="715">
        <f t="shared" si="2"/>
        <v>100</v>
      </c>
      <c r="X15" s="1539"/>
      <c r="Y15" s="394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947"/>
      <c r="Q16" s="1536"/>
      <c r="R16" s="714"/>
      <c r="S16" s="715"/>
      <c r="T16" s="714"/>
      <c r="U16" s="715"/>
      <c r="V16" s="714"/>
      <c r="W16" s="715"/>
      <c r="X16" s="1539"/>
      <c r="Y16" s="394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947"/>
      <c r="Q17" s="1536" t="str">
        <f>B17</f>
        <v>交通便捷度</v>
      </c>
      <c r="R17" s="714" t="s">
        <v>17</v>
      </c>
      <c r="S17" s="715">
        <f>F17</f>
        <v>100</v>
      </c>
      <c r="T17" s="714" t="s">
        <v>17</v>
      </c>
      <c r="U17" s="715">
        <f>H17</f>
        <v>100</v>
      </c>
      <c r="V17" s="714" t="s">
        <v>17</v>
      </c>
      <c r="W17" s="715">
        <f>J17</f>
        <v>100</v>
      </c>
      <c r="X17" s="1539"/>
      <c r="Y17" s="394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947"/>
      <c r="Q18" s="1536"/>
      <c r="R18" s="714"/>
      <c r="S18" s="715"/>
      <c r="T18" s="714"/>
      <c r="U18" s="715"/>
      <c r="V18" s="714"/>
      <c r="W18" s="715"/>
      <c r="X18" s="1539"/>
      <c r="Y18" s="394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947"/>
      <c r="Q19" s="1536" t="str">
        <f>B19</f>
        <v>公共配套设施</v>
      </c>
      <c r="R19" s="714" t="s">
        <v>17</v>
      </c>
      <c r="S19" s="715">
        <f>F19</f>
        <v>100</v>
      </c>
      <c r="T19" s="714" t="s">
        <v>17</v>
      </c>
      <c r="U19" s="715">
        <f>H19</f>
        <v>100</v>
      </c>
      <c r="V19" s="714" t="s">
        <v>17</v>
      </c>
      <c r="W19" s="715">
        <f>J19</f>
        <v>100</v>
      </c>
      <c r="X19" s="1539"/>
      <c r="Y19" s="394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947"/>
      <c r="Q20" s="1536"/>
      <c r="R20" s="714"/>
      <c r="S20" s="715"/>
      <c r="T20" s="714"/>
      <c r="U20" s="715"/>
      <c r="V20" s="714"/>
      <c r="W20" s="715"/>
      <c r="X20" s="1539"/>
      <c r="Y20" s="394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947"/>
      <c r="Q21" s="1536" t="str">
        <f>B21</f>
        <v>基础设施水平</v>
      </c>
      <c r="R21" s="714" t="s">
        <v>17</v>
      </c>
      <c r="S21" s="715">
        <f>F21</f>
        <v>100</v>
      </c>
      <c r="T21" s="714" t="s">
        <v>17</v>
      </c>
      <c r="U21" s="715">
        <f>H21</f>
        <v>100</v>
      </c>
      <c r="V21" s="714" t="s">
        <v>17</v>
      </c>
      <c r="W21" s="715">
        <f>J21</f>
        <v>100</v>
      </c>
      <c r="X21" s="1539"/>
      <c r="Y21" s="394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947"/>
      <c r="Q22" s="1536"/>
      <c r="R22" s="714"/>
      <c r="S22" s="715"/>
      <c r="T22" s="714"/>
      <c r="U22" s="715"/>
      <c r="V22" s="714"/>
      <c r="W22" s="715"/>
      <c r="X22" s="1539"/>
      <c r="Y22" s="394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947"/>
      <c r="Q23" s="1536" t="str">
        <f>B23</f>
        <v>环境质量</v>
      </c>
      <c r="R23" s="714" t="s">
        <v>17</v>
      </c>
      <c r="S23" s="715">
        <f>F23</f>
        <v>100</v>
      </c>
      <c r="T23" s="714" t="s">
        <v>17</v>
      </c>
      <c r="U23" s="715">
        <f>H23</f>
        <v>100</v>
      </c>
      <c r="V23" s="714" t="s">
        <v>17</v>
      </c>
      <c r="W23" s="715">
        <f>J23</f>
        <v>100</v>
      </c>
      <c r="X23" s="1539"/>
      <c r="Y23" s="394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947"/>
      <c r="Q24" s="1536"/>
      <c r="R24" s="714"/>
      <c r="S24" s="715"/>
      <c r="T24" s="714"/>
      <c r="U24" s="715"/>
      <c r="V24" s="714"/>
      <c r="W24" s="715"/>
      <c r="X24" s="1539"/>
      <c r="Y24" s="394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947"/>
      <c r="Q25" s="1536">
        <f>B25</f>
        <v>111</v>
      </c>
      <c r="R25" s="714" t="s">
        <v>17</v>
      </c>
      <c r="S25" s="715">
        <f>F25</f>
        <v>100</v>
      </c>
      <c r="T25" s="714" t="s">
        <v>17</v>
      </c>
      <c r="U25" s="715">
        <f>H25</f>
        <v>100</v>
      </c>
      <c r="V25" s="714" t="s">
        <v>17</v>
      </c>
      <c r="W25" s="715">
        <f>J25</f>
        <v>100</v>
      </c>
      <c r="X25" s="1539"/>
      <c r="Y25" s="394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947"/>
      <c r="Q26" s="1536">
        <f t="shared" ref="Q26:Q40" si="11">B26</f>
        <v>111</v>
      </c>
      <c r="R26" s="714" t="s">
        <v>17</v>
      </c>
      <c r="S26" s="715">
        <f>F26</f>
        <v>100</v>
      </c>
      <c r="T26" s="714" t="s">
        <v>17</v>
      </c>
      <c r="U26" s="715">
        <f>H26</f>
        <v>100</v>
      </c>
      <c r="V26" s="714" t="s">
        <v>17</v>
      </c>
      <c r="W26" s="715">
        <f>J26</f>
        <v>100</v>
      </c>
      <c r="X26" s="1539"/>
      <c r="Y26" s="394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947"/>
      <c r="Q27" s="1527">
        <f t="shared" si="11"/>
        <v>111</v>
      </c>
      <c r="R27" s="710" t="s">
        <v>17</v>
      </c>
      <c r="S27" s="711">
        <f>F27</f>
        <v>100</v>
      </c>
      <c r="T27" s="710" t="s">
        <v>17</v>
      </c>
      <c r="U27" s="711">
        <f>H27</f>
        <v>100</v>
      </c>
      <c r="V27" s="710" t="s">
        <v>17</v>
      </c>
      <c r="W27" s="711">
        <f>J27</f>
        <v>100</v>
      </c>
      <c r="X27" s="712"/>
      <c r="Y27" s="394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947"/>
      <c r="Q28" s="1536">
        <f t="shared" si="11"/>
        <v>111</v>
      </c>
      <c r="R28" s="714" t="s">
        <v>17</v>
      </c>
      <c r="S28" s="715">
        <f t="shared" ref="S28:S40" si="12">F28</f>
        <v>100</v>
      </c>
      <c r="T28" s="714" t="s">
        <v>17</v>
      </c>
      <c r="U28" s="715">
        <f t="shared" ref="U28:U40" si="13">H28</f>
        <v>100</v>
      </c>
      <c r="V28" s="714" t="s">
        <v>17</v>
      </c>
      <c r="W28" s="715">
        <f t="shared" ref="W28:W40" si="14">J28</f>
        <v>100</v>
      </c>
      <c r="X28" s="1539"/>
      <c r="Y28" s="3947"/>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970" t="s">
        <v>2386</v>
      </c>
      <c r="Q29" s="1536" t="str">
        <f t="shared" si="11"/>
        <v>建筑类型</v>
      </c>
      <c r="R29" s="714" t="s">
        <v>17</v>
      </c>
      <c r="S29" s="715">
        <f t="shared" si="12"/>
        <v>100</v>
      </c>
      <c r="T29" s="714" t="s">
        <v>17</v>
      </c>
      <c r="U29" s="715">
        <f t="shared" si="13"/>
        <v>100</v>
      </c>
      <c r="V29" s="714" t="s">
        <v>17</v>
      </c>
      <c r="W29" s="715">
        <f t="shared" si="14"/>
        <v>100</v>
      </c>
      <c r="X29" s="1539"/>
      <c r="Y29" s="395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951"/>
      <c r="Q30" s="716" t="str">
        <f t="shared" si="11"/>
        <v>项目建筑规模</v>
      </c>
      <c r="R30" s="717" t="s">
        <v>17</v>
      </c>
      <c r="S30" s="718" t="e">
        <f t="shared" si="12"/>
        <v>#N/A</v>
      </c>
      <c r="T30" s="717" t="s">
        <v>17</v>
      </c>
      <c r="U30" s="718" t="e">
        <f t="shared" si="13"/>
        <v>#N/A</v>
      </c>
      <c r="V30" s="717" t="s">
        <v>17</v>
      </c>
      <c r="W30" s="718" t="e">
        <f t="shared" si="14"/>
        <v>#N/A</v>
      </c>
      <c r="X30" s="719"/>
      <c r="Y30" s="395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951"/>
      <c r="Q31" s="1536" t="str">
        <f t="shared" si="11"/>
        <v>建筑结构</v>
      </c>
      <c r="R31" s="714" t="s">
        <v>17</v>
      </c>
      <c r="S31" s="715">
        <f t="shared" si="12"/>
        <v>100</v>
      </c>
      <c r="T31" s="714" t="s">
        <v>17</v>
      </c>
      <c r="U31" s="715">
        <f t="shared" si="13"/>
        <v>100</v>
      </c>
      <c r="V31" s="714" t="s">
        <v>17</v>
      </c>
      <c r="W31" s="715">
        <f t="shared" si="14"/>
        <v>100</v>
      </c>
      <c r="X31" s="1539"/>
      <c r="Y31" s="395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951"/>
      <c r="Q32" s="1536" t="str">
        <f t="shared" si="11"/>
        <v>公共部分装修</v>
      </c>
      <c r="R32" s="714" t="s">
        <v>17</v>
      </c>
      <c r="S32" s="715">
        <f t="shared" si="12"/>
        <v>100</v>
      </c>
      <c r="T32" s="714" t="s">
        <v>17</v>
      </c>
      <c r="U32" s="715">
        <f t="shared" si="13"/>
        <v>100</v>
      </c>
      <c r="V32" s="714" t="s">
        <v>17</v>
      </c>
      <c r="W32" s="715">
        <f t="shared" si="14"/>
        <v>100</v>
      </c>
      <c r="X32" s="1539"/>
      <c r="Y32" s="395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951"/>
      <c r="Q33" s="1536" t="str">
        <f t="shared" si="11"/>
        <v>成新度</v>
      </c>
      <c r="R33" s="714" t="s">
        <v>17</v>
      </c>
      <c r="S33" s="715" t="e">
        <f t="shared" si="12"/>
        <v>#N/A</v>
      </c>
      <c r="T33" s="714" t="s">
        <v>17</v>
      </c>
      <c r="U33" s="715" t="e">
        <f t="shared" si="13"/>
        <v>#N/A</v>
      </c>
      <c r="V33" s="714" t="s">
        <v>17</v>
      </c>
      <c r="W33" s="715" t="e">
        <f t="shared" si="14"/>
        <v>#N/A</v>
      </c>
      <c r="X33" s="1539"/>
      <c r="Y33" s="395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951"/>
      <c r="Q34" s="1527" t="str">
        <f t="shared" si="11"/>
        <v>物业管理</v>
      </c>
      <c r="R34" s="710" t="s">
        <v>17</v>
      </c>
      <c r="S34" s="711">
        <f t="shared" si="12"/>
        <v>100</v>
      </c>
      <c r="T34" s="710" t="s">
        <v>17</v>
      </c>
      <c r="U34" s="711">
        <f t="shared" si="13"/>
        <v>100</v>
      </c>
      <c r="V34" s="710" t="s">
        <v>17</v>
      </c>
      <c r="W34" s="711">
        <f t="shared" si="14"/>
        <v>100</v>
      </c>
      <c r="X34" s="712"/>
      <c r="Y34" s="395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951" t="s">
        <v>2386</v>
      </c>
      <c r="Q35" s="1536" t="str">
        <f t="shared" si="11"/>
        <v>市政基础设施</v>
      </c>
      <c r="R35" s="714" t="s">
        <v>17</v>
      </c>
      <c r="S35" s="715">
        <f t="shared" si="12"/>
        <v>100</v>
      </c>
      <c r="T35" s="714" t="s">
        <v>17</v>
      </c>
      <c r="U35" s="715">
        <f t="shared" si="13"/>
        <v>100</v>
      </c>
      <c r="V35" s="714" t="s">
        <v>17</v>
      </c>
      <c r="W35" s="715">
        <f t="shared" si="14"/>
        <v>100</v>
      </c>
      <c r="X35" s="1539"/>
      <c r="Y35" s="395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951"/>
      <c r="Q36" s="1536" t="str">
        <f t="shared" si="11"/>
        <v>内部装修</v>
      </c>
      <c r="R36" s="714" t="s">
        <v>17</v>
      </c>
      <c r="S36" s="715">
        <f t="shared" si="12"/>
        <v>100</v>
      </c>
      <c r="T36" s="714" t="s">
        <v>17</v>
      </c>
      <c r="U36" s="715">
        <f t="shared" si="13"/>
        <v>100</v>
      </c>
      <c r="V36" s="714" t="s">
        <v>17</v>
      </c>
      <c r="W36" s="715">
        <f t="shared" si="14"/>
        <v>100</v>
      </c>
      <c r="X36" s="1539"/>
      <c r="Y36" s="395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951"/>
      <c r="Q37" s="1536" t="str">
        <f t="shared" si="11"/>
        <v>内部装修状况</v>
      </c>
      <c r="R37" s="714" t="s">
        <v>17</v>
      </c>
      <c r="S37" s="715">
        <f t="shared" si="12"/>
        <v>100</v>
      </c>
      <c r="T37" s="714" t="s">
        <v>17</v>
      </c>
      <c r="U37" s="715">
        <f t="shared" si="13"/>
        <v>100</v>
      </c>
      <c r="V37" s="714" t="s">
        <v>17</v>
      </c>
      <c r="W37" s="715">
        <f t="shared" si="14"/>
        <v>100</v>
      </c>
      <c r="X37" s="1539"/>
      <c r="Y37" s="395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951"/>
      <c r="Q38" s="716">
        <f t="shared" si="11"/>
        <v>111</v>
      </c>
      <c r="R38" s="717" t="s">
        <v>17</v>
      </c>
      <c r="S38" s="718">
        <f t="shared" si="12"/>
        <v>100</v>
      </c>
      <c r="T38" s="717" t="s">
        <v>17</v>
      </c>
      <c r="U38" s="718">
        <f t="shared" si="13"/>
        <v>100</v>
      </c>
      <c r="V38" s="717" t="s">
        <v>17</v>
      </c>
      <c r="W38" s="718">
        <f t="shared" si="14"/>
        <v>100</v>
      </c>
      <c r="X38" s="719"/>
      <c r="Y38" s="395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951"/>
      <c r="Q39" s="1536">
        <f t="shared" si="11"/>
        <v>111</v>
      </c>
      <c r="R39" s="714" t="s">
        <v>17</v>
      </c>
      <c r="S39" s="715">
        <f t="shared" si="12"/>
        <v>100</v>
      </c>
      <c r="T39" s="714" t="s">
        <v>17</v>
      </c>
      <c r="U39" s="715">
        <f t="shared" si="13"/>
        <v>100</v>
      </c>
      <c r="V39" s="714" t="s">
        <v>17</v>
      </c>
      <c r="W39" s="715">
        <f t="shared" si="14"/>
        <v>100</v>
      </c>
      <c r="X39" s="1539"/>
      <c r="Y39" s="395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952"/>
      <c r="Q40" s="1536">
        <f t="shared" si="11"/>
        <v>111</v>
      </c>
      <c r="R40" s="714" t="s">
        <v>17</v>
      </c>
      <c r="S40" s="715">
        <f t="shared" si="12"/>
        <v>100</v>
      </c>
      <c r="T40" s="714" t="s">
        <v>17</v>
      </c>
      <c r="U40" s="715">
        <f t="shared" si="13"/>
        <v>100</v>
      </c>
      <c r="V40" s="714" t="s">
        <v>17</v>
      </c>
      <c r="W40" s="715">
        <f t="shared" si="14"/>
        <v>100</v>
      </c>
      <c r="X40" s="1539"/>
      <c r="Y40" s="395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944" t="str">
        <f>A41</f>
        <v>成交单价（元/平方米）</v>
      </c>
      <c r="Q41" s="3944"/>
      <c r="R41" s="3945">
        <f>E41</f>
        <v>0</v>
      </c>
      <c r="S41" s="3945"/>
      <c r="T41" s="3945">
        <f>G41</f>
        <v>0</v>
      </c>
      <c r="U41" s="3945"/>
      <c r="V41" s="3945">
        <f>I41</f>
        <v>0</v>
      </c>
      <c r="W41" s="3945"/>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944" t="str">
        <f>A42</f>
        <v>比较价值（元/平方米）</v>
      </c>
      <c r="Q42" s="3944"/>
      <c r="R42" s="3945" t="e">
        <f>IF(F1="售价",ROUND(PRODUCT(R41,AA7:AA40),0),ROUND(PRODUCT(R41,AA7:AA40),1))</f>
        <v>#DIV/0!</v>
      </c>
      <c r="S42" s="3945"/>
      <c r="T42" s="3945" t="e">
        <f>IF(F1="售价",ROUND(PRODUCT(T41,AB7:AB40),0),ROUND(PRODUCT(T41,AB7:AB40),1))</f>
        <v>#DIV/0!</v>
      </c>
      <c r="U42" s="3945"/>
      <c r="V42" s="3945" t="e">
        <f>IF(F1="售价",ROUND(PRODUCT(V41,AC7:AC40),0),ROUND(PRODUCT(V41,AC7:AC40),1))</f>
        <v>#DIV/0!</v>
      </c>
      <c r="W42" s="394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941" t="str">
        <f>A43</f>
        <v>估价对象XX用房的比较价值（楼面单价，元/平方米）</v>
      </c>
      <c r="Q43" s="3942"/>
      <c r="R43" s="3943" t="e">
        <f>IF(F1="售价",ROUND(IF(D42="简单平均",AVERAGE(R42:V42),R42*F42+T42*H42+V42*J42),0),ROUND(IF(D42="简单平均",AVERAGE(R42:V42),R42*F42+T42*H42+V42*J42),1))</f>
        <v>#DIV/0!</v>
      </c>
      <c r="S43" s="3943"/>
      <c r="T43" s="3943"/>
      <c r="U43" s="3943"/>
      <c r="V43" s="3943"/>
      <c r="W43" s="394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927" t="s">
        <v>2467</v>
      </c>
      <c r="D4" s="3928"/>
      <c r="E4" s="3929" t="s">
        <v>2468</v>
      </c>
      <c r="F4" s="3930"/>
      <c r="G4" s="3927" t="s">
        <v>2469</v>
      </c>
      <c r="H4" s="3928"/>
      <c r="I4" s="3927" t="s">
        <v>2470</v>
      </c>
      <c r="J4" s="3928"/>
      <c r="K4" s="567" t="s">
        <v>2471</v>
      </c>
      <c r="L4" s="2944"/>
      <c r="M4" s="2945"/>
      <c r="N4" s="2945"/>
      <c r="O4" s="2945"/>
      <c r="P4" s="3931" t="s">
        <v>2472</v>
      </c>
      <c r="Q4" s="3932"/>
      <c r="R4" s="3914" t="s">
        <v>2468</v>
      </c>
      <c r="S4" s="3915"/>
      <c r="T4" s="3914" t="s">
        <v>2469</v>
      </c>
      <c r="U4" s="3915"/>
      <c r="V4" s="3939" t="s">
        <v>2470</v>
      </c>
      <c r="W4" s="3939"/>
      <c r="X4" s="1539"/>
      <c r="Y4" s="3914" t="s">
        <v>2472</v>
      </c>
      <c r="Z4" s="3915"/>
      <c r="AA4" s="3909" t="s">
        <v>2468</v>
      </c>
      <c r="AB4" s="3910" t="s">
        <v>2469</v>
      </c>
      <c r="AC4" s="3909" t="s">
        <v>2470</v>
      </c>
    </row>
    <row r="5" spans="1:29" ht="15">
      <c r="A5" s="364"/>
      <c r="B5" s="365"/>
      <c r="C5" s="3920" t="s">
        <v>2363</v>
      </c>
      <c r="D5" s="3921"/>
      <c r="E5" s="3918" t="s">
        <v>2364</v>
      </c>
      <c r="F5" s="3919"/>
      <c r="G5" s="3920" t="s">
        <v>2365</v>
      </c>
      <c r="H5" s="3921"/>
      <c r="I5" s="3920" t="s">
        <v>2366</v>
      </c>
      <c r="J5" s="3921"/>
      <c r="K5" s="567"/>
      <c r="L5" s="2944"/>
      <c r="M5" s="2945"/>
      <c r="N5" s="2945"/>
      <c r="O5" s="2945"/>
      <c r="P5" s="3933"/>
      <c r="Q5" s="3934"/>
      <c r="R5" s="3916"/>
      <c r="S5" s="3917"/>
      <c r="T5" s="3916"/>
      <c r="U5" s="3917"/>
      <c r="V5" s="3939"/>
      <c r="W5" s="3939"/>
      <c r="X5" s="1539"/>
      <c r="Y5" s="3916"/>
      <c r="Z5" s="3917"/>
      <c r="AA5" s="3910"/>
      <c r="AB5" s="3910"/>
      <c r="AC5" s="3910"/>
    </row>
    <row r="6" spans="1:29" ht="15.75" thickBot="1">
      <c r="A6" s="366"/>
      <c r="B6" s="367"/>
      <c r="C6" s="3922" t="s">
        <v>2367</v>
      </c>
      <c r="D6" s="3923"/>
      <c r="E6" s="3924" t="s">
        <v>2367</v>
      </c>
      <c r="F6" s="3925"/>
      <c r="G6" s="3922" t="s">
        <v>2367</v>
      </c>
      <c r="H6" s="3923"/>
      <c r="I6" s="3922" t="s">
        <v>2367</v>
      </c>
      <c r="J6" s="3923"/>
      <c r="K6" s="567" t="s">
        <v>2368</v>
      </c>
      <c r="L6" s="2944"/>
      <c r="M6" s="2945"/>
      <c r="N6" s="2945"/>
      <c r="O6" s="2945"/>
      <c r="P6" s="3935"/>
      <c r="Q6" s="3936"/>
      <c r="R6" s="3916"/>
      <c r="S6" s="3917"/>
      <c r="T6" s="3937"/>
      <c r="U6" s="3938"/>
      <c r="V6" s="3939"/>
      <c r="W6" s="3939"/>
      <c r="X6" s="1539"/>
      <c r="Y6" s="3937"/>
      <c r="Z6" s="3938"/>
      <c r="AA6" s="3911"/>
      <c r="AB6" s="3911"/>
      <c r="AC6" s="3911"/>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912" t="s">
        <v>2370</v>
      </c>
      <c r="Q7" s="3940"/>
      <c r="R7" s="710" t="s">
        <v>17</v>
      </c>
      <c r="S7" s="711">
        <f t="shared" ref="S7:S14" si="0">F7</f>
        <v>0</v>
      </c>
      <c r="T7" s="710" t="s">
        <v>17</v>
      </c>
      <c r="U7" s="711">
        <f t="shared" ref="U7:U14" si="1">H7</f>
        <v>0</v>
      </c>
      <c r="V7" s="710" t="s">
        <v>17</v>
      </c>
      <c r="W7" s="711">
        <f t="shared" ref="W7:W14" si="2">J7</f>
        <v>0</v>
      </c>
      <c r="X7" s="712"/>
      <c r="Y7" s="3912" t="s">
        <v>2370</v>
      </c>
      <c r="Z7" s="391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912" t="s">
        <v>2373</v>
      </c>
      <c r="Q8" s="3913"/>
      <c r="R8" s="710" t="s">
        <v>17</v>
      </c>
      <c r="S8" s="711">
        <f t="shared" si="0"/>
        <v>0</v>
      </c>
      <c r="T8" s="710" t="s">
        <v>17</v>
      </c>
      <c r="U8" s="711">
        <f t="shared" si="1"/>
        <v>0</v>
      </c>
      <c r="V8" s="710" t="s">
        <v>17</v>
      </c>
      <c r="W8" s="711">
        <f t="shared" si="2"/>
        <v>0</v>
      </c>
      <c r="X8" s="712"/>
      <c r="Y8" s="3912" t="s">
        <v>2373</v>
      </c>
      <c r="Z8" s="391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944" t="s">
        <v>2376</v>
      </c>
      <c r="Q9" s="1527" t="str">
        <f t="shared" ref="Q9:Q14" si="6">B9</f>
        <v>用途</v>
      </c>
      <c r="R9" s="710" t="s">
        <v>17</v>
      </c>
      <c r="S9" s="711">
        <f t="shared" si="0"/>
        <v>100</v>
      </c>
      <c r="T9" s="710" t="s">
        <v>17</v>
      </c>
      <c r="U9" s="711">
        <f t="shared" si="1"/>
        <v>100</v>
      </c>
      <c r="V9" s="710" t="s">
        <v>17</v>
      </c>
      <c r="W9" s="711">
        <f t="shared" si="2"/>
        <v>100</v>
      </c>
      <c r="X9" s="712"/>
      <c r="Y9" s="385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944"/>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944"/>
      <c r="Q11" s="1527">
        <f t="shared" si="6"/>
        <v>111</v>
      </c>
      <c r="R11" s="710" t="s">
        <v>17</v>
      </c>
      <c r="S11" s="711">
        <f t="shared" si="0"/>
        <v>100</v>
      </c>
      <c r="T11" s="710" t="s">
        <v>17</v>
      </c>
      <c r="U11" s="711">
        <f t="shared" si="1"/>
        <v>100</v>
      </c>
      <c r="V11" s="710" t="s">
        <v>17</v>
      </c>
      <c r="W11" s="711">
        <f t="shared" si="2"/>
        <v>100</v>
      </c>
      <c r="X11" s="712"/>
      <c r="Y11" s="38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944"/>
      <c r="Q12" s="1527">
        <f t="shared" si="6"/>
        <v>111</v>
      </c>
      <c r="R12" s="710" t="s">
        <v>17</v>
      </c>
      <c r="S12" s="711">
        <f t="shared" si="0"/>
        <v>100</v>
      </c>
      <c r="T12" s="710" t="s">
        <v>17</v>
      </c>
      <c r="U12" s="711">
        <f t="shared" si="1"/>
        <v>100</v>
      </c>
      <c r="V12" s="710" t="s">
        <v>17</v>
      </c>
      <c r="W12" s="711">
        <f t="shared" si="2"/>
        <v>100</v>
      </c>
      <c r="X12" s="712"/>
      <c r="Y12" s="38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944"/>
      <c r="Q13" s="1527">
        <f t="shared" si="6"/>
        <v>111</v>
      </c>
      <c r="R13" s="710" t="s">
        <v>17</v>
      </c>
      <c r="S13" s="711">
        <f t="shared" si="0"/>
        <v>100</v>
      </c>
      <c r="T13" s="710" t="s">
        <v>17</v>
      </c>
      <c r="U13" s="711">
        <f t="shared" si="1"/>
        <v>100</v>
      </c>
      <c r="V13" s="710" t="s">
        <v>17</v>
      </c>
      <c r="W13" s="711">
        <f t="shared" si="2"/>
        <v>100</v>
      </c>
      <c r="X13" s="712"/>
      <c r="Y13" s="385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946" t="s">
        <v>2381</v>
      </c>
      <c r="Q14" s="1536" t="str">
        <f t="shared" si="6"/>
        <v>交通便捷度</v>
      </c>
      <c r="R14" s="714" t="s">
        <v>17</v>
      </c>
      <c r="S14" s="715">
        <f t="shared" si="0"/>
        <v>100</v>
      </c>
      <c r="T14" s="714" t="s">
        <v>17</v>
      </c>
      <c r="U14" s="715">
        <f t="shared" si="1"/>
        <v>100</v>
      </c>
      <c r="V14" s="714" t="s">
        <v>17</v>
      </c>
      <c r="W14" s="715">
        <f t="shared" si="2"/>
        <v>100</v>
      </c>
      <c r="X14" s="1539"/>
      <c r="Y14" s="394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947"/>
      <c r="Q15" s="1536"/>
      <c r="R15" s="714"/>
      <c r="S15" s="715"/>
      <c r="T15" s="714"/>
      <c r="U15" s="715"/>
      <c r="V15" s="714"/>
      <c r="W15" s="715"/>
      <c r="X15" s="1539"/>
      <c r="Y15" s="394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947"/>
      <c r="Q16" s="1536" t="str">
        <f>B16</f>
        <v>公共配套设施</v>
      </c>
      <c r="R16" s="714" t="s">
        <v>17</v>
      </c>
      <c r="S16" s="715">
        <f>F16</f>
        <v>100</v>
      </c>
      <c r="T16" s="714" t="s">
        <v>17</v>
      </c>
      <c r="U16" s="715">
        <f>H16</f>
        <v>100</v>
      </c>
      <c r="V16" s="714" t="s">
        <v>17</v>
      </c>
      <c r="W16" s="715">
        <f>J16</f>
        <v>100</v>
      </c>
      <c r="X16" s="1539"/>
      <c r="Y16" s="394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947"/>
      <c r="Q17" s="1536"/>
      <c r="R17" s="714"/>
      <c r="S17" s="715"/>
      <c r="T17" s="714"/>
      <c r="U17" s="715"/>
      <c r="V17" s="714"/>
      <c r="W17" s="715"/>
      <c r="X17" s="1539"/>
      <c r="Y17" s="394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947"/>
      <c r="Q18" s="1536" t="str">
        <f>B18</f>
        <v>基础设施水平</v>
      </c>
      <c r="R18" s="714" t="s">
        <v>17</v>
      </c>
      <c r="S18" s="715">
        <f>F18</f>
        <v>100</v>
      </c>
      <c r="T18" s="714" t="s">
        <v>17</v>
      </c>
      <c r="U18" s="715">
        <f>H18</f>
        <v>100</v>
      </c>
      <c r="V18" s="714" t="s">
        <v>17</v>
      </c>
      <c r="W18" s="715">
        <f>J18</f>
        <v>100</v>
      </c>
      <c r="X18" s="1539"/>
      <c r="Y18" s="394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947"/>
      <c r="Q19" s="1536"/>
      <c r="R19" s="714"/>
      <c r="S19" s="715"/>
      <c r="T19" s="714"/>
      <c r="U19" s="715"/>
      <c r="V19" s="714"/>
      <c r="W19" s="715"/>
      <c r="X19" s="1539"/>
      <c r="Y19" s="394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947"/>
      <c r="Q20" s="1536" t="str">
        <f>B20</f>
        <v>自然及人文环境</v>
      </c>
      <c r="R20" s="714" t="s">
        <v>17</v>
      </c>
      <c r="S20" s="715">
        <f>F20</f>
        <v>100</v>
      </c>
      <c r="T20" s="714" t="s">
        <v>17</v>
      </c>
      <c r="U20" s="715">
        <f>H20</f>
        <v>100</v>
      </c>
      <c r="V20" s="714" t="s">
        <v>17</v>
      </c>
      <c r="W20" s="715">
        <f>J20</f>
        <v>100</v>
      </c>
      <c r="X20" s="1539"/>
      <c r="Y20" s="394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947"/>
      <c r="Q21" s="1536"/>
      <c r="R21" s="714"/>
      <c r="S21" s="715"/>
      <c r="T21" s="714"/>
      <c r="U21" s="715"/>
      <c r="V21" s="714"/>
      <c r="W21" s="715"/>
      <c r="X21" s="1539"/>
      <c r="Y21" s="394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947"/>
      <c r="Q22" s="1536" t="str">
        <f>B22</f>
        <v>楼层</v>
      </c>
      <c r="R22" s="714" t="s">
        <v>17</v>
      </c>
      <c r="S22" s="715">
        <f>F22</f>
        <v>100</v>
      </c>
      <c r="T22" s="714" t="s">
        <v>17</v>
      </c>
      <c r="U22" s="715">
        <f>H22</f>
        <v>100</v>
      </c>
      <c r="V22" s="714" t="s">
        <v>17</v>
      </c>
      <c r="W22" s="715">
        <f>J22</f>
        <v>100</v>
      </c>
      <c r="X22" s="1539"/>
      <c r="Y22" s="394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947"/>
      <c r="Q23" s="1536">
        <f>B23</f>
        <v>111</v>
      </c>
      <c r="R23" s="714" t="s">
        <v>17</v>
      </c>
      <c r="S23" s="715">
        <f>F23</f>
        <v>100</v>
      </c>
      <c r="T23" s="714" t="s">
        <v>17</v>
      </c>
      <c r="U23" s="715">
        <f>H23</f>
        <v>100</v>
      </c>
      <c r="V23" s="714" t="s">
        <v>17</v>
      </c>
      <c r="W23" s="715">
        <f>J23</f>
        <v>100</v>
      </c>
      <c r="X23" s="1539"/>
      <c r="Y23" s="394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947"/>
      <c r="Q24" s="1536">
        <f t="shared" ref="Q24:Q36" si="11">B24</f>
        <v>111</v>
      </c>
      <c r="R24" s="714" t="s">
        <v>17</v>
      </c>
      <c r="S24" s="715">
        <f>F24</f>
        <v>100</v>
      </c>
      <c r="T24" s="714" t="s">
        <v>17</v>
      </c>
      <c r="U24" s="715">
        <f>H24</f>
        <v>100</v>
      </c>
      <c r="V24" s="714" t="s">
        <v>17</v>
      </c>
      <c r="W24" s="715">
        <f>J24</f>
        <v>100</v>
      </c>
      <c r="X24" s="1539"/>
      <c r="Y24" s="394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947"/>
      <c r="Q25" s="1527">
        <f t="shared" si="11"/>
        <v>111</v>
      </c>
      <c r="R25" s="710" t="s">
        <v>17</v>
      </c>
      <c r="S25" s="711">
        <f>F25</f>
        <v>100</v>
      </c>
      <c r="T25" s="710" t="s">
        <v>17</v>
      </c>
      <c r="U25" s="711">
        <f>H25</f>
        <v>100</v>
      </c>
      <c r="V25" s="710" t="s">
        <v>17</v>
      </c>
      <c r="W25" s="711">
        <f>J25</f>
        <v>100</v>
      </c>
      <c r="X25" s="712"/>
      <c r="Y25" s="3947"/>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970"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95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951"/>
      <c r="Q27" s="716" t="str">
        <f t="shared" si="11"/>
        <v>项目停车位配比</v>
      </c>
      <c r="R27" s="717" t="s">
        <v>17</v>
      </c>
      <c r="S27" s="718">
        <f t="shared" si="12"/>
        <v>100</v>
      </c>
      <c r="T27" s="717" t="s">
        <v>17</v>
      </c>
      <c r="U27" s="718">
        <f t="shared" si="13"/>
        <v>100</v>
      </c>
      <c r="V27" s="717" t="s">
        <v>17</v>
      </c>
      <c r="W27" s="718">
        <f t="shared" si="14"/>
        <v>100</v>
      </c>
      <c r="X27" s="719"/>
      <c r="Y27" s="395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951"/>
      <c r="Q28" s="1536" t="str">
        <f t="shared" si="11"/>
        <v>公共部分装修</v>
      </c>
      <c r="R28" s="714" t="s">
        <v>17</v>
      </c>
      <c r="S28" s="715">
        <f t="shared" si="12"/>
        <v>100</v>
      </c>
      <c r="T28" s="714" t="s">
        <v>17</v>
      </c>
      <c r="U28" s="715">
        <f t="shared" si="13"/>
        <v>100</v>
      </c>
      <c r="V28" s="714" t="s">
        <v>17</v>
      </c>
      <c r="W28" s="715">
        <f t="shared" si="14"/>
        <v>100</v>
      </c>
      <c r="X28" s="1539"/>
      <c r="Y28" s="395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951"/>
      <c r="Q29" s="1536" t="str">
        <f t="shared" si="11"/>
        <v>成新率</v>
      </c>
      <c r="R29" s="714" t="s">
        <v>17</v>
      </c>
      <c r="S29" s="715" t="e">
        <f t="shared" si="12"/>
        <v>#N/A</v>
      </c>
      <c r="T29" s="714" t="s">
        <v>17</v>
      </c>
      <c r="U29" s="715" t="e">
        <f t="shared" si="13"/>
        <v>#N/A</v>
      </c>
      <c r="V29" s="714" t="s">
        <v>17</v>
      </c>
      <c r="W29" s="715" t="e">
        <f t="shared" si="14"/>
        <v>#N/A</v>
      </c>
      <c r="X29" s="1539"/>
      <c r="Y29" s="395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951"/>
      <c r="Q30" s="1536" t="str">
        <f t="shared" si="11"/>
        <v>物业等级</v>
      </c>
      <c r="R30" s="714" t="s">
        <v>17</v>
      </c>
      <c r="S30" s="715">
        <f t="shared" si="12"/>
        <v>100</v>
      </c>
      <c r="T30" s="714" t="s">
        <v>17</v>
      </c>
      <c r="U30" s="715">
        <f t="shared" si="13"/>
        <v>100</v>
      </c>
      <c r="V30" s="714" t="s">
        <v>17</v>
      </c>
      <c r="W30" s="715">
        <f t="shared" si="14"/>
        <v>100</v>
      </c>
      <c r="X30" s="1539"/>
      <c r="Y30" s="395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951"/>
      <c r="Q31" s="1527" t="str">
        <f t="shared" si="11"/>
        <v>停车位面积</v>
      </c>
      <c r="R31" s="710" t="s">
        <v>17</v>
      </c>
      <c r="S31" s="711" t="e">
        <f t="shared" si="12"/>
        <v>#N/A</v>
      </c>
      <c r="T31" s="710" t="s">
        <v>17</v>
      </c>
      <c r="U31" s="711" t="e">
        <f t="shared" si="13"/>
        <v>#N/A</v>
      </c>
      <c r="V31" s="710" t="s">
        <v>17</v>
      </c>
      <c r="W31" s="711" t="e">
        <f t="shared" si="14"/>
        <v>#N/A</v>
      </c>
      <c r="X31" s="712"/>
      <c r="Y31" s="395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951" t="s">
        <v>2386</v>
      </c>
      <c r="Q32" s="1536" t="str">
        <f t="shared" si="11"/>
        <v>车位类型</v>
      </c>
      <c r="R32" s="714" t="s">
        <v>17</v>
      </c>
      <c r="S32" s="715">
        <f t="shared" si="12"/>
        <v>100</v>
      </c>
      <c r="T32" s="714" t="s">
        <v>17</v>
      </c>
      <c r="U32" s="715">
        <f t="shared" si="13"/>
        <v>100</v>
      </c>
      <c r="V32" s="714" t="s">
        <v>17</v>
      </c>
      <c r="W32" s="715">
        <f t="shared" si="14"/>
        <v>100</v>
      </c>
      <c r="X32" s="1539"/>
      <c r="Y32" s="395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951"/>
      <c r="Q33" s="1536" t="str">
        <f t="shared" si="11"/>
        <v>是否直接入户</v>
      </c>
      <c r="R33" s="714" t="s">
        <v>17</v>
      </c>
      <c r="S33" s="715">
        <f t="shared" si="12"/>
        <v>100</v>
      </c>
      <c r="T33" s="714" t="s">
        <v>17</v>
      </c>
      <c r="U33" s="715">
        <f t="shared" si="13"/>
        <v>100</v>
      </c>
      <c r="V33" s="714" t="s">
        <v>17</v>
      </c>
      <c r="W33" s="715">
        <f t="shared" si="14"/>
        <v>100</v>
      </c>
      <c r="X33" s="1539"/>
      <c r="Y33" s="395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951"/>
      <c r="Q34" s="1536">
        <f t="shared" si="11"/>
        <v>111</v>
      </c>
      <c r="R34" s="714" t="s">
        <v>17</v>
      </c>
      <c r="S34" s="715">
        <f t="shared" si="12"/>
        <v>100</v>
      </c>
      <c r="T34" s="714" t="s">
        <v>17</v>
      </c>
      <c r="U34" s="715">
        <f t="shared" si="13"/>
        <v>100</v>
      </c>
      <c r="V34" s="714" t="s">
        <v>17</v>
      </c>
      <c r="W34" s="715">
        <f t="shared" si="14"/>
        <v>100</v>
      </c>
      <c r="X34" s="1539"/>
      <c r="Y34" s="395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951"/>
      <c r="Q35" s="716">
        <f t="shared" si="11"/>
        <v>111</v>
      </c>
      <c r="R35" s="717" t="s">
        <v>17</v>
      </c>
      <c r="S35" s="718">
        <f t="shared" si="12"/>
        <v>100</v>
      </c>
      <c r="T35" s="717" t="s">
        <v>17</v>
      </c>
      <c r="U35" s="718">
        <f t="shared" si="13"/>
        <v>100</v>
      </c>
      <c r="V35" s="717" t="s">
        <v>17</v>
      </c>
      <c r="W35" s="718">
        <f t="shared" si="14"/>
        <v>100</v>
      </c>
      <c r="X35" s="719"/>
      <c r="Y35" s="395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951"/>
      <c r="Q36" s="1536">
        <f t="shared" si="11"/>
        <v>111</v>
      </c>
      <c r="R36" s="714" t="s">
        <v>17</v>
      </c>
      <c r="S36" s="715">
        <f t="shared" si="12"/>
        <v>100</v>
      </c>
      <c r="T36" s="714" t="s">
        <v>17</v>
      </c>
      <c r="U36" s="715">
        <f t="shared" si="13"/>
        <v>100</v>
      </c>
      <c r="V36" s="714" t="s">
        <v>17</v>
      </c>
      <c r="W36" s="715">
        <f t="shared" si="14"/>
        <v>100</v>
      </c>
      <c r="X36" s="1539"/>
      <c r="Y36" s="395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944" t="str">
        <f>A37</f>
        <v>成交单价</v>
      </c>
      <c r="Q37" s="3944"/>
      <c r="R37" s="3945">
        <f>E37</f>
        <v>0</v>
      </c>
      <c r="S37" s="3945"/>
      <c r="T37" s="3945">
        <f>G37</f>
        <v>0</v>
      </c>
      <c r="U37" s="3945"/>
      <c r="V37" s="3945">
        <f>I37</f>
        <v>0</v>
      </c>
      <c r="W37" s="3945"/>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944" t="str">
        <f>A38</f>
        <v>比较价值（元/平方米）</v>
      </c>
      <c r="Q38" s="3944"/>
      <c r="R38" s="3945" t="e">
        <f>IF(F1="售价",ROUND(PRODUCT(R37,AA7:AA36),0),ROUND(PRODUCT(R37,AA7:AA36),1))</f>
        <v>#DIV/0!</v>
      </c>
      <c r="S38" s="3945"/>
      <c r="T38" s="3945" t="e">
        <f>IF(F1="售价",ROUND(PRODUCT(T37,AB7:AB36),0),ROUND(PRODUCT(T37,AB7:AB36),1))</f>
        <v>#DIV/0!</v>
      </c>
      <c r="U38" s="3945"/>
      <c r="V38" s="3945" t="e">
        <f>IF(F1="售价",ROUND(PRODUCT(V37,AC7:AC36),0),ROUND(PRODUCT(V37,AC7:AC36),1))</f>
        <v>#DIV/0!</v>
      </c>
      <c r="W38" s="394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941" t="str">
        <f>A39</f>
        <v>估价对象XX用房的比较价值（楼面单价，元/平方米）</v>
      </c>
      <c r="Q39" s="3942"/>
      <c r="R39" s="3971" t="e">
        <f>IF(F1="售价",ROUND(IF(D38="简单平均",AVERAGE(R38:W38),R38*F38+T38*H38+V38*J38),0),ROUND(IF(D38="简单平均",AVERAGE(R38:V38),R38*F38+T38*H38+V38*J38),1))</f>
        <v>#DIV/0!</v>
      </c>
      <c r="S39" s="3971"/>
      <c r="T39" s="3971"/>
      <c r="U39" s="3971"/>
      <c r="V39" s="3971"/>
      <c r="W39" s="397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27" t="s">
        <v>2467</v>
      </c>
      <c r="D4" s="3928"/>
      <c r="E4" s="3929" t="s">
        <v>2468</v>
      </c>
      <c r="F4" s="3930"/>
      <c r="G4" s="3927" t="s">
        <v>2469</v>
      </c>
      <c r="H4" s="3928"/>
      <c r="I4" s="3927" t="s">
        <v>2470</v>
      </c>
      <c r="J4" s="3928"/>
      <c r="K4" s="567" t="s">
        <v>2471</v>
      </c>
      <c r="L4" s="2944"/>
      <c r="M4" s="2945"/>
      <c r="N4" s="2945"/>
      <c r="O4" s="2945"/>
      <c r="P4" s="3931" t="s">
        <v>2472</v>
      </c>
      <c r="Q4" s="3932"/>
      <c r="R4" s="3914" t="s">
        <v>2468</v>
      </c>
      <c r="S4" s="3915"/>
      <c r="T4" s="3914" t="s">
        <v>2469</v>
      </c>
      <c r="U4" s="3915"/>
      <c r="V4" s="3939" t="s">
        <v>2470</v>
      </c>
      <c r="W4" s="3939"/>
      <c r="X4" s="1539"/>
      <c r="Y4" s="3914" t="s">
        <v>2472</v>
      </c>
      <c r="Z4" s="3915"/>
      <c r="AA4" s="3909" t="s">
        <v>2468</v>
      </c>
      <c r="AB4" s="3910" t="s">
        <v>2469</v>
      </c>
      <c r="AC4" s="3909" t="s">
        <v>2470</v>
      </c>
    </row>
    <row r="5" spans="1:29" ht="15">
      <c r="A5" s="364"/>
      <c r="B5" s="365"/>
      <c r="C5" s="3920" t="s">
        <v>2363</v>
      </c>
      <c r="D5" s="3921"/>
      <c r="E5" s="3918" t="s">
        <v>2364</v>
      </c>
      <c r="F5" s="3919"/>
      <c r="G5" s="3920" t="s">
        <v>2365</v>
      </c>
      <c r="H5" s="3921"/>
      <c r="I5" s="3920" t="s">
        <v>2366</v>
      </c>
      <c r="J5" s="3921"/>
      <c r="K5" s="567"/>
      <c r="L5" s="2944"/>
      <c r="M5" s="2945"/>
      <c r="N5" s="2945"/>
      <c r="O5" s="2945"/>
      <c r="P5" s="3933"/>
      <c r="Q5" s="3934"/>
      <c r="R5" s="3916"/>
      <c r="S5" s="3917"/>
      <c r="T5" s="3916"/>
      <c r="U5" s="3917"/>
      <c r="V5" s="3939"/>
      <c r="W5" s="3939"/>
      <c r="X5" s="1539"/>
      <c r="Y5" s="3916"/>
      <c r="Z5" s="3917"/>
      <c r="AA5" s="3910"/>
      <c r="AB5" s="3910"/>
      <c r="AC5" s="3910"/>
    </row>
    <row r="6" spans="1:29" ht="15.75" thickBot="1">
      <c r="A6" s="366"/>
      <c r="B6" s="367"/>
      <c r="C6" s="3922" t="s">
        <v>2367</v>
      </c>
      <c r="D6" s="3923"/>
      <c r="E6" s="3924" t="s">
        <v>2367</v>
      </c>
      <c r="F6" s="3925"/>
      <c r="G6" s="3922" t="s">
        <v>2367</v>
      </c>
      <c r="H6" s="3923"/>
      <c r="I6" s="3922" t="s">
        <v>2367</v>
      </c>
      <c r="J6" s="3923"/>
      <c r="K6" s="567" t="s">
        <v>2368</v>
      </c>
      <c r="L6" s="2944"/>
      <c r="M6" s="2945"/>
      <c r="N6" s="2945"/>
      <c r="O6" s="2945"/>
      <c r="P6" s="3935"/>
      <c r="Q6" s="3936"/>
      <c r="R6" s="3916"/>
      <c r="S6" s="3917"/>
      <c r="T6" s="3937"/>
      <c r="U6" s="3938"/>
      <c r="V6" s="3939"/>
      <c r="W6" s="3939"/>
      <c r="X6" s="1539"/>
      <c r="Y6" s="3937"/>
      <c r="Z6" s="3938"/>
      <c r="AA6" s="3911"/>
      <c r="AB6" s="3911"/>
      <c r="AC6" s="3911"/>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912" t="s">
        <v>2370</v>
      </c>
      <c r="Q7" s="3940"/>
      <c r="R7" s="710" t="s">
        <v>17</v>
      </c>
      <c r="S7" s="711">
        <f t="shared" ref="S7:S14" si="0">F7</f>
        <v>0</v>
      </c>
      <c r="T7" s="710" t="s">
        <v>17</v>
      </c>
      <c r="U7" s="711">
        <f t="shared" ref="U7:U14" si="1">H7</f>
        <v>0</v>
      </c>
      <c r="V7" s="710" t="s">
        <v>17</v>
      </c>
      <c r="W7" s="711">
        <f t="shared" ref="W7:W14" si="2">J7</f>
        <v>0</v>
      </c>
      <c r="X7" s="712"/>
      <c r="Y7" s="3912" t="s">
        <v>2370</v>
      </c>
      <c r="Z7" s="391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912" t="s">
        <v>2373</v>
      </c>
      <c r="Q8" s="3913"/>
      <c r="R8" s="710" t="s">
        <v>17</v>
      </c>
      <c r="S8" s="711">
        <f t="shared" si="0"/>
        <v>0</v>
      </c>
      <c r="T8" s="710" t="s">
        <v>17</v>
      </c>
      <c r="U8" s="711">
        <f t="shared" si="1"/>
        <v>0</v>
      </c>
      <c r="V8" s="710" t="s">
        <v>17</v>
      </c>
      <c r="W8" s="711">
        <f t="shared" si="2"/>
        <v>0</v>
      </c>
      <c r="X8" s="712"/>
      <c r="Y8" s="3912" t="s">
        <v>2373</v>
      </c>
      <c r="Z8" s="391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944" t="s">
        <v>2376</v>
      </c>
      <c r="Q9" s="1527" t="str">
        <f t="shared" ref="Q9:Q14" si="6">B9</f>
        <v>用途</v>
      </c>
      <c r="R9" s="710" t="s">
        <v>17</v>
      </c>
      <c r="S9" s="711">
        <f t="shared" si="0"/>
        <v>100</v>
      </c>
      <c r="T9" s="710" t="s">
        <v>17</v>
      </c>
      <c r="U9" s="711">
        <f t="shared" si="1"/>
        <v>100</v>
      </c>
      <c r="V9" s="710" t="s">
        <v>17</v>
      </c>
      <c r="W9" s="711">
        <f t="shared" si="2"/>
        <v>100</v>
      </c>
      <c r="X9" s="712"/>
      <c r="Y9" s="385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944"/>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944"/>
      <c r="Q11" s="1527">
        <f t="shared" si="6"/>
        <v>111</v>
      </c>
      <c r="R11" s="710" t="s">
        <v>17</v>
      </c>
      <c r="S11" s="711">
        <f t="shared" si="0"/>
        <v>100</v>
      </c>
      <c r="T11" s="710" t="s">
        <v>17</v>
      </c>
      <c r="U11" s="711">
        <f t="shared" si="1"/>
        <v>100</v>
      </c>
      <c r="V11" s="710" t="s">
        <v>17</v>
      </c>
      <c r="W11" s="711">
        <f t="shared" si="2"/>
        <v>100</v>
      </c>
      <c r="X11" s="712"/>
      <c r="Y11" s="385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944"/>
      <c r="Q12" s="1527">
        <f t="shared" si="6"/>
        <v>111</v>
      </c>
      <c r="R12" s="710" t="s">
        <v>17</v>
      </c>
      <c r="S12" s="711">
        <f t="shared" si="0"/>
        <v>100</v>
      </c>
      <c r="T12" s="710" t="s">
        <v>17</v>
      </c>
      <c r="U12" s="711">
        <f t="shared" si="1"/>
        <v>100</v>
      </c>
      <c r="V12" s="710" t="s">
        <v>17</v>
      </c>
      <c r="W12" s="711">
        <f t="shared" si="2"/>
        <v>100</v>
      </c>
      <c r="X12" s="712"/>
      <c r="Y12" s="385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944"/>
      <c r="Q13" s="1527">
        <f t="shared" si="6"/>
        <v>111</v>
      </c>
      <c r="R13" s="710" t="s">
        <v>17</v>
      </c>
      <c r="S13" s="711">
        <f t="shared" si="0"/>
        <v>100</v>
      </c>
      <c r="T13" s="710" t="s">
        <v>17</v>
      </c>
      <c r="U13" s="711">
        <f t="shared" si="1"/>
        <v>100</v>
      </c>
      <c r="V13" s="710" t="s">
        <v>17</v>
      </c>
      <c r="W13" s="711">
        <f t="shared" si="2"/>
        <v>100</v>
      </c>
      <c r="X13" s="712"/>
      <c r="Y13" s="385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946" t="s">
        <v>2381</v>
      </c>
      <c r="Q14" s="1536" t="str">
        <f t="shared" si="6"/>
        <v>交通便捷度</v>
      </c>
      <c r="R14" s="714" t="s">
        <v>17</v>
      </c>
      <c r="S14" s="715">
        <f t="shared" si="0"/>
        <v>100</v>
      </c>
      <c r="T14" s="714" t="s">
        <v>17</v>
      </c>
      <c r="U14" s="715">
        <f t="shared" si="1"/>
        <v>100</v>
      </c>
      <c r="V14" s="714" t="s">
        <v>17</v>
      </c>
      <c r="W14" s="715">
        <f t="shared" si="2"/>
        <v>100</v>
      </c>
      <c r="X14" s="1539"/>
      <c r="Y14" s="394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947"/>
      <c r="Q15" s="1536"/>
      <c r="R15" s="714"/>
      <c r="S15" s="715"/>
      <c r="T15" s="714"/>
      <c r="U15" s="715"/>
      <c r="V15" s="714"/>
      <c r="W15" s="715"/>
      <c r="X15" s="1539"/>
      <c r="Y15" s="394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947"/>
      <c r="Q16" s="1536" t="str">
        <f>B16</f>
        <v>公共配套设施</v>
      </c>
      <c r="R16" s="714" t="s">
        <v>17</v>
      </c>
      <c r="S16" s="715">
        <f>F16</f>
        <v>100</v>
      </c>
      <c r="T16" s="714" t="s">
        <v>17</v>
      </c>
      <c r="U16" s="715">
        <f>H16</f>
        <v>100</v>
      </c>
      <c r="V16" s="714" t="s">
        <v>17</v>
      </c>
      <c r="W16" s="715">
        <f>J16</f>
        <v>100</v>
      </c>
      <c r="X16" s="1539"/>
      <c r="Y16" s="394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947"/>
      <c r="Q17" s="1536"/>
      <c r="R17" s="714"/>
      <c r="S17" s="715"/>
      <c r="T17" s="714"/>
      <c r="U17" s="715"/>
      <c r="V17" s="714"/>
      <c r="W17" s="715"/>
      <c r="X17" s="1539"/>
      <c r="Y17" s="394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947"/>
      <c r="Q18" s="1536" t="str">
        <f>B18</f>
        <v>基础设施水平</v>
      </c>
      <c r="R18" s="714" t="s">
        <v>17</v>
      </c>
      <c r="S18" s="715">
        <f>F18</f>
        <v>100</v>
      </c>
      <c r="T18" s="714" t="s">
        <v>17</v>
      </c>
      <c r="U18" s="715">
        <f>H18</f>
        <v>100</v>
      </c>
      <c r="V18" s="714" t="s">
        <v>17</v>
      </c>
      <c r="W18" s="715">
        <f>J18</f>
        <v>100</v>
      </c>
      <c r="X18" s="1539"/>
      <c r="Y18" s="394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947"/>
      <c r="Q19" s="1536"/>
      <c r="R19" s="714"/>
      <c r="S19" s="715"/>
      <c r="T19" s="714"/>
      <c r="U19" s="715"/>
      <c r="V19" s="714"/>
      <c r="W19" s="715"/>
      <c r="X19" s="1539"/>
      <c r="Y19" s="394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947"/>
      <c r="Q20" s="1536" t="str">
        <f>B20</f>
        <v>自然及人文环境</v>
      </c>
      <c r="R20" s="714" t="s">
        <v>17</v>
      </c>
      <c r="S20" s="715">
        <f>F20</f>
        <v>100</v>
      </c>
      <c r="T20" s="714" t="s">
        <v>17</v>
      </c>
      <c r="U20" s="715">
        <f>H20</f>
        <v>100</v>
      </c>
      <c r="V20" s="714" t="s">
        <v>17</v>
      </c>
      <c r="W20" s="715">
        <f>J20</f>
        <v>100</v>
      </c>
      <c r="X20" s="1539"/>
      <c r="Y20" s="394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947"/>
      <c r="Q21" s="1536"/>
      <c r="R21" s="714"/>
      <c r="S21" s="715"/>
      <c r="T21" s="714"/>
      <c r="U21" s="715"/>
      <c r="V21" s="714"/>
      <c r="W21" s="715"/>
      <c r="X21" s="1539"/>
      <c r="Y21" s="394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947"/>
      <c r="Q22" s="1536" t="str">
        <f>B22</f>
        <v>楼层</v>
      </c>
      <c r="R22" s="714" t="s">
        <v>17</v>
      </c>
      <c r="S22" s="715">
        <f>F22</f>
        <v>100</v>
      </c>
      <c r="T22" s="714" t="s">
        <v>17</v>
      </c>
      <c r="U22" s="715">
        <f>H22</f>
        <v>100</v>
      </c>
      <c r="V22" s="714" t="s">
        <v>17</v>
      </c>
      <c r="W22" s="715">
        <f>J22</f>
        <v>100</v>
      </c>
      <c r="X22" s="1539"/>
      <c r="Y22" s="394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947"/>
      <c r="Q23" s="1536">
        <f>B23</f>
        <v>111</v>
      </c>
      <c r="R23" s="714" t="s">
        <v>17</v>
      </c>
      <c r="S23" s="715">
        <f>F23</f>
        <v>100</v>
      </c>
      <c r="T23" s="714" t="s">
        <v>17</v>
      </c>
      <c r="U23" s="715">
        <f>H23</f>
        <v>100</v>
      </c>
      <c r="V23" s="714" t="s">
        <v>17</v>
      </c>
      <c r="W23" s="715">
        <f>J23</f>
        <v>100</v>
      </c>
      <c r="X23" s="1539"/>
      <c r="Y23" s="394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947"/>
      <c r="Q24" s="1536">
        <f t="shared" ref="Q24:Q34" si="11">B24</f>
        <v>111</v>
      </c>
      <c r="R24" s="714" t="s">
        <v>17</v>
      </c>
      <c r="S24" s="715">
        <f>F24</f>
        <v>100</v>
      </c>
      <c r="T24" s="714" t="s">
        <v>17</v>
      </c>
      <c r="U24" s="715">
        <f>H24</f>
        <v>100</v>
      </c>
      <c r="V24" s="714" t="s">
        <v>17</v>
      </c>
      <c r="W24" s="715">
        <f>J24</f>
        <v>100</v>
      </c>
      <c r="X24" s="1539"/>
      <c r="Y24" s="394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947"/>
      <c r="Q25" s="1527">
        <f t="shared" si="11"/>
        <v>111</v>
      </c>
      <c r="R25" s="710" t="s">
        <v>17</v>
      </c>
      <c r="S25" s="711">
        <f>F25</f>
        <v>100</v>
      </c>
      <c r="T25" s="710" t="s">
        <v>17</v>
      </c>
      <c r="U25" s="711">
        <f>H25</f>
        <v>100</v>
      </c>
      <c r="V25" s="710" t="s">
        <v>17</v>
      </c>
      <c r="W25" s="711">
        <f>J25</f>
        <v>100</v>
      </c>
      <c r="X25" s="712"/>
      <c r="Y25" s="3947"/>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970"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95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951"/>
      <c r="Q27" s="716" t="str">
        <f t="shared" si="11"/>
        <v>成新率</v>
      </c>
      <c r="R27" s="717" t="s">
        <v>17</v>
      </c>
      <c r="S27" s="718" t="e">
        <f t="shared" si="12"/>
        <v>#N/A</v>
      </c>
      <c r="T27" s="717" t="s">
        <v>17</v>
      </c>
      <c r="U27" s="718" t="e">
        <f t="shared" si="13"/>
        <v>#N/A</v>
      </c>
      <c r="V27" s="717" t="s">
        <v>17</v>
      </c>
      <c r="W27" s="718" t="e">
        <f t="shared" si="14"/>
        <v>#N/A</v>
      </c>
      <c r="X27" s="719"/>
      <c r="Y27" s="395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951"/>
      <c r="Q28" s="1536" t="str">
        <f t="shared" si="11"/>
        <v>物业等级</v>
      </c>
      <c r="R28" s="714" t="s">
        <v>17</v>
      </c>
      <c r="S28" s="715">
        <f t="shared" si="12"/>
        <v>100</v>
      </c>
      <c r="T28" s="714" t="s">
        <v>17</v>
      </c>
      <c r="U28" s="715">
        <f t="shared" si="13"/>
        <v>100</v>
      </c>
      <c r="V28" s="714" t="s">
        <v>17</v>
      </c>
      <c r="W28" s="715">
        <f t="shared" si="14"/>
        <v>100</v>
      </c>
      <c r="X28" s="1539"/>
      <c r="Y28" s="395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951"/>
      <c r="Q29" s="1536" t="str">
        <f t="shared" si="11"/>
        <v>有无电梯</v>
      </c>
      <c r="R29" s="714" t="s">
        <v>17</v>
      </c>
      <c r="S29" s="715">
        <f t="shared" si="12"/>
        <v>100</v>
      </c>
      <c r="T29" s="714" t="s">
        <v>17</v>
      </c>
      <c r="U29" s="715">
        <f t="shared" si="13"/>
        <v>100</v>
      </c>
      <c r="V29" s="714" t="s">
        <v>17</v>
      </c>
      <c r="W29" s="715">
        <f t="shared" si="14"/>
        <v>100</v>
      </c>
      <c r="X29" s="1539"/>
      <c r="Y29" s="395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951"/>
      <c r="Q30" s="1536" t="str">
        <f t="shared" si="11"/>
        <v>建筑面积</v>
      </c>
      <c r="R30" s="714" t="s">
        <v>17</v>
      </c>
      <c r="S30" s="715" t="e">
        <f t="shared" si="12"/>
        <v>#N/A</v>
      </c>
      <c r="T30" s="714" t="s">
        <v>17</v>
      </c>
      <c r="U30" s="715" t="e">
        <f t="shared" si="13"/>
        <v>#N/A</v>
      </c>
      <c r="V30" s="714" t="s">
        <v>17</v>
      </c>
      <c r="W30" s="715" t="e">
        <f t="shared" si="14"/>
        <v>#N/A</v>
      </c>
      <c r="X30" s="1539"/>
      <c r="Y30" s="395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951"/>
      <c r="Q31" s="1527" t="str">
        <f t="shared" si="11"/>
        <v>是否封闭</v>
      </c>
      <c r="R31" s="710" t="s">
        <v>17</v>
      </c>
      <c r="S31" s="711">
        <f t="shared" si="12"/>
        <v>100</v>
      </c>
      <c r="T31" s="710" t="s">
        <v>17</v>
      </c>
      <c r="U31" s="711">
        <f t="shared" si="13"/>
        <v>100</v>
      </c>
      <c r="V31" s="710" t="s">
        <v>17</v>
      </c>
      <c r="W31" s="711">
        <f t="shared" si="14"/>
        <v>100</v>
      </c>
      <c r="X31" s="712"/>
      <c r="Y31" s="395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951" t="s">
        <v>2386</v>
      </c>
      <c r="Q32" s="1536">
        <f t="shared" si="11"/>
        <v>111</v>
      </c>
      <c r="R32" s="714" t="s">
        <v>17</v>
      </c>
      <c r="S32" s="715">
        <f t="shared" si="12"/>
        <v>100</v>
      </c>
      <c r="T32" s="714" t="s">
        <v>17</v>
      </c>
      <c r="U32" s="715">
        <f t="shared" si="13"/>
        <v>100</v>
      </c>
      <c r="V32" s="714" t="s">
        <v>17</v>
      </c>
      <c r="W32" s="715">
        <f t="shared" si="14"/>
        <v>100</v>
      </c>
      <c r="X32" s="1539"/>
      <c r="Y32" s="395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951"/>
      <c r="Q33" s="1536">
        <f t="shared" si="11"/>
        <v>111</v>
      </c>
      <c r="R33" s="714" t="s">
        <v>17</v>
      </c>
      <c r="S33" s="715">
        <f t="shared" si="12"/>
        <v>100</v>
      </c>
      <c r="T33" s="714" t="s">
        <v>17</v>
      </c>
      <c r="U33" s="715">
        <f t="shared" si="13"/>
        <v>100</v>
      </c>
      <c r="V33" s="714" t="s">
        <v>17</v>
      </c>
      <c r="W33" s="715">
        <f t="shared" si="14"/>
        <v>100</v>
      </c>
      <c r="X33" s="1539"/>
      <c r="Y33" s="395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951"/>
      <c r="Q34" s="1536">
        <f t="shared" si="11"/>
        <v>111</v>
      </c>
      <c r="R34" s="714" t="s">
        <v>17</v>
      </c>
      <c r="S34" s="715">
        <f t="shared" si="12"/>
        <v>100</v>
      </c>
      <c r="T34" s="714" t="s">
        <v>17</v>
      </c>
      <c r="U34" s="715">
        <f t="shared" si="13"/>
        <v>100</v>
      </c>
      <c r="V34" s="714" t="s">
        <v>17</v>
      </c>
      <c r="W34" s="715">
        <f t="shared" si="14"/>
        <v>100</v>
      </c>
      <c r="X34" s="1539"/>
      <c r="Y34" s="395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944" t="str">
        <f>A35</f>
        <v>成交单价（元/平方米）</v>
      </c>
      <c r="Q35" s="3944"/>
      <c r="R35" s="3945">
        <f>E35</f>
        <v>0</v>
      </c>
      <c r="S35" s="3945"/>
      <c r="T35" s="3945">
        <f>G35</f>
        <v>0</v>
      </c>
      <c r="U35" s="3945"/>
      <c r="V35" s="3945">
        <f>I35</f>
        <v>0</v>
      </c>
      <c r="W35" s="3945"/>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944" t="str">
        <f>A36</f>
        <v>比较价值（元/平方米）</v>
      </c>
      <c r="Q36" s="3944"/>
      <c r="R36" s="3945" t="e">
        <f>IF(F1="售价",ROUND(PRODUCT(R35,AA7:AA34),0),ROUND(PRODUCT(R35,AA7:AA34),1))</f>
        <v>#DIV/0!</v>
      </c>
      <c r="S36" s="3945"/>
      <c r="T36" s="3945" t="e">
        <f>IF(F1="售价",ROUND(PRODUCT(T35,AB7:AB34),0),ROUND(PRODUCT(T35,AB7:AB34),1))</f>
        <v>#DIV/0!</v>
      </c>
      <c r="U36" s="3945"/>
      <c r="V36" s="3945" t="e">
        <f>IF(F1="售价",ROUND(PRODUCT(V35,AC7:AC34),0),ROUND(PRODUCT(V35,AC7:AC34),1))</f>
        <v>#DIV/0!</v>
      </c>
      <c r="W36" s="394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941" t="str">
        <f>A37</f>
        <v>估价对象XX用房的比较价值（楼面单价，元/平方米）</v>
      </c>
      <c r="Q37" s="3942"/>
      <c r="R37" s="3971" t="e">
        <f>IF(F1="售价",ROUND(IF(D36="简单平均",AVERAGE(R36:W36),R36*F36+T36*H36+V36*J36),0),ROUND(IF(D36="简单平均",AVERAGE(R36:V36),R36*F36+T36*H36+V36*J36),1))</f>
        <v>#DIV/0!</v>
      </c>
      <c r="S37" s="3971"/>
      <c r="T37" s="3971"/>
      <c r="U37" s="3971"/>
      <c r="V37" s="3971"/>
      <c r="W37" s="397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927" t="s">
        <v>2467</v>
      </c>
      <c r="D4" s="3928"/>
      <c r="E4" s="3929" t="s">
        <v>2468</v>
      </c>
      <c r="F4" s="3930"/>
      <c r="G4" s="3927" t="s">
        <v>2469</v>
      </c>
      <c r="H4" s="3928"/>
      <c r="I4" s="3927" t="s">
        <v>2470</v>
      </c>
      <c r="J4" s="3928"/>
      <c r="K4" s="567" t="s">
        <v>2471</v>
      </c>
      <c r="L4" s="2944"/>
      <c r="M4" s="2945"/>
      <c r="N4" s="2945"/>
      <c r="O4" s="2945"/>
      <c r="P4" s="3931" t="s">
        <v>2472</v>
      </c>
      <c r="Q4" s="3932"/>
      <c r="R4" s="3914" t="s">
        <v>2468</v>
      </c>
      <c r="S4" s="3915"/>
      <c r="T4" s="3914" t="s">
        <v>2469</v>
      </c>
      <c r="U4" s="3915"/>
      <c r="V4" s="3939" t="s">
        <v>2470</v>
      </c>
      <c r="W4" s="3939"/>
      <c r="X4" s="1539"/>
      <c r="Y4" s="3914" t="s">
        <v>2472</v>
      </c>
      <c r="Z4" s="3915"/>
      <c r="AA4" s="3909" t="s">
        <v>2468</v>
      </c>
      <c r="AB4" s="3910" t="s">
        <v>2469</v>
      </c>
      <c r="AC4" s="3909" t="s">
        <v>2470</v>
      </c>
    </row>
    <row r="5" spans="1:30" ht="15">
      <c r="A5" s="364"/>
      <c r="B5" s="365"/>
      <c r="C5" s="3920" t="s">
        <v>2363</v>
      </c>
      <c r="D5" s="3921"/>
      <c r="E5" s="3918" t="s">
        <v>2364</v>
      </c>
      <c r="F5" s="3919"/>
      <c r="G5" s="3920" t="s">
        <v>2365</v>
      </c>
      <c r="H5" s="3921"/>
      <c r="I5" s="3920" t="s">
        <v>2366</v>
      </c>
      <c r="J5" s="3921"/>
      <c r="K5" s="567"/>
      <c r="L5" s="2944"/>
      <c r="M5" s="2945"/>
      <c r="N5" s="2945"/>
      <c r="O5" s="2945"/>
      <c r="P5" s="3933"/>
      <c r="Q5" s="3934"/>
      <c r="R5" s="3916"/>
      <c r="S5" s="3917"/>
      <c r="T5" s="3916"/>
      <c r="U5" s="3917"/>
      <c r="V5" s="3939"/>
      <c r="W5" s="3939"/>
      <c r="X5" s="1539"/>
      <c r="Y5" s="3916"/>
      <c r="Z5" s="3917"/>
      <c r="AA5" s="3910"/>
      <c r="AB5" s="3910"/>
      <c r="AC5" s="3910"/>
    </row>
    <row r="6" spans="1:30" ht="15.75" thickBot="1">
      <c r="A6" s="366"/>
      <c r="B6" s="367"/>
      <c r="C6" s="3922" t="s">
        <v>2367</v>
      </c>
      <c r="D6" s="3923"/>
      <c r="E6" s="3924" t="s">
        <v>2367</v>
      </c>
      <c r="F6" s="3925"/>
      <c r="G6" s="3922" t="s">
        <v>2367</v>
      </c>
      <c r="H6" s="3923"/>
      <c r="I6" s="3922" t="s">
        <v>2367</v>
      </c>
      <c r="J6" s="3923"/>
      <c r="K6" s="567" t="s">
        <v>2368</v>
      </c>
      <c r="L6" s="2944"/>
      <c r="M6" s="2945"/>
      <c r="N6" s="2945"/>
      <c r="O6" s="2945"/>
      <c r="P6" s="3935"/>
      <c r="Q6" s="3936"/>
      <c r="R6" s="3916"/>
      <c r="S6" s="3917"/>
      <c r="T6" s="3937"/>
      <c r="U6" s="3938"/>
      <c r="V6" s="3939"/>
      <c r="W6" s="3939"/>
      <c r="X6" s="1539"/>
      <c r="Y6" s="3937"/>
      <c r="Z6" s="3938"/>
      <c r="AA6" s="3911"/>
      <c r="AB6" s="3911"/>
      <c r="AC6" s="3911"/>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912" t="s">
        <v>2370</v>
      </c>
      <c r="Q7" s="3940"/>
      <c r="R7" s="710" t="s">
        <v>17</v>
      </c>
      <c r="S7" s="711">
        <f t="shared" ref="S7:S15" si="0">F7</f>
        <v>0</v>
      </c>
      <c r="T7" s="710" t="s">
        <v>17</v>
      </c>
      <c r="U7" s="711">
        <f t="shared" ref="U7:U15" si="1">H7</f>
        <v>0</v>
      </c>
      <c r="V7" s="710" t="s">
        <v>17</v>
      </c>
      <c r="W7" s="711">
        <f t="shared" ref="W7:W15" si="2">J7</f>
        <v>0</v>
      </c>
      <c r="X7" s="712"/>
      <c r="Y7" s="3912" t="s">
        <v>2370</v>
      </c>
      <c r="Z7" s="391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912" t="s">
        <v>2373</v>
      </c>
      <c r="Q8" s="3913"/>
      <c r="R8" s="710" t="s">
        <v>17</v>
      </c>
      <c r="S8" s="711">
        <f t="shared" si="0"/>
        <v>0</v>
      </c>
      <c r="T8" s="710" t="s">
        <v>17</v>
      </c>
      <c r="U8" s="711">
        <f t="shared" si="1"/>
        <v>0</v>
      </c>
      <c r="V8" s="710" t="s">
        <v>17</v>
      </c>
      <c r="W8" s="711">
        <f t="shared" si="2"/>
        <v>0</v>
      </c>
      <c r="X8" s="712"/>
      <c r="Y8" s="3912" t="s">
        <v>2373</v>
      </c>
      <c r="Z8" s="391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944" t="s">
        <v>2376</v>
      </c>
      <c r="Q9" s="1527" t="str">
        <f t="shared" ref="Q9:Q15" si="6">B9</f>
        <v>用途</v>
      </c>
      <c r="R9" s="710" t="s">
        <v>17</v>
      </c>
      <c r="S9" s="711">
        <f t="shared" si="0"/>
        <v>100</v>
      </c>
      <c r="T9" s="710" t="s">
        <v>17</v>
      </c>
      <c r="U9" s="711">
        <f t="shared" si="1"/>
        <v>100</v>
      </c>
      <c r="V9" s="710" t="s">
        <v>17</v>
      </c>
      <c r="W9" s="711">
        <f t="shared" si="2"/>
        <v>100</v>
      </c>
      <c r="X9" s="712"/>
      <c r="Y9" s="385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944"/>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944"/>
      <c r="Q11" s="1527" t="str">
        <f t="shared" si="6"/>
        <v>容积率</v>
      </c>
      <c r="R11" s="710" t="s">
        <v>17</v>
      </c>
      <c r="S11" s="711" t="e">
        <f t="shared" si="0"/>
        <v>#N/A</v>
      </c>
      <c r="T11" s="710" t="s">
        <v>17</v>
      </c>
      <c r="U11" s="711" t="e">
        <f t="shared" si="1"/>
        <v>#N/A</v>
      </c>
      <c r="V11" s="710" t="s">
        <v>17</v>
      </c>
      <c r="W11" s="711" t="e">
        <f t="shared" si="2"/>
        <v>#N/A</v>
      </c>
      <c r="X11" s="712"/>
      <c r="Y11" s="385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944"/>
      <c r="Q12" s="1527" t="str">
        <f t="shared" si="6"/>
        <v>配建</v>
      </c>
      <c r="R12" s="710" t="s">
        <v>17</v>
      </c>
      <c r="S12" s="711">
        <f t="shared" si="0"/>
        <v>100</v>
      </c>
      <c r="T12" s="710" t="s">
        <v>17</v>
      </c>
      <c r="U12" s="711">
        <f t="shared" si="1"/>
        <v>100</v>
      </c>
      <c r="V12" s="710" t="s">
        <v>17</v>
      </c>
      <c r="W12" s="711">
        <f t="shared" si="2"/>
        <v>100</v>
      </c>
      <c r="X12" s="712"/>
      <c r="Y12" s="385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944"/>
      <c r="Q13" s="1527">
        <f t="shared" si="6"/>
        <v>111</v>
      </c>
      <c r="R13" s="710" t="s">
        <v>17</v>
      </c>
      <c r="S13" s="711">
        <f t="shared" si="0"/>
        <v>100</v>
      </c>
      <c r="T13" s="710" t="s">
        <v>17</v>
      </c>
      <c r="U13" s="711">
        <f t="shared" si="1"/>
        <v>100</v>
      </c>
      <c r="V13" s="710" t="s">
        <v>17</v>
      </c>
      <c r="W13" s="711">
        <f t="shared" si="2"/>
        <v>100</v>
      </c>
      <c r="X13" s="712"/>
      <c r="Y13" s="385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944"/>
      <c r="Q14" s="1527">
        <f t="shared" si="6"/>
        <v>111</v>
      </c>
      <c r="R14" s="710" t="s">
        <v>17</v>
      </c>
      <c r="S14" s="711">
        <f t="shared" si="0"/>
        <v>100</v>
      </c>
      <c r="T14" s="710" t="s">
        <v>17</v>
      </c>
      <c r="U14" s="711">
        <f t="shared" si="1"/>
        <v>100</v>
      </c>
      <c r="V14" s="710" t="s">
        <v>17</v>
      </c>
      <c r="W14" s="711">
        <f t="shared" si="2"/>
        <v>100</v>
      </c>
      <c r="X14" s="712"/>
      <c r="Y14" s="385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946" t="s">
        <v>2381</v>
      </c>
      <c r="Q15" s="1536" t="str">
        <f t="shared" si="6"/>
        <v>居住社区成熟度</v>
      </c>
      <c r="R15" s="714" t="s">
        <v>17</v>
      </c>
      <c r="S15" s="715">
        <f t="shared" si="0"/>
        <v>100</v>
      </c>
      <c r="T15" s="714" t="s">
        <v>17</v>
      </c>
      <c r="U15" s="715">
        <f t="shared" si="1"/>
        <v>100</v>
      </c>
      <c r="V15" s="714" t="s">
        <v>17</v>
      </c>
      <c r="W15" s="715">
        <f t="shared" si="2"/>
        <v>100</v>
      </c>
      <c r="X15" s="1539"/>
      <c r="Y15" s="394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947"/>
      <c r="Q16" s="1536"/>
      <c r="R16" s="714"/>
      <c r="S16" s="715"/>
      <c r="T16" s="714"/>
      <c r="U16" s="715"/>
      <c r="V16" s="714"/>
      <c r="W16" s="715"/>
      <c r="X16" s="1539"/>
      <c r="Y16" s="394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947"/>
      <c r="Q17" s="1536" t="str">
        <f>B17</f>
        <v>商业繁华度</v>
      </c>
      <c r="R17" s="714" t="s">
        <v>17</v>
      </c>
      <c r="S17" s="715">
        <f>F17</f>
        <v>100</v>
      </c>
      <c r="T17" s="714" t="s">
        <v>17</v>
      </c>
      <c r="U17" s="715">
        <f>H17</f>
        <v>100</v>
      </c>
      <c r="V17" s="714" t="s">
        <v>17</v>
      </c>
      <c r="W17" s="715">
        <f>J17</f>
        <v>100</v>
      </c>
      <c r="X17" s="1539"/>
      <c r="Y17" s="394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947"/>
      <c r="Q18" s="1536"/>
      <c r="R18" s="714"/>
      <c r="S18" s="715"/>
      <c r="T18" s="714"/>
      <c r="U18" s="715"/>
      <c r="V18" s="714"/>
      <c r="W18" s="715"/>
      <c r="X18" s="1539"/>
      <c r="Y18" s="394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947"/>
      <c r="Q19" s="1536" t="str">
        <f>B19</f>
        <v>办公集聚程度</v>
      </c>
      <c r="R19" s="714" t="s">
        <v>17</v>
      </c>
      <c r="S19" s="715">
        <f>F19</f>
        <v>100</v>
      </c>
      <c r="T19" s="714" t="s">
        <v>17</v>
      </c>
      <c r="U19" s="715">
        <f>H19</f>
        <v>100</v>
      </c>
      <c r="V19" s="714" t="s">
        <v>17</v>
      </c>
      <c r="W19" s="715">
        <f>J19</f>
        <v>100</v>
      </c>
      <c r="X19" s="1539"/>
      <c r="Y19" s="394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947"/>
      <c r="Q20" s="1536"/>
      <c r="R20" s="714"/>
      <c r="S20" s="715"/>
      <c r="T20" s="714"/>
      <c r="U20" s="715"/>
      <c r="V20" s="714"/>
      <c r="W20" s="715"/>
      <c r="X20" s="1539"/>
      <c r="Y20" s="394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947"/>
      <c r="Q21" s="1536" t="str">
        <f>B21</f>
        <v>交通便捷度</v>
      </c>
      <c r="R21" s="714" t="s">
        <v>17</v>
      </c>
      <c r="S21" s="715">
        <f>F21</f>
        <v>100</v>
      </c>
      <c r="T21" s="714" t="s">
        <v>17</v>
      </c>
      <c r="U21" s="715">
        <f>H21</f>
        <v>100</v>
      </c>
      <c r="V21" s="714" t="s">
        <v>17</v>
      </c>
      <c r="W21" s="715">
        <f>J21</f>
        <v>100</v>
      </c>
      <c r="X21" s="1539"/>
      <c r="Y21" s="394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947"/>
      <c r="Q22" s="1536"/>
      <c r="R22" s="714"/>
      <c r="S22" s="715"/>
      <c r="T22" s="714"/>
      <c r="U22" s="715"/>
      <c r="V22" s="714"/>
      <c r="W22" s="715"/>
      <c r="X22" s="1539"/>
      <c r="Y22" s="394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947"/>
      <c r="Q23" s="1536" t="str">
        <f t="shared" ref="Q23:Q37" si="8">B23</f>
        <v>区域土地利用方向</v>
      </c>
      <c r="R23" s="714" t="s">
        <v>17</v>
      </c>
      <c r="S23" s="715">
        <f>F23</f>
        <v>100</v>
      </c>
      <c r="T23" s="714" t="s">
        <v>17</v>
      </c>
      <c r="U23" s="715">
        <f>H23</f>
        <v>100</v>
      </c>
      <c r="V23" s="714" t="s">
        <v>17</v>
      </c>
      <c r="W23" s="715">
        <f>J23</f>
        <v>100</v>
      </c>
      <c r="X23" s="1539"/>
      <c r="Y23" s="394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947"/>
      <c r="Q24" s="1536"/>
      <c r="R24" s="714"/>
      <c r="S24" s="715"/>
      <c r="T24" s="714"/>
      <c r="U24" s="715"/>
      <c r="V24" s="714"/>
      <c r="W24" s="715"/>
      <c r="X24" s="1539"/>
      <c r="Y24" s="394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947"/>
      <c r="Q25" s="1536" t="str">
        <f t="shared" si="8"/>
        <v>自然及人文环境状况</v>
      </c>
      <c r="R25" s="714" t="s">
        <v>17</v>
      </c>
      <c r="S25" s="715">
        <f>F25</f>
        <v>100</v>
      </c>
      <c r="T25" s="714" t="s">
        <v>17</v>
      </c>
      <c r="U25" s="715">
        <f>H25</f>
        <v>100</v>
      </c>
      <c r="V25" s="714" t="s">
        <v>17</v>
      </c>
      <c r="W25" s="715">
        <f>J25</f>
        <v>100</v>
      </c>
      <c r="X25" s="1539"/>
      <c r="Y25" s="394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947"/>
      <c r="Q26" s="1536"/>
      <c r="R26" s="714"/>
      <c r="S26" s="715"/>
      <c r="T26" s="714"/>
      <c r="U26" s="715"/>
      <c r="V26" s="714"/>
      <c r="W26" s="715"/>
      <c r="X26" s="1539"/>
      <c r="Y26" s="394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947"/>
      <c r="Q27" s="1527" t="str">
        <f t="shared" si="8"/>
        <v>公共配套设施</v>
      </c>
      <c r="R27" s="710" t="s">
        <v>17</v>
      </c>
      <c r="S27" s="711">
        <f>F27</f>
        <v>100</v>
      </c>
      <c r="T27" s="710" t="s">
        <v>17</v>
      </c>
      <c r="U27" s="711">
        <f>H27</f>
        <v>100</v>
      </c>
      <c r="V27" s="710" t="s">
        <v>17</v>
      </c>
      <c r="W27" s="711">
        <f>J27</f>
        <v>100</v>
      </c>
      <c r="X27" s="712"/>
      <c r="Y27" s="394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947"/>
      <c r="Q28" s="1527"/>
      <c r="R28" s="710"/>
      <c r="S28" s="711"/>
      <c r="T28" s="710"/>
      <c r="U28" s="711"/>
      <c r="V28" s="710"/>
      <c r="W28" s="711"/>
      <c r="X28" s="712"/>
      <c r="Y28" s="394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947"/>
      <c r="Q29" s="1527" t="str">
        <f t="shared" ref="Q29" si="9">B29</f>
        <v>基础设施水平</v>
      </c>
      <c r="R29" s="710" t="s">
        <v>17</v>
      </c>
      <c r="S29" s="711">
        <f>F29</f>
        <v>100</v>
      </c>
      <c r="T29" s="710" t="s">
        <v>17</v>
      </c>
      <c r="U29" s="711">
        <f>H29</f>
        <v>100</v>
      </c>
      <c r="V29" s="710" t="s">
        <v>17</v>
      </c>
      <c r="W29" s="711">
        <f>J29</f>
        <v>100</v>
      </c>
      <c r="X29" s="712"/>
      <c r="Y29" s="394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947"/>
      <c r="Q30" s="1527"/>
      <c r="R30" s="710"/>
      <c r="S30" s="711"/>
      <c r="T30" s="710"/>
      <c r="U30" s="711"/>
      <c r="V30" s="710"/>
      <c r="W30" s="711"/>
      <c r="X30" s="712"/>
      <c r="Y30" s="394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94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94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947"/>
      <c r="Q32" s="1536" t="str">
        <f t="shared" si="8"/>
        <v>毗邻道路的类型与等级</v>
      </c>
      <c r="R32" s="714" t="s">
        <v>17</v>
      </c>
      <c r="S32" s="715">
        <f t="shared" si="10"/>
        <v>100</v>
      </c>
      <c r="T32" s="714" t="s">
        <v>17</v>
      </c>
      <c r="U32" s="715">
        <f t="shared" si="11"/>
        <v>100</v>
      </c>
      <c r="V32" s="714" t="s">
        <v>17</v>
      </c>
      <c r="W32" s="715">
        <f t="shared" si="12"/>
        <v>100</v>
      </c>
      <c r="X32" s="1539"/>
      <c r="Y32" s="394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947"/>
      <c r="Q33" s="1536"/>
      <c r="R33" s="714"/>
      <c r="S33" s="715"/>
      <c r="T33" s="714"/>
      <c r="U33" s="715"/>
      <c r="V33" s="714"/>
      <c r="W33" s="715"/>
      <c r="X33" s="1539"/>
      <c r="Y33" s="394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947"/>
      <c r="Q34" s="1536" t="str">
        <f t="shared" si="8"/>
        <v>土地级别</v>
      </c>
      <c r="R34" s="714" t="s">
        <v>17</v>
      </c>
      <c r="S34" s="715">
        <f t="shared" si="10"/>
        <v>100</v>
      </c>
      <c r="T34" s="714" t="s">
        <v>17</v>
      </c>
      <c r="U34" s="715">
        <f t="shared" si="11"/>
        <v>100</v>
      </c>
      <c r="V34" s="714" t="s">
        <v>17</v>
      </c>
      <c r="W34" s="715">
        <f t="shared" si="12"/>
        <v>100</v>
      </c>
      <c r="X34" s="1539"/>
      <c r="Y34" s="394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947"/>
      <c r="Q35" s="1536">
        <f t="shared" si="8"/>
        <v>111</v>
      </c>
      <c r="R35" s="714" t="s">
        <v>17</v>
      </c>
      <c r="S35" s="715">
        <f t="shared" si="10"/>
        <v>100</v>
      </c>
      <c r="T35" s="714" t="s">
        <v>17</v>
      </c>
      <c r="U35" s="715">
        <f t="shared" si="11"/>
        <v>100</v>
      </c>
      <c r="V35" s="714" t="s">
        <v>17</v>
      </c>
      <c r="W35" s="715">
        <f t="shared" si="12"/>
        <v>100</v>
      </c>
      <c r="X35" s="1539"/>
      <c r="Y35" s="394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970" t="s">
        <v>2386</v>
      </c>
      <c r="Q36" s="1536">
        <f t="shared" si="8"/>
        <v>111</v>
      </c>
      <c r="R36" s="714" t="s">
        <v>17</v>
      </c>
      <c r="S36" s="715">
        <f t="shared" si="10"/>
        <v>100</v>
      </c>
      <c r="T36" s="714" t="s">
        <v>17</v>
      </c>
      <c r="U36" s="715">
        <f t="shared" si="11"/>
        <v>100</v>
      </c>
      <c r="V36" s="714" t="s">
        <v>17</v>
      </c>
      <c r="W36" s="715">
        <f t="shared" si="12"/>
        <v>100</v>
      </c>
      <c r="X36" s="1539"/>
      <c r="Y36" s="395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951"/>
      <c r="Q37" s="1536">
        <f t="shared" si="8"/>
        <v>111</v>
      </c>
      <c r="R37" s="717" t="s">
        <v>17</v>
      </c>
      <c r="S37" s="718">
        <f t="shared" si="10"/>
        <v>100</v>
      </c>
      <c r="T37" s="717" t="s">
        <v>17</v>
      </c>
      <c r="U37" s="718">
        <f t="shared" si="11"/>
        <v>100</v>
      </c>
      <c r="V37" s="717" t="s">
        <v>17</v>
      </c>
      <c r="W37" s="718">
        <f t="shared" si="12"/>
        <v>100</v>
      </c>
      <c r="X37" s="719"/>
      <c r="Y37" s="395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951"/>
      <c r="Q38" s="1536" t="str">
        <f>B38</f>
        <v>宗地面积</v>
      </c>
      <c r="R38" s="714" t="s">
        <v>17</v>
      </c>
      <c r="S38" s="715" t="e">
        <f t="shared" si="10"/>
        <v>#N/A</v>
      </c>
      <c r="T38" s="714" t="s">
        <v>17</v>
      </c>
      <c r="U38" s="715" t="e">
        <f t="shared" si="11"/>
        <v>#N/A</v>
      </c>
      <c r="V38" s="714" t="s">
        <v>17</v>
      </c>
      <c r="W38" s="715" t="e">
        <f t="shared" si="12"/>
        <v>#N/A</v>
      </c>
      <c r="X38" s="1539"/>
      <c r="Y38" s="395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951"/>
      <c r="Q39" s="1536" t="str">
        <f t="shared" ref="Q39:Q45" si="14">B39</f>
        <v>宗地形状</v>
      </c>
      <c r="R39" s="714" t="s">
        <v>17</v>
      </c>
      <c r="S39" s="715">
        <f t="shared" si="10"/>
        <v>100</v>
      </c>
      <c r="T39" s="714" t="s">
        <v>17</v>
      </c>
      <c r="U39" s="715">
        <f t="shared" si="11"/>
        <v>100</v>
      </c>
      <c r="V39" s="714" t="s">
        <v>17</v>
      </c>
      <c r="W39" s="715">
        <f t="shared" si="12"/>
        <v>100</v>
      </c>
      <c r="X39" s="1539"/>
      <c r="Y39" s="395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951"/>
      <c r="Q40" s="1536" t="str">
        <f t="shared" si="14"/>
        <v>临街宽度及深度</v>
      </c>
      <c r="R40" s="714" t="s">
        <v>17</v>
      </c>
      <c r="S40" s="715">
        <f t="shared" si="10"/>
        <v>100</v>
      </c>
      <c r="T40" s="714" t="s">
        <v>17</v>
      </c>
      <c r="U40" s="715">
        <f t="shared" si="11"/>
        <v>100</v>
      </c>
      <c r="V40" s="714" t="s">
        <v>17</v>
      </c>
      <c r="W40" s="715">
        <f t="shared" si="12"/>
        <v>100</v>
      </c>
      <c r="X40" s="1539"/>
      <c r="Y40" s="395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951"/>
      <c r="Q41" s="1536" t="str">
        <f t="shared" si="14"/>
        <v>宗地开发程度</v>
      </c>
      <c r="R41" s="710" t="s">
        <v>17</v>
      </c>
      <c r="S41" s="711">
        <f t="shared" si="10"/>
        <v>100</v>
      </c>
      <c r="T41" s="710" t="s">
        <v>17</v>
      </c>
      <c r="U41" s="711">
        <f t="shared" si="11"/>
        <v>100</v>
      </c>
      <c r="V41" s="710" t="s">
        <v>17</v>
      </c>
      <c r="W41" s="711">
        <f t="shared" si="12"/>
        <v>100</v>
      </c>
      <c r="X41" s="712"/>
      <c r="Y41" s="395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951" t="s">
        <v>2386</v>
      </c>
      <c r="Q42" s="1536" t="str">
        <f t="shared" si="14"/>
        <v>工程地质条件</v>
      </c>
      <c r="R42" s="714" t="s">
        <v>17</v>
      </c>
      <c r="S42" s="715">
        <f t="shared" si="10"/>
        <v>100</v>
      </c>
      <c r="T42" s="714" t="s">
        <v>17</v>
      </c>
      <c r="U42" s="715">
        <f t="shared" si="11"/>
        <v>100</v>
      </c>
      <c r="V42" s="714" t="s">
        <v>17</v>
      </c>
      <c r="W42" s="715">
        <f t="shared" si="12"/>
        <v>100</v>
      </c>
      <c r="X42" s="1539"/>
      <c r="Y42" s="395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951"/>
      <c r="Q43" s="1536">
        <f t="shared" si="14"/>
        <v>111</v>
      </c>
      <c r="R43" s="714" t="s">
        <v>17</v>
      </c>
      <c r="S43" s="715">
        <f t="shared" si="10"/>
        <v>100</v>
      </c>
      <c r="T43" s="714" t="s">
        <v>17</v>
      </c>
      <c r="U43" s="715">
        <f t="shared" si="11"/>
        <v>100</v>
      </c>
      <c r="V43" s="714" t="s">
        <v>17</v>
      </c>
      <c r="W43" s="715">
        <f t="shared" si="12"/>
        <v>100</v>
      </c>
      <c r="X43" s="1539"/>
      <c r="Y43" s="395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951"/>
      <c r="Q44" s="1536">
        <f t="shared" si="14"/>
        <v>111</v>
      </c>
      <c r="R44" s="714" t="s">
        <v>17</v>
      </c>
      <c r="S44" s="715">
        <f t="shared" si="10"/>
        <v>100</v>
      </c>
      <c r="T44" s="714" t="s">
        <v>17</v>
      </c>
      <c r="U44" s="715">
        <f t="shared" si="11"/>
        <v>100</v>
      </c>
      <c r="V44" s="714" t="s">
        <v>17</v>
      </c>
      <c r="W44" s="715">
        <f t="shared" si="12"/>
        <v>100</v>
      </c>
      <c r="X44" s="1539"/>
      <c r="Y44" s="395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951"/>
      <c r="Q45" s="1536">
        <f t="shared" si="14"/>
        <v>111</v>
      </c>
      <c r="R45" s="717" t="s">
        <v>17</v>
      </c>
      <c r="S45" s="718">
        <f t="shared" si="10"/>
        <v>100</v>
      </c>
      <c r="T45" s="717" t="s">
        <v>17</v>
      </c>
      <c r="U45" s="718">
        <f t="shared" si="11"/>
        <v>100</v>
      </c>
      <c r="V45" s="717" t="s">
        <v>17</v>
      </c>
      <c r="W45" s="718">
        <f t="shared" si="12"/>
        <v>100</v>
      </c>
      <c r="X45" s="719"/>
      <c r="Y45" s="395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944" t="str">
        <f>A46</f>
        <v>成交单价</v>
      </c>
      <c r="Q46" s="3944"/>
      <c r="R46" s="3939">
        <f>E46</f>
        <v>0</v>
      </c>
      <c r="S46" s="3939"/>
      <c r="T46" s="3939">
        <f>G46</f>
        <v>0</v>
      </c>
      <c r="U46" s="3939"/>
      <c r="V46" s="3939">
        <f>I46</f>
        <v>0</v>
      </c>
      <c r="W46" s="3939"/>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944" t="str">
        <f>A47</f>
        <v>比较价值（元/平方米）</v>
      </c>
      <c r="Q47" s="3944"/>
      <c r="R47" s="3972" t="e">
        <f>ROUND(PRODUCT(R46,AA7:AA45),0)</f>
        <v>#DIV/0!</v>
      </c>
      <c r="S47" s="3972"/>
      <c r="T47" s="3972" t="e">
        <f>ROUND(PRODUCT(T46,AB7:AB45),0)</f>
        <v>#DIV/0!</v>
      </c>
      <c r="U47" s="3972"/>
      <c r="V47" s="3972" t="e">
        <f>ROUND(PRODUCT(V46,AC7:AC45),0)</f>
        <v>#DIV/0!</v>
      </c>
      <c r="W47" s="397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941" t="str">
        <f>A48</f>
        <v>估价对象XX用房的比较价值（楼面单价，元/平方米）</v>
      </c>
      <c r="Q48" s="3942"/>
      <c r="R48" s="3973" t="e">
        <f>ROUND(IF(D47="简单平均",AVERAGE(R47:W47),R47*F47+T47*H47+V47*J47),0)</f>
        <v>#DIV/0!</v>
      </c>
      <c r="S48" s="3973"/>
      <c r="T48" s="3973"/>
      <c r="U48" s="3973"/>
      <c r="V48" s="3973"/>
      <c r="W48" s="397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927" t="s">
        <v>2585</v>
      </c>
      <c r="H55" s="3974"/>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313.63</v>
      </c>
      <c r="F56" s="1017" t="e">
        <f t="shared" ref="F56:F65" si="15">ROUND(B56*E56/10000,0)</f>
        <v>#DIV/0!</v>
      </c>
      <c r="G56" s="3926"/>
      <c r="H56" s="394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975"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97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97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97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313.63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27" t="s">
        <v>2467</v>
      </c>
      <c r="D4" s="3928"/>
      <c r="E4" s="3929" t="s">
        <v>2468</v>
      </c>
      <c r="F4" s="3930"/>
      <c r="G4" s="3927" t="s">
        <v>2469</v>
      </c>
      <c r="H4" s="3928"/>
      <c r="I4" s="3927" t="s">
        <v>2470</v>
      </c>
      <c r="J4" s="3928"/>
      <c r="K4" s="567" t="s">
        <v>2471</v>
      </c>
      <c r="L4" s="2944"/>
      <c r="M4" s="2945"/>
      <c r="N4" s="2945"/>
      <c r="O4" s="2945"/>
      <c r="P4" s="3931" t="s">
        <v>2472</v>
      </c>
      <c r="Q4" s="3932"/>
      <c r="R4" s="3914" t="s">
        <v>2468</v>
      </c>
      <c r="S4" s="3915"/>
      <c r="T4" s="3914" t="s">
        <v>2469</v>
      </c>
      <c r="U4" s="3915"/>
      <c r="V4" s="3939" t="s">
        <v>2470</v>
      </c>
      <c r="W4" s="3939"/>
      <c r="X4" s="1539"/>
      <c r="Y4" s="3914" t="s">
        <v>2472</v>
      </c>
      <c r="Z4" s="3915"/>
      <c r="AA4" s="3909" t="s">
        <v>2468</v>
      </c>
      <c r="AB4" s="3910" t="s">
        <v>2469</v>
      </c>
      <c r="AC4" s="3909" t="s">
        <v>2470</v>
      </c>
    </row>
    <row r="5" spans="1:29" ht="15">
      <c r="A5" s="364"/>
      <c r="B5" s="365"/>
      <c r="C5" s="3920" t="s">
        <v>2363</v>
      </c>
      <c r="D5" s="3921"/>
      <c r="E5" s="3918" t="s">
        <v>2364</v>
      </c>
      <c r="F5" s="3919"/>
      <c r="G5" s="3920" t="s">
        <v>2365</v>
      </c>
      <c r="H5" s="3921"/>
      <c r="I5" s="3920" t="s">
        <v>2366</v>
      </c>
      <c r="J5" s="3921"/>
      <c r="K5" s="567"/>
      <c r="L5" s="2944"/>
      <c r="M5" s="2945"/>
      <c r="N5" s="2945"/>
      <c r="O5" s="2945"/>
      <c r="P5" s="3933"/>
      <c r="Q5" s="3934"/>
      <c r="R5" s="3916"/>
      <c r="S5" s="3917"/>
      <c r="T5" s="3916"/>
      <c r="U5" s="3917"/>
      <c r="V5" s="3939"/>
      <c r="W5" s="3939"/>
      <c r="X5" s="1539"/>
      <c r="Y5" s="3916"/>
      <c r="Z5" s="3917"/>
      <c r="AA5" s="3910"/>
      <c r="AB5" s="3910"/>
      <c r="AC5" s="3910"/>
    </row>
    <row r="6" spans="1:29" ht="15.75" thickBot="1">
      <c r="A6" s="366"/>
      <c r="B6" s="367"/>
      <c r="C6" s="3976" t="s">
        <v>2618</v>
      </c>
      <c r="D6" s="3977"/>
      <c r="E6" s="3978" t="s">
        <v>2618</v>
      </c>
      <c r="F6" s="3979"/>
      <c r="G6" s="3976" t="s">
        <v>2618</v>
      </c>
      <c r="H6" s="3977"/>
      <c r="I6" s="3976" t="s">
        <v>2618</v>
      </c>
      <c r="J6" s="3977"/>
      <c r="K6" s="567" t="s">
        <v>2368</v>
      </c>
      <c r="L6" s="2944"/>
      <c r="M6" s="2945"/>
      <c r="N6" s="2945"/>
      <c r="O6" s="2945"/>
      <c r="P6" s="3935"/>
      <c r="Q6" s="3936"/>
      <c r="R6" s="3916"/>
      <c r="S6" s="3917"/>
      <c r="T6" s="3937"/>
      <c r="U6" s="3938"/>
      <c r="V6" s="3939"/>
      <c r="W6" s="3939"/>
      <c r="X6" s="1539"/>
      <c r="Y6" s="3937"/>
      <c r="Z6" s="3938"/>
      <c r="AA6" s="3911"/>
      <c r="AB6" s="3911"/>
      <c r="AC6" s="3911"/>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912" t="s">
        <v>2370</v>
      </c>
      <c r="Q7" s="3940"/>
      <c r="R7" s="710" t="s">
        <v>17</v>
      </c>
      <c r="S7" s="711">
        <f t="shared" ref="S7:S15" si="0">F7</f>
        <v>0</v>
      </c>
      <c r="T7" s="710" t="s">
        <v>17</v>
      </c>
      <c r="U7" s="711">
        <f t="shared" ref="U7:U15" si="1">H7</f>
        <v>0</v>
      </c>
      <c r="V7" s="710" t="s">
        <v>17</v>
      </c>
      <c r="W7" s="711">
        <f t="shared" ref="W7:W15" si="2">J7</f>
        <v>0</v>
      </c>
      <c r="X7" s="712"/>
      <c r="Y7" s="3912" t="s">
        <v>2370</v>
      </c>
      <c r="Z7" s="391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912" t="s">
        <v>2373</v>
      </c>
      <c r="Q8" s="3913"/>
      <c r="R8" s="710" t="s">
        <v>17</v>
      </c>
      <c r="S8" s="711">
        <f t="shared" si="0"/>
        <v>0</v>
      </c>
      <c r="T8" s="710" t="s">
        <v>17</v>
      </c>
      <c r="U8" s="711">
        <f t="shared" si="1"/>
        <v>0</v>
      </c>
      <c r="V8" s="710" t="s">
        <v>17</v>
      </c>
      <c r="W8" s="711">
        <f t="shared" si="2"/>
        <v>0</v>
      </c>
      <c r="X8" s="712"/>
      <c r="Y8" s="3912" t="s">
        <v>2373</v>
      </c>
      <c r="Z8" s="391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944" t="s">
        <v>2376</v>
      </c>
      <c r="Q9" s="1527" t="str">
        <f t="shared" ref="Q9:Q15" si="6">B9</f>
        <v>用途</v>
      </c>
      <c r="R9" s="710" t="s">
        <v>17</v>
      </c>
      <c r="S9" s="711">
        <f t="shared" si="0"/>
        <v>100</v>
      </c>
      <c r="T9" s="710" t="s">
        <v>17</v>
      </c>
      <c r="U9" s="711">
        <f t="shared" si="1"/>
        <v>100</v>
      </c>
      <c r="V9" s="710" t="s">
        <v>17</v>
      </c>
      <c r="W9" s="711">
        <f t="shared" si="2"/>
        <v>100</v>
      </c>
      <c r="X9" s="712"/>
      <c r="Y9" s="385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944"/>
      <c r="Q10" s="1527" t="str">
        <f t="shared" si="6"/>
        <v>土地使用年限（年）</v>
      </c>
      <c r="R10" s="710" t="s">
        <v>17</v>
      </c>
      <c r="S10" s="711">
        <f t="shared" si="0"/>
        <v>100</v>
      </c>
      <c r="T10" s="710" t="s">
        <v>17</v>
      </c>
      <c r="U10" s="711">
        <f t="shared" si="1"/>
        <v>100</v>
      </c>
      <c r="V10" s="710" t="s">
        <v>17</v>
      </c>
      <c r="W10" s="711">
        <f t="shared" si="2"/>
        <v>100</v>
      </c>
      <c r="X10" s="712"/>
      <c r="Y10" s="385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944"/>
      <c r="Q11" s="1527" t="str">
        <f t="shared" si="6"/>
        <v>容积率</v>
      </c>
      <c r="R11" s="710" t="s">
        <v>17</v>
      </c>
      <c r="S11" s="711" t="e">
        <f t="shared" si="0"/>
        <v>#N/A</v>
      </c>
      <c r="T11" s="710" t="s">
        <v>17</v>
      </c>
      <c r="U11" s="711" t="e">
        <f t="shared" si="1"/>
        <v>#N/A</v>
      </c>
      <c r="V11" s="710" t="s">
        <v>17</v>
      </c>
      <c r="W11" s="711" t="e">
        <f t="shared" si="2"/>
        <v>#N/A</v>
      </c>
      <c r="X11" s="712"/>
      <c r="Y11" s="385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944"/>
      <c r="Q12" s="1527">
        <f t="shared" si="6"/>
        <v>111</v>
      </c>
      <c r="R12" s="710" t="s">
        <v>17</v>
      </c>
      <c r="S12" s="711">
        <f t="shared" si="0"/>
        <v>100</v>
      </c>
      <c r="T12" s="710" t="s">
        <v>17</v>
      </c>
      <c r="U12" s="711">
        <f t="shared" si="1"/>
        <v>100</v>
      </c>
      <c r="V12" s="710" t="s">
        <v>17</v>
      </c>
      <c r="W12" s="711">
        <f t="shared" si="2"/>
        <v>100</v>
      </c>
      <c r="X12" s="712"/>
      <c r="Y12" s="385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944"/>
      <c r="Q13" s="1527">
        <f t="shared" si="6"/>
        <v>111</v>
      </c>
      <c r="R13" s="710" t="s">
        <v>17</v>
      </c>
      <c r="S13" s="711">
        <f t="shared" si="0"/>
        <v>100</v>
      </c>
      <c r="T13" s="710" t="s">
        <v>17</v>
      </c>
      <c r="U13" s="711">
        <f t="shared" si="1"/>
        <v>100</v>
      </c>
      <c r="V13" s="710" t="s">
        <v>17</v>
      </c>
      <c r="W13" s="711">
        <f t="shared" si="2"/>
        <v>100</v>
      </c>
      <c r="X13" s="712"/>
      <c r="Y13" s="385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944"/>
      <c r="Q14" s="1527">
        <f t="shared" si="6"/>
        <v>111</v>
      </c>
      <c r="R14" s="710" t="s">
        <v>17</v>
      </c>
      <c r="S14" s="711">
        <f t="shared" si="0"/>
        <v>100</v>
      </c>
      <c r="T14" s="710" t="s">
        <v>17</v>
      </c>
      <c r="U14" s="711">
        <f t="shared" si="1"/>
        <v>100</v>
      </c>
      <c r="V14" s="710" t="s">
        <v>17</v>
      </c>
      <c r="W14" s="711">
        <f t="shared" si="2"/>
        <v>100</v>
      </c>
      <c r="X14" s="712"/>
      <c r="Y14" s="385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946" t="s">
        <v>2381</v>
      </c>
      <c r="Q15" s="1536" t="str">
        <f t="shared" si="6"/>
        <v>产业集聚程度</v>
      </c>
      <c r="R15" s="714" t="s">
        <v>17</v>
      </c>
      <c r="S15" s="715">
        <f t="shared" si="0"/>
        <v>100</v>
      </c>
      <c r="T15" s="714" t="s">
        <v>17</v>
      </c>
      <c r="U15" s="715">
        <f t="shared" si="1"/>
        <v>100</v>
      </c>
      <c r="V15" s="714" t="s">
        <v>17</v>
      </c>
      <c r="W15" s="715">
        <f t="shared" si="2"/>
        <v>100</v>
      </c>
      <c r="X15" s="1539"/>
      <c r="Y15" s="394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947"/>
      <c r="Q16" s="1536"/>
      <c r="R16" s="714"/>
      <c r="S16" s="715"/>
      <c r="T16" s="714"/>
      <c r="U16" s="715"/>
      <c r="V16" s="714"/>
      <c r="W16" s="715"/>
      <c r="X16" s="1539"/>
      <c r="Y16" s="394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947"/>
      <c r="Q17" s="1536" t="str">
        <f>B17</f>
        <v>交通便捷度</v>
      </c>
      <c r="R17" s="714" t="s">
        <v>17</v>
      </c>
      <c r="S17" s="715">
        <f>F17</f>
        <v>100</v>
      </c>
      <c r="T17" s="714" t="s">
        <v>17</v>
      </c>
      <c r="U17" s="715">
        <f>H17</f>
        <v>100</v>
      </c>
      <c r="V17" s="714" t="s">
        <v>17</v>
      </c>
      <c r="W17" s="715">
        <f>J17</f>
        <v>100</v>
      </c>
      <c r="X17" s="1539"/>
      <c r="Y17" s="394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947"/>
      <c r="Q18" s="1536"/>
      <c r="R18" s="714"/>
      <c r="S18" s="715"/>
      <c r="T18" s="714"/>
      <c r="U18" s="715"/>
      <c r="V18" s="714"/>
      <c r="W18" s="715"/>
      <c r="X18" s="1539"/>
      <c r="Y18" s="394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947"/>
      <c r="Q19" s="1536" t="str">
        <f t="shared" ref="Q19:Q33" si="8">B19</f>
        <v>区域土地利用方向</v>
      </c>
      <c r="R19" s="714" t="s">
        <v>17</v>
      </c>
      <c r="S19" s="715">
        <f>F19</f>
        <v>100</v>
      </c>
      <c r="T19" s="714" t="s">
        <v>17</v>
      </c>
      <c r="U19" s="715">
        <f>H19</f>
        <v>100</v>
      </c>
      <c r="V19" s="714" t="s">
        <v>17</v>
      </c>
      <c r="W19" s="715">
        <f>J19</f>
        <v>100</v>
      </c>
      <c r="X19" s="1539"/>
      <c r="Y19" s="394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947"/>
      <c r="Q20" s="1536"/>
      <c r="R20" s="714"/>
      <c r="S20" s="715"/>
      <c r="T20" s="714"/>
      <c r="U20" s="715"/>
      <c r="V20" s="714"/>
      <c r="W20" s="715"/>
      <c r="X20" s="1539"/>
      <c r="Y20" s="394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947"/>
      <c r="Q21" s="1536" t="str">
        <f t="shared" si="8"/>
        <v>环境状况</v>
      </c>
      <c r="R21" s="714" t="s">
        <v>17</v>
      </c>
      <c r="S21" s="715">
        <f>F21</f>
        <v>100</v>
      </c>
      <c r="T21" s="714" t="s">
        <v>17</v>
      </c>
      <c r="U21" s="715">
        <f>H21</f>
        <v>100</v>
      </c>
      <c r="V21" s="714" t="s">
        <v>17</v>
      </c>
      <c r="W21" s="715">
        <f>J21</f>
        <v>100</v>
      </c>
      <c r="X21" s="1539"/>
      <c r="Y21" s="394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947"/>
      <c r="Q22" s="1536"/>
      <c r="R22" s="714"/>
      <c r="S22" s="715"/>
      <c r="T22" s="714"/>
      <c r="U22" s="715"/>
      <c r="V22" s="714"/>
      <c r="W22" s="715"/>
      <c r="X22" s="1539"/>
      <c r="Y22" s="394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947"/>
      <c r="Q23" s="1527" t="str">
        <f t="shared" si="8"/>
        <v>公共配套设施</v>
      </c>
      <c r="R23" s="710" t="s">
        <v>17</v>
      </c>
      <c r="S23" s="711">
        <f>F23</f>
        <v>100</v>
      </c>
      <c r="T23" s="710" t="s">
        <v>17</v>
      </c>
      <c r="U23" s="711">
        <f>H23</f>
        <v>100</v>
      </c>
      <c r="V23" s="710" t="s">
        <v>17</v>
      </c>
      <c r="W23" s="711">
        <f>J23</f>
        <v>100</v>
      </c>
      <c r="X23" s="712"/>
      <c r="Y23" s="394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947"/>
      <c r="Q24" s="1527"/>
      <c r="R24" s="710"/>
      <c r="S24" s="711"/>
      <c r="T24" s="710"/>
      <c r="U24" s="711"/>
      <c r="V24" s="710"/>
      <c r="W24" s="711"/>
      <c r="X24" s="712"/>
      <c r="Y24" s="394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947"/>
      <c r="Q25" s="1527" t="str">
        <f t="shared" ref="Q25" si="9">B25</f>
        <v>基础设施水平</v>
      </c>
      <c r="R25" s="710" t="s">
        <v>17</v>
      </c>
      <c r="S25" s="711">
        <f>F25</f>
        <v>100</v>
      </c>
      <c r="T25" s="710" t="s">
        <v>17</v>
      </c>
      <c r="U25" s="711">
        <f>H25</f>
        <v>100</v>
      </c>
      <c r="V25" s="710" t="s">
        <v>17</v>
      </c>
      <c r="W25" s="711">
        <f>J25</f>
        <v>100</v>
      </c>
      <c r="X25" s="712"/>
      <c r="Y25" s="394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947"/>
      <c r="Q26" s="1527"/>
      <c r="R26" s="710"/>
      <c r="S26" s="711"/>
      <c r="T26" s="710"/>
      <c r="U26" s="711"/>
      <c r="V26" s="710"/>
      <c r="W26" s="711"/>
      <c r="X26" s="712"/>
      <c r="Y26" s="394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94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94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947"/>
      <c r="Q28" s="1536" t="str">
        <f t="shared" si="8"/>
        <v>毗邻道路的类型与等级</v>
      </c>
      <c r="R28" s="714" t="s">
        <v>17</v>
      </c>
      <c r="S28" s="715">
        <f t="shared" si="10"/>
        <v>100</v>
      </c>
      <c r="T28" s="714" t="s">
        <v>17</v>
      </c>
      <c r="U28" s="715">
        <f t="shared" si="11"/>
        <v>100</v>
      </c>
      <c r="V28" s="714" t="s">
        <v>17</v>
      </c>
      <c r="W28" s="715">
        <f t="shared" si="12"/>
        <v>100</v>
      </c>
      <c r="X28" s="1539"/>
      <c r="Y28" s="394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947"/>
      <c r="Q29" s="1536"/>
      <c r="R29" s="714"/>
      <c r="S29" s="715"/>
      <c r="T29" s="714"/>
      <c r="U29" s="715"/>
      <c r="V29" s="714"/>
      <c r="W29" s="715"/>
      <c r="X29" s="1539"/>
      <c r="Y29" s="394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947"/>
      <c r="Q30" s="1536" t="str">
        <f t="shared" si="8"/>
        <v>土地级别</v>
      </c>
      <c r="R30" s="714" t="s">
        <v>17</v>
      </c>
      <c r="S30" s="715">
        <f t="shared" si="10"/>
        <v>100</v>
      </c>
      <c r="T30" s="714" t="s">
        <v>17</v>
      </c>
      <c r="U30" s="715">
        <f t="shared" si="11"/>
        <v>100</v>
      </c>
      <c r="V30" s="714" t="s">
        <v>17</v>
      </c>
      <c r="W30" s="715">
        <f t="shared" si="12"/>
        <v>100</v>
      </c>
      <c r="X30" s="1539"/>
      <c r="Y30" s="394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947"/>
      <c r="Q31" s="1536">
        <f t="shared" si="8"/>
        <v>111</v>
      </c>
      <c r="R31" s="714" t="s">
        <v>17</v>
      </c>
      <c r="S31" s="715">
        <f t="shared" si="10"/>
        <v>100</v>
      </c>
      <c r="T31" s="714" t="s">
        <v>17</v>
      </c>
      <c r="U31" s="715">
        <f t="shared" si="11"/>
        <v>100</v>
      </c>
      <c r="V31" s="714" t="s">
        <v>17</v>
      </c>
      <c r="W31" s="715">
        <f t="shared" si="12"/>
        <v>100</v>
      </c>
      <c r="X31" s="1539"/>
      <c r="Y31" s="394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970" t="s">
        <v>2386</v>
      </c>
      <c r="Q32" s="1536">
        <f t="shared" si="8"/>
        <v>111</v>
      </c>
      <c r="R32" s="714" t="s">
        <v>17</v>
      </c>
      <c r="S32" s="715">
        <f t="shared" si="10"/>
        <v>100</v>
      </c>
      <c r="T32" s="714" t="s">
        <v>17</v>
      </c>
      <c r="U32" s="715">
        <f t="shared" si="11"/>
        <v>100</v>
      </c>
      <c r="V32" s="714" t="s">
        <v>17</v>
      </c>
      <c r="W32" s="715">
        <f t="shared" si="12"/>
        <v>100</v>
      </c>
      <c r="X32" s="1539"/>
      <c r="Y32" s="395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951"/>
      <c r="Q33" s="1536">
        <f t="shared" si="8"/>
        <v>111</v>
      </c>
      <c r="R33" s="717" t="s">
        <v>17</v>
      </c>
      <c r="S33" s="718">
        <f t="shared" si="10"/>
        <v>100</v>
      </c>
      <c r="T33" s="717" t="s">
        <v>17</v>
      </c>
      <c r="U33" s="718">
        <f t="shared" si="11"/>
        <v>100</v>
      </c>
      <c r="V33" s="717" t="s">
        <v>17</v>
      </c>
      <c r="W33" s="718">
        <f t="shared" si="12"/>
        <v>100</v>
      </c>
      <c r="X33" s="719"/>
      <c r="Y33" s="395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951"/>
      <c r="Q34" s="1536" t="str">
        <f>B34</f>
        <v>宗地面积</v>
      </c>
      <c r="R34" s="714" t="s">
        <v>17</v>
      </c>
      <c r="S34" s="715" t="e">
        <f t="shared" si="10"/>
        <v>#N/A</v>
      </c>
      <c r="T34" s="714" t="s">
        <v>17</v>
      </c>
      <c r="U34" s="715" t="e">
        <f t="shared" si="11"/>
        <v>#N/A</v>
      </c>
      <c r="V34" s="714" t="s">
        <v>17</v>
      </c>
      <c r="W34" s="715" t="e">
        <f t="shared" si="12"/>
        <v>#N/A</v>
      </c>
      <c r="X34" s="1539"/>
      <c r="Y34" s="395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951"/>
      <c r="Q35" s="1536" t="str">
        <f t="shared" ref="Q35:Q40" si="14">B35</f>
        <v>宗地形状</v>
      </c>
      <c r="R35" s="714" t="s">
        <v>17</v>
      </c>
      <c r="S35" s="715">
        <f t="shared" si="10"/>
        <v>100</v>
      </c>
      <c r="T35" s="714" t="s">
        <v>17</v>
      </c>
      <c r="U35" s="715">
        <f t="shared" si="11"/>
        <v>100</v>
      </c>
      <c r="V35" s="714" t="s">
        <v>17</v>
      </c>
      <c r="W35" s="715">
        <f t="shared" si="12"/>
        <v>100</v>
      </c>
      <c r="X35" s="1539"/>
      <c r="Y35" s="395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951"/>
      <c r="Q36" s="1536" t="str">
        <f t="shared" si="14"/>
        <v>宗地开发程度</v>
      </c>
      <c r="R36" s="710" t="s">
        <v>17</v>
      </c>
      <c r="S36" s="711">
        <f t="shared" si="10"/>
        <v>100</v>
      </c>
      <c r="T36" s="710" t="s">
        <v>17</v>
      </c>
      <c r="U36" s="711">
        <f t="shared" si="11"/>
        <v>100</v>
      </c>
      <c r="V36" s="710" t="s">
        <v>17</v>
      </c>
      <c r="W36" s="711">
        <f t="shared" si="12"/>
        <v>100</v>
      </c>
      <c r="X36" s="712"/>
      <c r="Y36" s="395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951" t="s">
        <v>2386</v>
      </c>
      <c r="Q37" s="1536" t="str">
        <f t="shared" si="14"/>
        <v>工程地质条件</v>
      </c>
      <c r="R37" s="714" t="s">
        <v>17</v>
      </c>
      <c r="S37" s="715">
        <f t="shared" si="10"/>
        <v>100</v>
      </c>
      <c r="T37" s="714" t="s">
        <v>17</v>
      </c>
      <c r="U37" s="715">
        <f t="shared" si="11"/>
        <v>100</v>
      </c>
      <c r="V37" s="714" t="s">
        <v>17</v>
      </c>
      <c r="W37" s="715">
        <f t="shared" si="12"/>
        <v>100</v>
      </c>
      <c r="X37" s="1539"/>
      <c r="Y37" s="395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951"/>
      <c r="Q38" s="1536">
        <f t="shared" si="14"/>
        <v>111</v>
      </c>
      <c r="R38" s="714" t="s">
        <v>17</v>
      </c>
      <c r="S38" s="715">
        <f t="shared" si="10"/>
        <v>100</v>
      </c>
      <c r="T38" s="714" t="s">
        <v>17</v>
      </c>
      <c r="U38" s="715">
        <f t="shared" si="11"/>
        <v>100</v>
      </c>
      <c r="V38" s="714" t="s">
        <v>17</v>
      </c>
      <c r="W38" s="715">
        <f t="shared" si="12"/>
        <v>100</v>
      </c>
      <c r="X38" s="1539"/>
      <c r="Y38" s="395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951"/>
      <c r="Q39" s="1536">
        <f t="shared" si="14"/>
        <v>111</v>
      </c>
      <c r="R39" s="714" t="s">
        <v>17</v>
      </c>
      <c r="S39" s="715">
        <f t="shared" si="10"/>
        <v>100</v>
      </c>
      <c r="T39" s="714" t="s">
        <v>17</v>
      </c>
      <c r="U39" s="715">
        <f t="shared" si="11"/>
        <v>100</v>
      </c>
      <c r="V39" s="714" t="s">
        <v>17</v>
      </c>
      <c r="W39" s="715">
        <f t="shared" si="12"/>
        <v>100</v>
      </c>
      <c r="X39" s="1539"/>
      <c r="Y39" s="395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951"/>
      <c r="Q40" s="1536">
        <f t="shared" si="14"/>
        <v>111</v>
      </c>
      <c r="R40" s="717" t="s">
        <v>17</v>
      </c>
      <c r="S40" s="718">
        <f t="shared" si="10"/>
        <v>100</v>
      </c>
      <c r="T40" s="717" t="s">
        <v>17</v>
      </c>
      <c r="U40" s="718">
        <f t="shared" si="11"/>
        <v>100</v>
      </c>
      <c r="V40" s="717" t="s">
        <v>17</v>
      </c>
      <c r="W40" s="718">
        <f t="shared" si="12"/>
        <v>100</v>
      </c>
      <c r="X40" s="719"/>
      <c r="Y40" s="395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944" t="str">
        <f>A41</f>
        <v>成交单价</v>
      </c>
      <c r="Q41" s="3944"/>
      <c r="R41" s="3939">
        <f>E41</f>
        <v>0</v>
      </c>
      <c r="S41" s="3939"/>
      <c r="T41" s="3939">
        <f>G41</f>
        <v>0</v>
      </c>
      <c r="U41" s="3939"/>
      <c r="V41" s="3939">
        <f>I41</f>
        <v>0</v>
      </c>
      <c r="W41" s="3939"/>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944" t="str">
        <f>A42</f>
        <v>比较价值（元/平方米）</v>
      </c>
      <c r="Q42" s="3944"/>
      <c r="R42" s="3972" t="e">
        <f>ROUND(PRODUCT(R41,AA7:AA40),0)</f>
        <v>#DIV/0!</v>
      </c>
      <c r="S42" s="3972"/>
      <c r="T42" s="3972" t="e">
        <f>ROUND(PRODUCT(T41,AB7:AB40),0)</f>
        <v>#DIV/0!</v>
      </c>
      <c r="U42" s="3972"/>
      <c r="V42" s="3972" t="e">
        <f>ROUND(PRODUCT(V41,AC7:AC40),0)</f>
        <v>#DIV/0!</v>
      </c>
      <c r="W42" s="397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941" t="str">
        <f>A43</f>
        <v>估价对象XX用房的比较价值（楼面单价，元/平方米）</v>
      </c>
      <c r="Q43" s="3942"/>
      <c r="R43" s="3973" t="e">
        <f>ROUND(IF(D42="简单平均",AVERAGE(R42:W42),R42*F42+T42*H42+V42*J42),0)</f>
        <v>#DIV/0!</v>
      </c>
      <c r="S43" s="3973"/>
      <c r="T43" s="3973"/>
      <c r="U43" s="3973"/>
      <c r="V43" s="3973"/>
      <c r="W43" s="397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927" t="s">
        <v>2585</v>
      </c>
      <c r="H50" s="3974"/>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313.63</v>
      </c>
      <c r="F51" s="647" t="e">
        <f t="shared" ref="F51:F60" si="15">ROUND(B51*E51/10000,0)</f>
        <v>#DIV/0!</v>
      </c>
      <c r="G51" s="3926"/>
      <c r="H51" s="394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975"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97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97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97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0.22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999"/>
      <c r="B4" s="4000"/>
      <c r="C4" s="4000"/>
      <c r="D4" s="4001"/>
      <c r="E4" s="4001"/>
      <c r="F4" s="4001"/>
      <c r="G4" s="4001"/>
      <c r="H4" s="4001"/>
      <c r="I4" s="4001"/>
      <c r="J4" s="4002"/>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980"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0.22</v>
      </c>
      <c r="AA7" s="1378"/>
      <c r="AB7" s="1378"/>
      <c r="AC7" s="1379"/>
      <c r="AD7" s="1380"/>
      <c r="AE7" s="1380"/>
      <c r="AF7" s="1380"/>
      <c r="AG7" s="1380"/>
      <c r="AH7" s="1380"/>
      <c r="AI7" s="1380"/>
      <c r="AJ7" s="1381"/>
    </row>
    <row r="8" spans="1:36" ht="15">
      <c r="A8" s="4003"/>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996" t="s">
        <v>2661</v>
      </c>
      <c r="X8" s="399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4003"/>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998"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4003"/>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99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4003"/>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998" t="s">
        <v>2685</v>
      </c>
      <c r="X11" s="1386" t="s">
        <v>2686</v>
      </c>
      <c r="Y11" s="1387">
        <f>$G$3</f>
        <v>0.22</v>
      </c>
      <c r="Z11" s="1387">
        <f t="shared" ref="Z11:AJ11" si="3">$G$3</f>
        <v>0.22</v>
      </c>
      <c r="AA11" s="1387">
        <f t="shared" si="3"/>
        <v>0.22</v>
      </c>
      <c r="AB11" s="1387">
        <f t="shared" si="3"/>
        <v>0.22</v>
      </c>
      <c r="AC11" s="1387">
        <f t="shared" si="3"/>
        <v>0.22</v>
      </c>
      <c r="AD11" s="1387">
        <f t="shared" si="3"/>
        <v>0.22</v>
      </c>
      <c r="AE11" s="1387">
        <f t="shared" si="3"/>
        <v>0.22</v>
      </c>
      <c r="AF11" s="1387">
        <f t="shared" si="3"/>
        <v>0.22</v>
      </c>
      <c r="AG11" s="1387">
        <f t="shared" si="3"/>
        <v>0.22</v>
      </c>
      <c r="AH11" s="1387">
        <f t="shared" si="3"/>
        <v>0.22</v>
      </c>
      <c r="AI11" s="1387">
        <f t="shared" si="3"/>
        <v>0.22</v>
      </c>
      <c r="AJ11" s="1387">
        <f t="shared" si="3"/>
        <v>0.22</v>
      </c>
    </row>
    <row r="12" spans="1:36" ht="25.5" thickBot="1">
      <c r="A12" s="3980"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99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4004"/>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998"/>
      <c r="X13" s="1388"/>
      <c r="Y13" s="1385">
        <f>(-0.163*(Y12^2)-0.59*Y12+7617)*(10^(-4))/Y11</f>
        <v>3.4622727272727274</v>
      </c>
      <c r="Z13" s="1385">
        <f t="shared" ref="Z13:AJ13" si="5">(-0.163*(Z12^2)-0.59*Z12+7617)*(10^(-4))/Z11</f>
        <v>3.4622727272727274</v>
      </c>
      <c r="AA13" s="1385">
        <f t="shared" si="5"/>
        <v>3.4622727272727274</v>
      </c>
      <c r="AB13" s="1385">
        <f t="shared" si="5"/>
        <v>3.4622727272727274</v>
      </c>
      <c r="AC13" s="1385">
        <f t="shared" si="5"/>
        <v>3.4622727272727274</v>
      </c>
      <c r="AD13" s="1385">
        <f t="shared" si="5"/>
        <v>3.4622727272727274</v>
      </c>
      <c r="AE13" s="1385">
        <f t="shared" si="5"/>
        <v>3.4622727272727274</v>
      </c>
      <c r="AF13" s="1385">
        <f t="shared" si="5"/>
        <v>3.4622727272727274</v>
      </c>
      <c r="AG13" s="1385">
        <f t="shared" si="5"/>
        <v>3.4622727272727274</v>
      </c>
      <c r="AH13" s="1385">
        <f t="shared" si="5"/>
        <v>3.4622727272727274</v>
      </c>
      <c r="AI13" s="1385">
        <f t="shared" si="5"/>
        <v>3.4622727272727274</v>
      </c>
      <c r="AJ13" s="1385">
        <f t="shared" si="5"/>
        <v>3.4622727272727274</v>
      </c>
    </row>
    <row r="14" spans="1:36" ht="15">
      <c r="A14" s="4004"/>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4005"/>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980" t="s">
        <v>2704</v>
      </c>
      <c r="B16" s="2209" t="s">
        <v>2705</v>
      </c>
      <c r="C16" s="2371" t="e">
        <f>ROUND(IF(F17="与级别开发程度一致",0,(G17-E17)/C17),0)</f>
        <v>#DIV/0!</v>
      </c>
      <c r="D16" s="3993" t="s">
        <v>2709</v>
      </c>
      <c r="E16" s="3994"/>
      <c r="F16" s="3993" t="s">
        <v>2706</v>
      </c>
      <c r="G16" s="399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981"/>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990"/>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995"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991"/>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9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991"/>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9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992"/>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99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982" t="s">
        <v>2792</v>
      </c>
      <c r="B90" s="3982"/>
      <c r="C90" s="3982"/>
      <c r="D90" s="3982"/>
      <c r="E90" s="3982"/>
      <c r="F90" s="3982"/>
      <c r="G90" s="3982"/>
      <c r="H90" s="3982"/>
      <c r="I90" s="3982"/>
      <c r="J90" s="3982"/>
      <c r="K90" s="2343"/>
      <c r="L90" s="2343"/>
      <c r="M90" s="2343"/>
      <c r="N90" s="2343"/>
    </row>
    <row r="91" spans="1:37">
      <c r="A91" s="3984" t="s">
        <v>2793</v>
      </c>
      <c r="B91" s="3984" t="s">
        <v>2794</v>
      </c>
      <c r="C91" s="2297" t="s">
        <v>2795</v>
      </c>
      <c r="D91" s="2298"/>
      <c r="E91" s="2298"/>
      <c r="F91" s="2298"/>
      <c r="G91" s="2298"/>
      <c r="H91" s="2298"/>
      <c r="I91" s="2298"/>
      <c r="J91" s="2344"/>
      <c r="K91" s="2345"/>
      <c r="L91" s="2345"/>
      <c r="M91" s="2345"/>
      <c r="N91" s="2345"/>
    </row>
    <row r="92" spans="1:37">
      <c r="A92" s="3984"/>
      <c r="B92" s="398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985"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98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98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98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98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98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986"/>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98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985" t="s">
        <v>2797</v>
      </c>
      <c r="B101" s="2350" t="s">
        <v>2798</v>
      </c>
      <c r="C101" s="2351">
        <f>$G$3</f>
        <v>0.22</v>
      </c>
      <c r="D101" s="2351">
        <f t="shared" ref="D101:N101" si="31">$G$3</f>
        <v>0.22</v>
      </c>
      <c r="E101" s="2351">
        <f t="shared" si="31"/>
        <v>0.22</v>
      </c>
      <c r="F101" s="2351">
        <f t="shared" si="31"/>
        <v>0.22</v>
      </c>
      <c r="G101" s="2351">
        <f t="shared" si="31"/>
        <v>0.22</v>
      </c>
      <c r="H101" s="2351">
        <f t="shared" si="31"/>
        <v>0.22</v>
      </c>
      <c r="I101" s="2351">
        <f t="shared" si="31"/>
        <v>0.22</v>
      </c>
      <c r="J101" s="2351">
        <f t="shared" si="31"/>
        <v>0.22</v>
      </c>
      <c r="K101" s="2351">
        <f t="shared" si="31"/>
        <v>0.22</v>
      </c>
      <c r="L101" s="2351">
        <f t="shared" si="31"/>
        <v>0.22</v>
      </c>
      <c r="M101" s="2351">
        <f t="shared" si="31"/>
        <v>0.22</v>
      </c>
      <c r="N101" s="2351">
        <f t="shared" si="31"/>
        <v>0.22</v>
      </c>
    </row>
    <row r="102" spans="1:14">
      <c r="A102" s="3986"/>
      <c r="B102" s="2346">
        <v>1</v>
      </c>
      <c r="C102" s="2347">
        <f>1.9362/C101</f>
        <v>8.8009090909090908</v>
      </c>
      <c r="D102" s="2347">
        <f>1.9362/D101</f>
        <v>8.8009090909090908</v>
      </c>
      <c r="E102" s="2347">
        <f>1.8629/E101</f>
        <v>8.4677272727272719</v>
      </c>
      <c r="F102" s="2347">
        <f>1.8629/F101</f>
        <v>8.4677272727272719</v>
      </c>
      <c r="G102" s="2347">
        <f>1.8629/G101</f>
        <v>8.4677272727272719</v>
      </c>
      <c r="H102" s="2347">
        <f>1.8629/H101</f>
        <v>8.4677272727272719</v>
      </c>
      <c r="I102" s="2347">
        <f>1.8629/I101</f>
        <v>8.4677272727272719</v>
      </c>
      <c r="J102" s="2347">
        <f>1.942/J101</f>
        <v>8.8272727272727263</v>
      </c>
      <c r="K102" s="2347">
        <f>1.942/K101</f>
        <v>8.8272727272727263</v>
      </c>
      <c r="L102" s="2347">
        <f>1.942/L101</f>
        <v>8.8272727272727263</v>
      </c>
      <c r="M102" s="2347">
        <f>1.942/M101</f>
        <v>8.8272727272727263</v>
      </c>
      <c r="N102" s="2347">
        <f>1.942/N101</f>
        <v>8.8272727272727263</v>
      </c>
    </row>
    <row r="103" spans="1:14">
      <c r="A103" s="3986"/>
      <c r="B103" s="2346">
        <v>2</v>
      </c>
      <c r="C103" s="2347">
        <f>1.4198/C101</f>
        <v>6.4536363636363632</v>
      </c>
      <c r="D103" s="2347">
        <f>1.4198/D101</f>
        <v>6.4536363636363632</v>
      </c>
      <c r="E103" s="2347">
        <f>1.3372/E101</f>
        <v>6.0781818181818181</v>
      </c>
      <c r="F103" s="2347">
        <f>1.3372/F101</f>
        <v>6.0781818181818181</v>
      </c>
      <c r="G103" s="2347">
        <f>1.3372/G101</f>
        <v>6.0781818181818181</v>
      </c>
      <c r="H103" s="2347">
        <f>1.3372/H101</f>
        <v>6.0781818181818181</v>
      </c>
      <c r="I103" s="2347">
        <f>1.3372/I101</f>
        <v>6.0781818181818181</v>
      </c>
      <c r="J103" s="2347">
        <f>1.2799/J101</f>
        <v>5.8177272727272733</v>
      </c>
      <c r="K103" s="2347">
        <f>1.2799/K101</f>
        <v>5.8177272727272733</v>
      </c>
      <c r="L103" s="2347">
        <f>1.2799/L101</f>
        <v>5.8177272727272733</v>
      </c>
      <c r="M103" s="2347">
        <f>1.2799/M101</f>
        <v>5.8177272727272733</v>
      </c>
      <c r="N103" s="2347">
        <f>1.2799/N101</f>
        <v>5.8177272727272733</v>
      </c>
    </row>
    <row r="104" spans="1:14">
      <c r="A104" s="3986"/>
      <c r="B104" s="2346">
        <v>3</v>
      </c>
      <c r="C104" s="2347">
        <f>1.1594/C101</f>
        <v>5.27</v>
      </c>
      <c r="D104" s="2347">
        <f>1.1594/D101</f>
        <v>5.27</v>
      </c>
      <c r="E104" s="2347">
        <f>1.0788/E101</f>
        <v>4.9036363636363633</v>
      </c>
      <c r="F104" s="2347">
        <f>1.0788/F101</f>
        <v>4.9036363636363633</v>
      </c>
      <c r="G104" s="2347">
        <f>1.0788/G101</f>
        <v>4.9036363636363633</v>
      </c>
      <c r="H104" s="2347">
        <f>1.0788/H101</f>
        <v>4.9036363636363633</v>
      </c>
      <c r="I104" s="2347">
        <f>1.0788/I101</f>
        <v>4.9036363636363633</v>
      </c>
      <c r="J104" s="2347">
        <f>1.0072/J101</f>
        <v>4.578181818181819</v>
      </c>
      <c r="K104" s="2347">
        <f>1.0072/K101</f>
        <v>4.578181818181819</v>
      </c>
      <c r="L104" s="2347">
        <f>1.0072/L101</f>
        <v>4.578181818181819</v>
      </c>
      <c r="M104" s="2347">
        <f>1.0072/M101</f>
        <v>4.578181818181819</v>
      </c>
      <c r="N104" s="2347">
        <f>1.0072/N101</f>
        <v>4.578181818181819</v>
      </c>
    </row>
    <row r="105" spans="1:14">
      <c r="A105" s="3986"/>
      <c r="B105" s="2346">
        <v>4</v>
      </c>
      <c r="C105" s="2347">
        <f>0.9622/C101</f>
        <v>4.373636363636364</v>
      </c>
      <c r="D105" s="2347">
        <f>0.9622/D101</f>
        <v>4.373636363636364</v>
      </c>
      <c r="E105" s="2347">
        <f>0.8656/E101</f>
        <v>3.9345454545454546</v>
      </c>
      <c r="F105" s="2347">
        <f>0.8656/F101</f>
        <v>3.9345454545454546</v>
      </c>
      <c r="G105" s="2347">
        <f>0.8656/G101</f>
        <v>3.9345454545454546</v>
      </c>
      <c r="H105" s="2347">
        <f>0.8656/H101</f>
        <v>3.9345454545454546</v>
      </c>
      <c r="I105" s="2347">
        <f>0.8656/I101</f>
        <v>3.9345454545454546</v>
      </c>
      <c r="J105" s="2347">
        <f>0.7525/J101</f>
        <v>3.4204545454545454</v>
      </c>
      <c r="K105" s="2347">
        <f>0.7525/K101</f>
        <v>3.4204545454545454</v>
      </c>
      <c r="L105" s="2347">
        <f>0.7525/L101</f>
        <v>3.4204545454545454</v>
      </c>
      <c r="M105" s="2347">
        <f>0.7525/M101</f>
        <v>3.4204545454545454</v>
      </c>
      <c r="N105" s="2347">
        <f>0.7525/N101</f>
        <v>3.4204545454545454</v>
      </c>
    </row>
    <row r="106" spans="1:14">
      <c r="A106" s="3986"/>
      <c r="B106" s="2346">
        <v>5</v>
      </c>
      <c r="C106" s="2347">
        <f>0.8417/C101</f>
        <v>3.8259090909090907</v>
      </c>
      <c r="D106" s="2347">
        <f>0.8417/D101</f>
        <v>3.8259090909090907</v>
      </c>
      <c r="E106" s="2347">
        <f>0.7371/E101</f>
        <v>3.3504545454545451</v>
      </c>
      <c r="F106" s="2347">
        <f>0.7371/F101</f>
        <v>3.3504545454545451</v>
      </c>
      <c r="G106" s="2347">
        <f>0.7371/G101</f>
        <v>3.3504545454545451</v>
      </c>
      <c r="H106" s="2347">
        <f>0.7371/H101</f>
        <v>3.3504545454545451</v>
      </c>
      <c r="I106" s="2347">
        <f>0.7371/I101</f>
        <v>3.3504545454545451</v>
      </c>
      <c r="J106" s="2347">
        <f>0.5659/J101</f>
        <v>2.5722727272727273</v>
      </c>
      <c r="K106" s="2347">
        <f>0.5659/K101</f>
        <v>2.5722727272727273</v>
      </c>
      <c r="L106" s="2347">
        <f>0.5659/L101</f>
        <v>2.5722727272727273</v>
      </c>
      <c r="M106" s="2347">
        <f>0.5659/M101</f>
        <v>2.5722727272727273</v>
      </c>
      <c r="N106" s="2347">
        <f>0.5659/N101</f>
        <v>2.5722727272727273</v>
      </c>
    </row>
    <row r="107" spans="1:14">
      <c r="A107" s="3986"/>
      <c r="B107" s="2346">
        <v>6</v>
      </c>
      <c r="C107" s="2347">
        <f>0.7608/C101</f>
        <v>3.4581818181818185</v>
      </c>
      <c r="D107" s="2347">
        <f>0.7608/D101</f>
        <v>3.4581818181818185</v>
      </c>
      <c r="E107" s="2347">
        <f>0.6482/E101</f>
        <v>2.9463636363636363</v>
      </c>
      <c r="F107" s="2347">
        <f>0.6482/F101</f>
        <v>2.9463636363636363</v>
      </c>
      <c r="G107" s="2347">
        <f>0.6482/G101</f>
        <v>2.9463636363636363</v>
      </c>
      <c r="H107" s="2347">
        <f>0.6482/H101</f>
        <v>2.9463636363636363</v>
      </c>
      <c r="I107" s="2347">
        <f>0.6482/I101</f>
        <v>2.9463636363636363</v>
      </c>
      <c r="J107" s="2347">
        <f>0.4525/J101</f>
        <v>2.0568181818181817</v>
      </c>
      <c r="K107" s="2347">
        <f>0.4525/K101</f>
        <v>2.0568181818181817</v>
      </c>
      <c r="L107" s="2347">
        <f>0.4525/L101</f>
        <v>2.0568181818181817</v>
      </c>
      <c r="M107" s="2347">
        <f>0.4525/M101</f>
        <v>2.0568181818181817</v>
      </c>
      <c r="N107" s="2347">
        <f>0.4525/N101</f>
        <v>2.0568181818181817</v>
      </c>
    </row>
    <row r="108" spans="1:14">
      <c r="A108" s="3986"/>
      <c r="B108" s="3988"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987"/>
      <c r="B109" s="3989"/>
      <c r="C109" s="2349">
        <f>(-0.163*(C108^2)-0.59*C108+7617)*(10^(-4))/C101</f>
        <v>3.4622727272727274</v>
      </c>
      <c r="D109" s="2349">
        <f>(-0.163*(D108^2)-0.59*D108+7617)*(10^(-4))/D101</f>
        <v>3.4622727272727274</v>
      </c>
      <c r="E109" s="2349">
        <f>(-0.161*(E108^2)-7.509*E108+6533)*(10^(-4))/E101</f>
        <v>2.9695454545454547</v>
      </c>
      <c r="F109" s="2349">
        <f>(-0.161*(F108^2)-7.509*F108+6533)*(10^(-4))/F101</f>
        <v>2.9695454545454547</v>
      </c>
      <c r="G109" s="2349">
        <f>(-0.161*(G108^2)-7.509*G108+6533)*(10^(-4))/G101</f>
        <v>2.9695454545454547</v>
      </c>
      <c r="H109" s="2349">
        <f>(-0.161*(H108^2)-7.509*H108+6533)*(10^(-4))/H101</f>
        <v>2.9695454545454547</v>
      </c>
      <c r="I109" s="2349">
        <f>(-0.161*(I108^2)-7.509*I108+6533)*(10^(-4))/I101</f>
        <v>2.9695454545454547</v>
      </c>
      <c r="J109" s="2349">
        <f>(-0.214*(J108^2)-21.991*J108+4665)*(10^(-4))/J101</f>
        <v>2.1204545454545456</v>
      </c>
      <c r="K109" s="2349">
        <f>(-0.214*(K108^2)-21.991*K108+4665)*(10^(-4))/K101</f>
        <v>2.1204545454545456</v>
      </c>
      <c r="L109" s="2349">
        <f>(-0.214*(L108^2)-21.991*L108+4665)*(10^(-4))/L101</f>
        <v>2.1204545454545456</v>
      </c>
      <c r="M109" s="2349">
        <f>(-0.214*(M108^2)-21.991*M108+4665)*(10^(-4))/M101</f>
        <v>2.1204545454545456</v>
      </c>
      <c r="N109" s="2349">
        <f>(-0.214*(N108^2)-21.991*N108+4665)*(10^(-4))/N101</f>
        <v>2.1204545454545456</v>
      </c>
    </row>
    <row r="110" spans="1:14">
      <c r="A110" s="3983" t="s">
        <v>2800</v>
      </c>
      <c r="B110" s="3983"/>
      <c r="C110" s="3983"/>
      <c r="D110" s="3983"/>
      <c r="E110" s="3983"/>
      <c r="F110" s="3983"/>
      <c r="G110" s="3983"/>
      <c r="H110" s="3983"/>
      <c r="I110" s="3983"/>
      <c r="J110" s="3983"/>
      <c r="K110" s="2352"/>
      <c r="L110" s="2352"/>
      <c r="M110" s="2352"/>
      <c r="N110" s="2352"/>
    </row>
    <row r="112" spans="1:14" ht="13.5" thickBot="1"/>
    <row r="113" spans="1:13" ht="25.5" thickBot="1">
      <c r="A113" s="842" t="s">
        <v>2801</v>
      </c>
      <c r="B113" s="1197">
        <f>G3</f>
        <v>0.22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0.93140000000000001</v>
      </c>
      <c r="C115" s="849">
        <f>B115</f>
        <v>0.93140000000000001</v>
      </c>
      <c r="D115" s="849">
        <f>ROUND(0.8331-0.0109*B113,4)</f>
        <v>0.83069999999999999</v>
      </c>
      <c r="E115" s="849">
        <f>D115</f>
        <v>0.83069999999999999</v>
      </c>
      <c r="F115" s="849">
        <f>E115</f>
        <v>0.83069999999999999</v>
      </c>
      <c r="G115" s="849">
        <f>F115</f>
        <v>0.83069999999999999</v>
      </c>
      <c r="H115" s="849">
        <f>G115</f>
        <v>0.83069999999999999</v>
      </c>
      <c r="I115" s="849">
        <f>ROUND(0.689-0.0155*B113,4)</f>
        <v>0.68559999999999999</v>
      </c>
      <c r="J115" s="849">
        <f t="shared" ref="J115:M118" si="33">I115</f>
        <v>0.68559999999999999</v>
      </c>
      <c r="K115" s="849">
        <f t="shared" si="33"/>
        <v>0.68559999999999999</v>
      </c>
      <c r="L115" s="849">
        <f t="shared" si="33"/>
        <v>0.68559999999999999</v>
      </c>
      <c r="M115" s="850">
        <f t="shared" si="33"/>
        <v>0.68559999999999999</v>
      </c>
    </row>
    <row r="116" spans="1:13">
      <c r="A116" s="848" t="s">
        <v>2701</v>
      </c>
      <c r="B116" s="849">
        <f>ROUND(0.949-0.012*B113,4)</f>
        <v>0.94640000000000002</v>
      </c>
      <c r="C116" s="849">
        <f>B116</f>
        <v>0.94640000000000002</v>
      </c>
      <c r="D116" s="849">
        <f>ROUND(0.8567-0.013*B113,4)</f>
        <v>0.8538</v>
      </c>
      <c r="E116" s="849">
        <f t="shared" ref="E116:H117" si="34">D116</f>
        <v>0.8538</v>
      </c>
      <c r="F116" s="849">
        <f t="shared" si="34"/>
        <v>0.8538</v>
      </c>
      <c r="G116" s="849">
        <f t="shared" si="34"/>
        <v>0.8538</v>
      </c>
      <c r="H116" s="849">
        <f t="shared" si="34"/>
        <v>0.8538</v>
      </c>
      <c r="I116" s="849">
        <f>ROUND(0.7694-0.014*B113,4)</f>
        <v>0.76629999999999998</v>
      </c>
      <c r="J116" s="849">
        <f t="shared" si="33"/>
        <v>0.76629999999999998</v>
      </c>
      <c r="K116" s="849">
        <f t="shared" si="33"/>
        <v>0.76629999999999998</v>
      </c>
      <c r="L116" s="849">
        <f t="shared" si="33"/>
        <v>0.76629999999999998</v>
      </c>
      <c r="M116" s="850">
        <f t="shared" si="33"/>
        <v>0.76629999999999998</v>
      </c>
    </row>
    <row r="117" spans="1:13">
      <c r="A117" s="848" t="s">
        <v>2702</v>
      </c>
      <c r="B117" s="849">
        <f>ROUND(0.8808-0.006*B113,4)</f>
        <v>0.87949999999999995</v>
      </c>
      <c r="C117" s="849">
        <f>B117</f>
        <v>0.87949999999999995</v>
      </c>
      <c r="D117" s="849">
        <f>ROUND(0.8748-0.008*B113,4)</f>
        <v>0.873</v>
      </c>
      <c r="E117" s="849">
        <f t="shared" si="34"/>
        <v>0.873</v>
      </c>
      <c r="F117" s="849">
        <f t="shared" si="34"/>
        <v>0.873</v>
      </c>
      <c r="G117" s="849">
        <f t="shared" si="34"/>
        <v>0.873</v>
      </c>
      <c r="H117" s="849">
        <f t="shared" si="34"/>
        <v>0.873</v>
      </c>
      <c r="I117" s="849">
        <f>ROUND(0.7412-0.0095*B113,4)</f>
        <v>0.73909999999999998</v>
      </c>
      <c r="J117" s="849">
        <f t="shared" si="33"/>
        <v>0.73909999999999998</v>
      </c>
      <c r="K117" s="849">
        <f t="shared" si="33"/>
        <v>0.73909999999999998</v>
      </c>
      <c r="L117" s="849">
        <f t="shared" si="33"/>
        <v>0.73909999999999998</v>
      </c>
      <c r="M117" s="850">
        <f t="shared" si="33"/>
        <v>0.73909999999999998</v>
      </c>
    </row>
    <row r="118" spans="1:13" ht="13.5" thickBot="1">
      <c r="A118" s="670" t="s">
        <v>2703</v>
      </c>
      <c r="B118" s="851">
        <f>ROUND(0.7275-0.01*B113,4)</f>
        <v>0.72529999999999994</v>
      </c>
      <c r="C118" s="851">
        <f>B118</f>
        <v>0.72529999999999994</v>
      </c>
      <c r="D118" s="851">
        <f>ROUND(0.7043-0.012*B113,4)</f>
        <v>0.70169999999999999</v>
      </c>
      <c r="E118" s="851">
        <f>D118</f>
        <v>0.70169999999999999</v>
      </c>
      <c r="F118" s="851">
        <f>E118</f>
        <v>0.70169999999999999</v>
      </c>
      <c r="G118" s="851">
        <f>ROUND(0.6299-0.0122*B113,4)</f>
        <v>0.62719999999999998</v>
      </c>
      <c r="H118" s="851">
        <f>G118</f>
        <v>0.62719999999999998</v>
      </c>
      <c r="I118" s="851">
        <f>ROUND(0.5667-0.0136*B113,4)</f>
        <v>0.56369999999999998</v>
      </c>
      <c r="J118" s="851">
        <f t="shared" si="33"/>
        <v>0.56369999999999998</v>
      </c>
      <c r="K118" s="851">
        <f t="shared" si="33"/>
        <v>0.56369999999999998</v>
      </c>
      <c r="L118" s="851">
        <f t="shared" si="33"/>
        <v>0.56369999999999998</v>
      </c>
      <c r="M118" s="852">
        <f t="shared" si="33"/>
        <v>0.56369999999999998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06" t="s">
        <v>183</v>
      </c>
      <c r="B18" s="821" t="s">
        <v>560</v>
      </c>
      <c r="C18" s="822" t="s">
        <v>561</v>
      </c>
      <c r="D18" s="823"/>
      <c r="E18" s="821">
        <v>1</v>
      </c>
      <c r="F18" s="824" t="s">
        <v>562</v>
      </c>
      <c r="G18" s="825"/>
      <c r="H18" s="817"/>
      <c r="I18" s="817"/>
    </row>
    <row r="19" spans="1:9" s="826" customFormat="1" ht="19.5" customHeight="1">
      <c r="A19" s="4006"/>
      <c r="B19" s="4006" t="s">
        <v>563</v>
      </c>
      <c r="C19" s="822" t="s">
        <v>564</v>
      </c>
      <c r="D19" s="823"/>
      <c r="E19" s="821">
        <v>0.9</v>
      </c>
      <c r="F19" s="824" t="s">
        <v>565</v>
      </c>
      <c r="G19" s="825"/>
      <c r="H19" s="817"/>
      <c r="I19" s="817"/>
    </row>
    <row r="20" spans="1:9" s="826" customFormat="1" ht="19.5" customHeight="1">
      <c r="A20" s="4006"/>
      <c r="B20" s="4006"/>
      <c r="C20" s="822" t="s">
        <v>566</v>
      </c>
      <c r="D20" s="823"/>
      <c r="E20" s="821">
        <v>1.1000000000000001</v>
      </c>
      <c r="F20" s="824" t="s">
        <v>567</v>
      </c>
      <c r="G20" s="825"/>
      <c r="H20" s="817"/>
      <c r="I20" s="817"/>
    </row>
    <row r="21" spans="1:9" s="826" customFormat="1" ht="19.5" customHeight="1">
      <c r="A21" s="4006"/>
      <c r="B21" s="4006"/>
      <c r="C21" s="822" t="s">
        <v>568</v>
      </c>
      <c r="D21" s="823"/>
      <c r="E21" s="821">
        <v>0.8</v>
      </c>
      <c r="F21" s="824" t="s">
        <v>569</v>
      </c>
      <c r="G21" s="825"/>
      <c r="H21" s="817"/>
      <c r="I21" s="817"/>
    </row>
    <row r="22" spans="1:9" s="826" customFormat="1" ht="19.5" customHeight="1">
      <c r="A22" s="4006"/>
      <c r="B22" s="4006"/>
      <c r="C22" s="822" t="s">
        <v>570</v>
      </c>
      <c r="D22" s="823"/>
      <c r="E22" s="821">
        <v>0.5</v>
      </c>
      <c r="F22" s="824"/>
      <c r="G22" s="825"/>
      <c r="H22" s="817"/>
      <c r="I22" s="817"/>
    </row>
    <row r="23" spans="1:9" s="826" customFormat="1" ht="19.5" customHeight="1">
      <c r="A23" s="4006" t="s">
        <v>184</v>
      </c>
      <c r="B23" s="821" t="s">
        <v>560</v>
      </c>
      <c r="C23" s="822" t="s">
        <v>571</v>
      </c>
      <c r="D23" s="823"/>
      <c r="E23" s="821">
        <v>1</v>
      </c>
      <c r="F23" s="824" t="s">
        <v>572</v>
      </c>
      <c r="G23" s="825"/>
      <c r="H23" s="817"/>
      <c r="I23" s="817"/>
    </row>
    <row r="24" spans="1:9" s="826" customFormat="1" ht="19.5" customHeight="1">
      <c r="A24" s="4006"/>
      <c r="B24" s="4006" t="s">
        <v>563</v>
      </c>
      <c r="C24" s="822" t="s">
        <v>573</v>
      </c>
      <c r="D24" s="823"/>
      <c r="E24" s="821">
        <v>0.5</v>
      </c>
      <c r="F24" s="824"/>
      <c r="G24" s="825"/>
      <c r="H24" s="817"/>
      <c r="I24" s="817"/>
    </row>
    <row r="25" spans="1:9" s="826" customFormat="1" ht="19.5" customHeight="1">
      <c r="A25" s="4006"/>
      <c r="B25" s="4006"/>
      <c r="C25" s="822" t="s">
        <v>574</v>
      </c>
      <c r="D25" s="823"/>
      <c r="E25" s="821">
        <v>1.1000000000000001</v>
      </c>
      <c r="F25" s="824"/>
      <c r="G25" s="825"/>
      <c r="H25" s="817"/>
      <c r="I25" s="817"/>
    </row>
    <row r="26" spans="1:9" s="826" customFormat="1" ht="19.5" customHeight="1">
      <c r="A26" s="4006"/>
      <c r="B26" s="4006"/>
      <c r="C26" s="822" t="s">
        <v>575</v>
      </c>
      <c r="D26" s="823"/>
      <c r="E26" s="821">
        <v>1.1000000000000001</v>
      </c>
      <c r="F26" s="824"/>
      <c r="G26" s="825"/>
      <c r="H26" s="817"/>
      <c r="I26" s="817"/>
    </row>
    <row r="27" spans="1:9" s="826" customFormat="1" ht="19.5" customHeight="1">
      <c r="A27" s="4006"/>
      <c r="B27" s="4006"/>
      <c r="C27" s="822" t="s">
        <v>576</v>
      </c>
      <c r="D27" s="823"/>
      <c r="E27" s="821">
        <v>0.9</v>
      </c>
      <c r="F27" s="824" t="s">
        <v>577</v>
      </c>
      <c r="G27" s="825"/>
      <c r="H27" s="817"/>
      <c r="I27" s="817"/>
    </row>
    <row r="28" spans="1:9" s="826" customFormat="1" ht="19.5" customHeight="1">
      <c r="A28" s="4006"/>
      <c r="B28" s="4006"/>
      <c r="C28" s="822" t="s">
        <v>578</v>
      </c>
      <c r="D28" s="823"/>
      <c r="E28" s="821">
        <v>0.9</v>
      </c>
      <c r="F28" s="824" t="s">
        <v>579</v>
      </c>
      <c r="G28" s="825"/>
      <c r="H28" s="817"/>
      <c r="I28" s="817"/>
    </row>
    <row r="29" spans="1:9" s="826" customFormat="1" ht="19.5" customHeight="1">
      <c r="A29" s="4006"/>
      <c r="B29" s="4006"/>
      <c r="C29" s="822" t="s">
        <v>580</v>
      </c>
      <c r="D29" s="823"/>
      <c r="E29" s="821">
        <v>0.9</v>
      </c>
      <c r="F29" s="824" t="s">
        <v>581</v>
      </c>
      <c r="G29" s="825"/>
      <c r="H29" s="817"/>
      <c r="I29" s="817"/>
    </row>
    <row r="30" spans="1:9" s="826" customFormat="1" ht="19.5" customHeight="1">
      <c r="A30" s="4006"/>
      <c r="B30" s="4006"/>
      <c r="C30" s="822" t="s">
        <v>582</v>
      </c>
      <c r="D30" s="823"/>
      <c r="E30" s="821">
        <v>0.9</v>
      </c>
      <c r="F30" s="824" t="s">
        <v>583</v>
      </c>
      <c r="G30" s="825"/>
      <c r="H30" s="817"/>
      <c r="I30" s="817"/>
    </row>
    <row r="31" spans="1:9" s="826" customFormat="1" ht="19.5" customHeight="1">
      <c r="A31" s="4006"/>
      <c r="B31" s="4006"/>
      <c r="C31" s="822" t="s">
        <v>584</v>
      </c>
      <c r="D31" s="823"/>
      <c r="E31" s="821">
        <v>0.8</v>
      </c>
      <c r="F31" s="824" t="s">
        <v>585</v>
      </c>
      <c r="G31" s="825"/>
      <c r="H31" s="817"/>
      <c r="I31" s="817"/>
    </row>
    <row r="32" spans="1:9" s="826" customFormat="1" ht="19.5" customHeight="1">
      <c r="A32" s="4006"/>
      <c r="B32" s="4006"/>
      <c r="C32" s="822" t="s">
        <v>586</v>
      </c>
      <c r="D32" s="823"/>
      <c r="E32" s="821">
        <v>0.8</v>
      </c>
      <c r="F32" s="824" t="s">
        <v>587</v>
      </c>
      <c r="G32" s="825"/>
      <c r="H32" s="817"/>
      <c r="I32" s="817"/>
    </row>
    <row r="33" spans="1:9" s="826" customFormat="1" ht="19.5" customHeight="1">
      <c r="A33" s="4006" t="s">
        <v>185</v>
      </c>
      <c r="B33" s="821" t="s">
        <v>560</v>
      </c>
      <c r="C33" s="822" t="s">
        <v>588</v>
      </c>
      <c r="D33" s="823"/>
      <c r="E33" s="821">
        <v>1</v>
      </c>
      <c r="F33" s="824" t="s">
        <v>589</v>
      </c>
      <c r="G33" s="825"/>
      <c r="H33" s="817"/>
      <c r="I33" s="817"/>
    </row>
    <row r="34" spans="1:9" s="826" customFormat="1" ht="19.5" customHeight="1">
      <c r="A34" s="4006"/>
      <c r="B34" s="821" t="s">
        <v>563</v>
      </c>
      <c r="C34" s="822" t="s">
        <v>590</v>
      </c>
      <c r="D34" s="823"/>
      <c r="E34" s="821">
        <v>1.5</v>
      </c>
      <c r="F34" s="824" t="s">
        <v>591</v>
      </c>
      <c r="G34" s="825"/>
      <c r="H34" s="817"/>
      <c r="I34" s="817"/>
    </row>
    <row r="35" spans="1:9" s="826" customFormat="1" ht="19.5" customHeight="1">
      <c r="A35" s="4006" t="s">
        <v>186</v>
      </c>
      <c r="B35" s="821" t="s">
        <v>560</v>
      </c>
      <c r="C35" s="822" t="s">
        <v>592</v>
      </c>
      <c r="D35" s="823"/>
      <c r="E35" s="821">
        <v>1</v>
      </c>
      <c r="F35" s="824" t="s">
        <v>593</v>
      </c>
      <c r="G35" s="825"/>
      <c r="H35" s="817"/>
      <c r="I35" s="817"/>
    </row>
    <row r="36" spans="1:9" s="826" customFormat="1" ht="19.5" customHeight="1">
      <c r="A36" s="4006"/>
      <c r="B36" s="4006" t="s">
        <v>563</v>
      </c>
      <c r="C36" s="822" t="s">
        <v>594</v>
      </c>
      <c r="D36" s="823"/>
      <c r="E36" s="821">
        <v>1</v>
      </c>
      <c r="F36" s="824" t="s">
        <v>595</v>
      </c>
      <c r="G36" s="825"/>
      <c r="H36" s="817"/>
      <c r="I36" s="817"/>
    </row>
    <row r="37" spans="1:9" s="826" customFormat="1" ht="19.5" customHeight="1">
      <c r="A37" s="4006"/>
      <c r="B37" s="4006"/>
      <c r="C37" s="822" t="s">
        <v>596</v>
      </c>
      <c r="D37" s="823"/>
      <c r="E37" s="821">
        <v>1.5</v>
      </c>
      <c r="F37" s="824" t="s">
        <v>597</v>
      </c>
      <c r="G37" s="825"/>
      <c r="H37" s="817"/>
      <c r="I37" s="817"/>
    </row>
    <row r="38" spans="1:9" s="826" customFormat="1" ht="19.5" customHeight="1">
      <c r="A38" s="4006"/>
      <c r="B38" s="4006"/>
      <c r="C38" s="822" t="s">
        <v>598</v>
      </c>
      <c r="D38" s="823"/>
      <c r="E38" s="821">
        <v>1</v>
      </c>
      <c r="F38" s="824" t="s">
        <v>599</v>
      </c>
      <c r="G38" s="825"/>
      <c r="H38" s="817"/>
      <c r="I38" s="817"/>
    </row>
    <row r="39" spans="1:9" s="826" customFormat="1" ht="19.5" customHeight="1">
      <c r="A39" s="4006"/>
      <c r="B39" s="40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06" t="s">
        <v>614</v>
      </c>
      <c r="C61" s="757" t="s">
        <v>615</v>
      </c>
      <c r="D61" s="757" t="s">
        <v>616</v>
      </c>
      <c r="E61" s="834">
        <v>0.5</v>
      </c>
      <c r="F61" s="821">
        <v>80</v>
      </c>
    </row>
    <row r="62" spans="1:8" s="817" customFormat="1" ht="24">
      <c r="A62" s="821">
        <v>2</v>
      </c>
      <c r="B62" s="4006"/>
      <c r="C62" s="757" t="s">
        <v>617</v>
      </c>
      <c r="D62" s="757" t="s">
        <v>618</v>
      </c>
      <c r="E62" s="834">
        <v>0.5</v>
      </c>
      <c r="F62" s="821">
        <v>80</v>
      </c>
    </row>
    <row r="63" spans="1:8" s="817" customFormat="1" ht="36">
      <c r="A63" s="821">
        <v>3</v>
      </c>
      <c r="B63" s="4006"/>
      <c r="C63" s="757" t="s">
        <v>619</v>
      </c>
      <c r="D63" s="757" t="s">
        <v>620</v>
      </c>
      <c r="E63" s="834">
        <v>0.5</v>
      </c>
      <c r="F63" s="821">
        <v>80</v>
      </c>
    </row>
    <row r="64" spans="1:8" s="817" customFormat="1" ht="36">
      <c r="A64" s="821">
        <v>4</v>
      </c>
      <c r="B64" s="4006"/>
      <c r="C64" s="757" t="s">
        <v>621</v>
      </c>
      <c r="D64" s="757" t="s">
        <v>622</v>
      </c>
      <c r="E64" s="834">
        <v>0.4</v>
      </c>
      <c r="F64" s="821">
        <v>60</v>
      </c>
    </row>
    <row r="65" spans="1:6" s="817" customFormat="1" ht="36">
      <c r="A65" s="821">
        <v>5</v>
      </c>
      <c r="B65" s="4006"/>
      <c r="C65" s="757" t="s">
        <v>623</v>
      </c>
      <c r="D65" s="757" t="s">
        <v>624</v>
      </c>
      <c r="E65" s="834">
        <v>0.2</v>
      </c>
      <c r="F65" s="821">
        <v>30</v>
      </c>
    </row>
    <row r="66" spans="1:6" s="817" customFormat="1" ht="36">
      <c r="A66" s="821">
        <v>6</v>
      </c>
      <c r="B66" s="4006"/>
      <c r="C66" s="757" t="s">
        <v>625</v>
      </c>
      <c r="D66" s="757" t="s">
        <v>626</v>
      </c>
      <c r="E66" s="834">
        <v>0.3</v>
      </c>
      <c r="F66" s="821">
        <v>50</v>
      </c>
    </row>
    <row r="67" spans="1:6" s="817" customFormat="1" ht="36">
      <c r="A67" s="821">
        <v>7</v>
      </c>
      <c r="B67" s="4006"/>
      <c r="C67" s="757" t="s">
        <v>627</v>
      </c>
      <c r="D67" s="757" t="s">
        <v>628</v>
      </c>
      <c r="E67" s="834">
        <v>0.2</v>
      </c>
      <c r="F67" s="821">
        <v>30</v>
      </c>
    </row>
    <row r="68" spans="1:6" s="817" customFormat="1" ht="36">
      <c r="A68" s="821">
        <v>8</v>
      </c>
      <c r="B68" s="4006"/>
      <c r="C68" s="757" t="s">
        <v>629</v>
      </c>
      <c r="D68" s="757" t="s">
        <v>630</v>
      </c>
      <c r="E68" s="834">
        <v>0.2</v>
      </c>
      <c r="F68" s="821">
        <v>30</v>
      </c>
    </row>
    <row r="69" spans="1:6" s="817" customFormat="1" ht="36">
      <c r="A69" s="821">
        <v>9</v>
      </c>
      <c r="B69" s="4006"/>
      <c r="C69" s="757" t="s">
        <v>631</v>
      </c>
      <c r="D69" s="757" t="s">
        <v>632</v>
      </c>
      <c r="E69" s="834">
        <v>0.2</v>
      </c>
      <c r="F69" s="821">
        <v>30</v>
      </c>
    </row>
    <row r="70" spans="1:6" s="817" customFormat="1" ht="48">
      <c r="A70" s="821">
        <v>10</v>
      </c>
      <c r="B70" s="4006"/>
      <c r="C70" s="757" t="s">
        <v>633</v>
      </c>
      <c r="D70" s="757" t="s">
        <v>634</v>
      </c>
      <c r="E70" s="834">
        <v>0.2</v>
      </c>
      <c r="F70" s="821">
        <v>30</v>
      </c>
    </row>
    <row r="71" spans="1:6" s="817" customFormat="1" ht="48">
      <c r="A71" s="821">
        <v>11</v>
      </c>
      <c r="B71" s="4006"/>
      <c r="C71" s="757" t="s">
        <v>635</v>
      </c>
      <c r="D71" s="757" t="s">
        <v>636</v>
      </c>
      <c r="E71" s="834">
        <v>0.2</v>
      </c>
      <c r="F71" s="821">
        <v>30</v>
      </c>
    </row>
    <row r="72" spans="1:6" s="817" customFormat="1" ht="36">
      <c r="A72" s="821">
        <v>12</v>
      </c>
      <c r="B72" s="4006"/>
      <c r="C72" s="757" t="s">
        <v>637</v>
      </c>
      <c r="D72" s="757" t="s">
        <v>638</v>
      </c>
      <c r="E72" s="834">
        <v>0.5</v>
      </c>
      <c r="F72" s="821">
        <v>80</v>
      </c>
    </row>
    <row r="73" spans="1:6" s="817" customFormat="1" ht="24">
      <c r="A73" s="821">
        <v>13</v>
      </c>
      <c r="B73" s="4006"/>
      <c r="C73" s="757" t="s">
        <v>639</v>
      </c>
      <c r="D73" s="757" t="s">
        <v>640</v>
      </c>
      <c r="E73" s="834">
        <v>0.4</v>
      </c>
      <c r="F73" s="821">
        <v>60</v>
      </c>
    </row>
    <row r="74" spans="1:6" s="817" customFormat="1" ht="24">
      <c r="A74" s="821">
        <v>14</v>
      </c>
      <c r="B74" s="4006"/>
      <c r="C74" s="757" t="s">
        <v>641</v>
      </c>
      <c r="D74" s="757" t="s">
        <v>642</v>
      </c>
      <c r="E74" s="834">
        <v>0.2</v>
      </c>
      <c r="F74" s="821">
        <v>30</v>
      </c>
    </row>
    <row r="75" spans="1:6" s="817" customFormat="1" ht="24">
      <c r="A75" s="821">
        <v>15</v>
      </c>
      <c r="B75" s="4006"/>
      <c r="C75" s="757" t="s">
        <v>643</v>
      </c>
      <c r="D75" s="757" t="s">
        <v>644</v>
      </c>
      <c r="E75" s="834">
        <v>0.2</v>
      </c>
      <c r="F75" s="821">
        <v>30</v>
      </c>
    </row>
    <row r="76" spans="1:6" s="817" customFormat="1" ht="24">
      <c r="A76" s="821">
        <v>16</v>
      </c>
      <c r="B76" s="4006" t="s">
        <v>645</v>
      </c>
      <c r="C76" s="757" t="s">
        <v>646</v>
      </c>
      <c r="D76" s="757" t="s">
        <v>647</v>
      </c>
      <c r="E76" s="834">
        <v>0.5</v>
      </c>
      <c r="F76" s="821">
        <v>80</v>
      </c>
    </row>
    <row r="77" spans="1:6" s="817" customFormat="1" ht="24">
      <c r="A77" s="821">
        <v>17</v>
      </c>
      <c r="B77" s="4006"/>
      <c r="C77" s="757" t="s">
        <v>648</v>
      </c>
      <c r="D77" s="757" t="s">
        <v>649</v>
      </c>
      <c r="E77" s="834">
        <v>0.5</v>
      </c>
      <c r="F77" s="821">
        <v>80</v>
      </c>
    </row>
    <row r="78" spans="1:6" s="817" customFormat="1" ht="24">
      <c r="A78" s="821">
        <v>18</v>
      </c>
      <c r="B78" s="4006"/>
      <c r="C78" s="757" t="s">
        <v>650</v>
      </c>
      <c r="D78" s="757" t="s">
        <v>651</v>
      </c>
      <c r="E78" s="834">
        <v>0.2</v>
      </c>
      <c r="F78" s="821">
        <v>30</v>
      </c>
    </row>
    <row r="79" spans="1:6" s="817" customFormat="1" ht="24">
      <c r="A79" s="821">
        <v>19</v>
      </c>
      <c r="B79" s="4006"/>
      <c r="C79" s="757" t="s">
        <v>652</v>
      </c>
      <c r="D79" s="757" t="s">
        <v>653</v>
      </c>
      <c r="E79" s="834">
        <v>0.5</v>
      </c>
      <c r="F79" s="821">
        <v>80</v>
      </c>
    </row>
    <row r="80" spans="1:6" s="817" customFormat="1" ht="36">
      <c r="A80" s="821">
        <v>20</v>
      </c>
      <c r="B80" s="4006"/>
      <c r="C80" s="757" t="s">
        <v>654</v>
      </c>
      <c r="D80" s="757" t="s">
        <v>655</v>
      </c>
      <c r="E80" s="834">
        <v>0.2</v>
      </c>
      <c r="F80" s="821">
        <v>30</v>
      </c>
    </row>
    <row r="81" spans="1:6" s="817" customFormat="1" ht="36">
      <c r="A81" s="821">
        <v>21</v>
      </c>
      <c r="B81" s="4006"/>
      <c r="C81" s="757" t="s">
        <v>656</v>
      </c>
      <c r="D81" s="757" t="s">
        <v>657</v>
      </c>
      <c r="E81" s="834">
        <v>0.2</v>
      </c>
      <c r="F81" s="821">
        <v>30</v>
      </c>
    </row>
    <row r="82" spans="1:6" s="817" customFormat="1" ht="48">
      <c r="A82" s="821">
        <v>22</v>
      </c>
      <c r="B82" s="4006"/>
      <c r="C82" s="757" t="s">
        <v>658</v>
      </c>
      <c r="D82" s="757" t="s">
        <v>659</v>
      </c>
      <c r="E82" s="834">
        <v>0.2</v>
      </c>
      <c r="F82" s="821">
        <v>30</v>
      </c>
    </row>
    <row r="83" spans="1:6" s="817" customFormat="1" ht="48">
      <c r="A83" s="821">
        <v>23</v>
      </c>
      <c r="B83" s="4006"/>
      <c r="C83" s="757" t="s">
        <v>660</v>
      </c>
      <c r="D83" s="757" t="s">
        <v>661</v>
      </c>
      <c r="E83" s="834">
        <v>0.2</v>
      </c>
      <c r="F83" s="821">
        <v>30</v>
      </c>
    </row>
    <row r="84" spans="1:6" s="817" customFormat="1" ht="36">
      <c r="A84" s="821">
        <v>24</v>
      </c>
      <c r="B84" s="4006"/>
      <c r="C84" s="757" t="s">
        <v>662</v>
      </c>
      <c r="D84" s="757" t="s">
        <v>663</v>
      </c>
      <c r="E84" s="834">
        <v>0.2</v>
      </c>
      <c r="F84" s="821">
        <v>30</v>
      </c>
    </row>
    <row r="85" spans="1:6" s="817" customFormat="1" ht="36">
      <c r="A85" s="821">
        <v>25</v>
      </c>
      <c r="B85" s="4006"/>
      <c r="C85" s="757" t="s">
        <v>664</v>
      </c>
      <c r="D85" s="757" t="s">
        <v>665</v>
      </c>
      <c r="E85" s="834">
        <v>0.5</v>
      </c>
      <c r="F85" s="821">
        <v>80</v>
      </c>
    </row>
    <row r="86" spans="1:6" s="817" customFormat="1" ht="36">
      <c r="A86" s="821">
        <v>26</v>
      </c>
      <c r="B86" s="4006"/>
      <c r="C86" s="757" t="s">
        <v>666</v>
      </c>
      <c r="D86" s="757" t="s">
        <v>667</v>
      </c>
      <c r="E86" s="834">
        <v>0.2</v>
      </c>
      <c r="F86" s="821">
        <v>30</v>
      </c>
    </row>
    <row r="87" spans="1:6" s="817" customFormat="1" ht="36">
      <c r="A87" s="821">
        <v>27</v>
      </c>
      <c r="B87" s="4006"/>
      <c r="C87" s="757" t="s">
        <v>668</v>
      </c>
      <c r="D87" s="757" t="s">
        <v>669</v>
      </c>
      <c r="E87" s="834">
        <v>0.2</v>
      </c>
      <c r="F87" s="821">
        <v>30</v>
      </c>
    </row>
    <row r="88" spans="1:6" s="817" customFormat="1" ht="36">
      <c r="A88" s="821">
        <v>28</v>
      </c>
      <c r="B88" s="4006"/>
      <c r="C88" s="757" t="s">
        <v>670</v>
      </c>
      <c r="D88" s="757" t="s">
        <v>671</v>
      </c>
      <c r="E88" s="834">
        <v>0.2</v>
      </c>
      <c r="F88" s="821">
        <v>30</v>
      </c>
    </row>
    <row r="89" spans="1:6" s="817" customFormat="1" ht="24">
      <c r="A89" s="821">
        <v>29</v>
      </c>
      <c r="B89" s="4006"/>
      <c r="C89" s="757" t="s">
        <v>672</v>
      </c>
      <c r="D89" s="757" t="s">
        <v>673</v>
      </c>
      <c r="E89" s="834">
        <v>0.2</v>
      </c>
      <c r="F89" s="821">
        <v>30</v>
      </c>
    </row>
    <row r="90" spans="1:6" s="817" customFormat="1" ht="24">
      <c r="A90" s="821">
        <v>30</v>
      </c>
      <c r="B90" s="4006"/>
      <c r="C90" s="757" t="s">
        <v>674</v>
      </c>
      <c r="D90" s="757" t="s">
        <v>675</v>
      </c>
      <c r="E90" s="834">
        <v>0.2</v>
      </c>
      <c r="F90" s="821">
        <v>30</v>
      </c>
    </row>
    <row r="91" spans="1:6" s="817" customFormat="1" ht="36">
      <c r="A91" s="821">
        <v>31</v>
      </c>
      <c r="B91" s="4006"/>
      <c r="C91" s="757" t="s">
        <v>676</v>
      </c>
      <c r="D91" s="757" t="s">
        <v>677</v>
      </c>
      <c r="E91" s="834">
        <v>0.2</v>
      </c>
      <c r="F91" s="821">
        <v>30</v>
      </c>
    </row>
    <row r="92" spans="1:6" s="817" customFormat="1" ht="24">
      <c r="A92" s="821">
        <v>32</v>
      </c>
      <c r="B92" s="4006" t="s">
        <v>678</v>
      </c>
      <c r="C92" s="821" t="s">
        <v>679</v>
      </c>
      <c r="D92" s="757" t="s">
        <v>680</v>
      </c>
      <c r="E92" s="834">
        <v>0.2</v>
      </c>
      <c r="F92" s="821">
        <v>30</v>
      </c>
    </row>
    <row r="93" spans="1:6" s="817" customFormat="1" ht="36">
      <c r="A93" s="821">
        <v>33</v>
      </c>
      <c r="B93" s="4006"/>
      <c r="C93" s="821" t="s">
        <v>681</v>
      </c>
      <c r="D93" s="757" t="s">
        <v>682</v>
      </c>
      <c r="E93" s="834">
        <v>0.2</v>
      </c>
      <c r="F93" s="821">
        <v>30</v>
      </c>
    </row>
    <row r="94" spans="1:6" s="817" customFormat="1" ht="48">
      <c r="A94" s="821">
        <v>34</v>
      </c>
      <c r="B94" s="4006"/>
      <c r="C94" s="821" t="s">
        <v>683</v>
      </c>
      <c r="D94" s="757" t="s">
        <v>684</v>
      </c>
      <c r="E94" s="834">
        <v>0.2</v>
      </c>
      <c r="F94" s="821">
        <v>30</v>
      </c>
    </row>
    <row r="95" spans="1:6" s="817" customFormat="1" ht="36">
      <c r="A95" s="821">
        <v>35</v>
      </c>
      <c r="B95" s="4006"/>
      <c r="C95" s="821" t="s">
        <v>685</v>
      </c>
      <c r="D95" s="757" t="s">
        <v>686</v>
      </c>
      <c r="E95" s="834">
        <v>0.2</v>
      </c>
      <c r="F95" s="821">
        <v>30</v>
      </c>
    </row>
    <row r="96" spans="1:6" s="817" customFormat="1" ht="48">
      <c r="A96" s="821">
        <v>36</v>
      </c>
      <c r="B96" s="4006"/>
      <c r="C96" s="757" t="s">
        <v>687</v>
      </c>
      <c r="D96" s="757" t="s">
        <v>688</v>
      </c>
      <c r="E96" s="834">
        <v>0.2</v>
      </c>
      <c r="F96" s="821">
        <v>30</v>
      </c>
    </row>
    <row r="97" spans="1:6" s="817" customFormat="1" ht="36">
      <c r="A97" s="821">
        <v>37</v>
      </c>
      <c r="B97" s="4006"/>
      <c r="C97" s="821" t="s">
        <v>689</v>
      </c>
      <c r="D97" s="757" t="s">
        <v>690</v>
      </c>
      <c r="E97" s="834">
        <v>0.2</v>
      </c>
      <c r="F97" s="821">
        <v>30</v>
      </c>
    </row>
    <row r="98" spans="1:6" s="817" customFormat="1" ht="36">
      <c r="A98" s="821">
        <v>38</v>
      </c>
      <c r="B98" s="4006"/>
      <c r="C98" s="821" t="s">
        <v>691</v>
      </c>
      <c r="D98" s="757" t="s">
        <v>692</v>
      </c>
      <c r="E98" s="834">
        <v>0.2</v>
      </c>
      <c r="F98" s="821">
        <v>30</v>
      </c>
    </row>
    <row r="99" spans="1:6" s="817" customFormat="1" ht="36">
      <c r="A99" s="821">
        <v>39</v>
      </c>
      <c r="B99" s="4006" t="s">
        <v>693</v>
      </c>
      <c r="C99" s="821" t="s">
        <v>694</v>
      </c>
      <c r="D99" s="757" t="s">
        <v>695</v>
      </c>
      <c r="E99" s="834">
        <v>0.3</v>
      </c>
      <c r="F99" s="821">
        <v>50</v>
      </c>
    </row>
    <row r="100" spans="1:6" s="817" customFormat="1" ht="24">
      <c r="A100" s="821">
        <v>40</v>
      </c>
      <c r="B100" s="4006"/>
      <c r="C100" s="821" t="s">
        <v>696</v>
      </c>
      <c r="D100" s="757" t="s">
        <v>697</v>
      </c>
      <c r="E100" s="834">
        <v>0.2</v>
      </c>
      <c r="F100" s="821">
        <v>30</v>
      </c>
    </row>
    <row r="101" spans="1:6" s="817" customFormat="1" ht="36">
      <c r="A101" s="821">
        <v>41</v>
      </c>
      <c r="B101" s="40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06" t="s">
        <v>708</v>
      </c>
      <c r="C105" s="821" t="s">
        <v>709</v>
      </c>
      <c r="D105" s="757" t="s">
        <v>710</v>
      </c>
      <c r="E105" s="834">
        <v>0.2</v>
      </c>
      <c r="F105" s="821">
        <v>30</v>
      </c>
    </row>
    <row r="106" spans="1:6" s="817" customFormat="1" ht="36">
      <c r="A106" s="821">
        <v>46</v>
      </c>
      <c r="B106" s="4006"/>
      <c r="C106" s="821" t="s">
        <v>711</v>
      </c>
      <c r="D106" s="757" t="s">
        <v>712</v>
      </c>
      <c r="E106" s="834">
        <v>0.2</v>
      </c>
      <c r="F106" s="821">
        <v>30</v>
      </c>
    </row>
    <row r="107" spans="1:6" s="817" customFormat="1" ht="36">
      <c r="A107" s="821">
        <v>47</v>
      </c>
      <c r="B107" s="4006" t="s">
        <v>713</v>
      </c>
      <c r="C107" s="821" t="s">
        <v>714</v>
      </c>
      <c r="D107" s="757" t="s">
        <v>715</v>
      </c>
      <c r="E107" s="834">
        <v>0.3</v>
      </c>
      <c r="F107" s="821">
        <v>50</v>
      </c>
    </row>
    <row r="108" spans="1:6" s="817" customFormat="1" ht="36">
      <c r="A108" s="821">
        <v>48</v>
      </c>
      <c r="B108" s="40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06" t="s">
        <v>724</v>
      </c>
      <c r="C111" s="821" t="s">
        <v>725</v>
      </c>
      <c r="D111" s="757" t="s">
        <v>726</v>
      </c>
      <c r="E111" s="834">
        <v>0.2</v>
      </c>
      <c r="F111" s="821">
        <v>30</v>
      </c>
    </row>
    <row r="112" spans="1:6" s="817" customFormat="1" ht="24">
      <c r="A112" s="821">
        <v>52</v>
      </c>
      <c r="B112" s="4006"/>
      <c r="C112" s="821" t="s">
        <v>727</v>
      </c>
      <c r="D112" s="757" t="s">
        <v>728</v>
      </c>
      <c r="E112" s="834">
        <v>0.2</v>
      </c>
      <c r="F112" s="821">
        <v>30</v>
      </c>
    </row>
    <row r="113" spans="1:6" s="817" customFormat="1" ht="24">
      <c r="A113" s="821">
        <v>53</v>
      </c>
      <c r="B113" s="40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06" t="s">
        <v>737</v>
      </c>
      <c r="C116" s="821" t="s">
        <v>738</v>
      </c>
      <c r="D116" s="757" t="s">
        <v>739</v>
      </c>
      <c r="E116" s="834">
        <v>0.2</v>
      </c>
      <c r="F116" s="821">
        <v>30</v>
      </c>
    </row>
    <row r="117" spans="1:6" ht="36">
      <c r="A117" s="821">
        <v>57</v>
      </c>
      <c r="B117" s="40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1"/>
      <c r="C2" s="3671"/>
      <c r="D2" s="3671"/>
      <c r="E2" s="3671"/>
    </row>
    <row r="3" spans="1:5" ht="18">
      <c r="A3" s="3672" t="str">
        <f>IF(项目基本情况!B9="房地产市场价值","估价结果一览表（市场价值不需“结果表-1”）","估价结果一览表")</f>
        <v>估价结果一览表（市场价值不需“结果表-1”）</v>
      </c>
      <c r="B3" s="3672"/>
      <c r="C3" s="3672"/>
      <c r="D3" s="3672"/>
      <c r="E3" s="3672"/>
    </row>
    <row r="4" spans="1:5" ht="19.5" thickBot="1">
      <c r="A4" s="1678"/>
      <c r="B4" s="3670" t="s">
        <v>1595</v>
      </c>
      <c r="C4" s="3670"/>
      <c r="D4" s="3670"/>
      <c r="E4" s="1678"/>
    </row>
    <row r="5" spans="1:5" ht="16.5" thickTop="1">
      <c r="A5" s="1676"/>
      <c r="B5" s="3668" t="s">
        <v>1587</v>
      </c>
      <c r="C5" s="1679" t="s">
        <v>1588</v>
      </c>
      <c r="D5" s="959">
        <f ca="1">结果表!H101</f>
        <v>357</v>
      </c>
      <c r="E5" s="1676"/>
    </row>
    <row r="6" spans="1:5" ht="15.75">
      <c r="A6" s="1676"/>
      <c r="B6" s="3668"/>
      <c r="C6" s="1679" t="s">
        <v>1589</v>
      </c>
      <c r="D6" s="959" t="str">
        <f ca="1">NUMBERSTRING(INT(D5*10000),2)&amp;"元整"</f>
        <v>叁佰伍拾柒万元整</v>
      </c>
      <c r="E6" s="1676"/>
    </row>
    <row r="7" spans="1:5" ht="15.75">
      <c r="A7" s="1676"/>
      <c r="B7" s="3673"/>
      <c r="C7" s="1680" t="s">
        <v>1590</v>
      </c>
      <c r="D7" s="960">
        <f ca="1">结果表!H102</f>
        <v>11383</v>
      </c>
      <c r="E7" s="1676"/>
    </row>
    <row r="8" spans="1:5" ht="15.75">
      <c r="A8" s="1676"/>
      <c r="B8" s="3674" t="str">
        <f>结果表!E103</f>
        <v>2.估价师知悉的法定优先受偿款</v>
      </c>
      <c r="C8" s="1681" t="s">
        <v>1591</v>
      </c>
      <c r="D8" s="960">
        <f>结果表!H103</f>
        <v>0</v>
      </c>
      <c r="E8" s="1676"/>
    </row>
    <row r="9" spans="1:5" ht="15.75">
      <c r="A9" s="1676"/>
      <c r="B9" s="3676"/>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667" t="str">
        <f>结果表!E107</f>
        <v>——</v>
      </c>
      <c r="C13" s="1684" t="s">
        <v>1588</v>
      </c>
      <c r="D13" s="962" t="str">
        <f>结果表!H107</f>
        <v>——</v>
      </c>
      <c r="E13" s="1676"/>
    </row>
    <row r="14" spans="1:5" ht="15.75">
      <c r="A14" s="1676"/>
      <c r="B14" s="3668"/>
      <c r="C14" s="1679" t="s">
        <v>1589</v>
      </c>
      <c r="D14" s="959" t="e">
        <f>NUMBERSTRING(INT(D13*10000),2)&amp;"元整"</f>
        <v>#VALUE!</v>
      </c>
      <c r="E14" s="1676"/>
    </row>
    <row r="15" spans="1:5" ht="15">
      <c r="A15" s="1676"/>
      <c r="B15" s="3673"/>
      <c r="C15" s="1680" t="s">
        <v>1599</v>
      </c>
      <c r="D15" s="968" t="e">
        <f>结果表!H108</f>
        <v>#VALUE!</v>
      </c>
      <c r="E15" s="1676"/>
    </row>
    <row r="16" spans="1:5" ht="15">
      <c r="A16" s="1676"/>
      <c r="B16" s="3674" t="str">
        <f>结果表!E109</f>
        <v>3.抵押担保权已注销时的房地产抵押价值</v>
      </c>
      <c r="C16" s="1684" t="s">
        <v>1600</v>
      </c>
      <c r="D16" s="1685">
        <f ca="1">结果表!H109</f>
        <v>357</v>
      </c>
      <c r="E16" s="1676"/>
    </row>
    <row r="17" spans="1:5" ht="15.75">
      <c r="A17" s="1676"/>
      <c r="B17" s="3675"/>
      <c r="C17" s="1679" t="s">
        <v>1601</v>
      </c>
      <c r="D17" s="959" t="str">
        <f ca="1">NUMBERSTRING(INT(D16*10000),2)&amp;"元整"</f>
        <v>叁佰伍拾柒万元整</v>
      </c>
      <c r="E17" s="1676"/>
    </row>
    <row r="18" spans="1:5" ht="15">
      <c r="A18" s="1676"/>
      <c r="B18" s="3676"/>
      <c r="C18" s="1680" t="s">
        <v>1590</v>
      </c>
      <c r="D18" s="968">
        <f ca="1">结果表!H110</f>
        <v>11383</v>
      </c>
      <c r="E18" s="1676"/>
    </row>
    <row r="19" spans="1:5" ht="15.75">
      <c r="A19" s="1676"/>
      <c r="B19" s="3667" t="str">
        <f>结果表!E111</f>
        <v>——</v>
      </c>
      <c r="C19" s="1684" t="s">
        <v>1588</v>
      </c>
      <c r="D19" s="960" t="str">
        <f>结果表!H111</f>
        <v>——</v>
      </c>
      <c r="E19" s="1676"/>
    </row>
    <row r="20" spans="1:5" ht="15.75">
      <c r="A20" s="1676"/>
      <c r="B20" s="3668"/>
      <c r="C20" s="1679" t="s">
        <v>1601</v>
      </c>
      <c r="D20" s="959" t="e">
        <f>NUMBERSTRING(INT(D19*10000),2)&amp;"元整"</f>
        <v>#VALUE!</v>
      </c>
      <c r="E20" s="1676"/>
    </row>
    <row r="21" spans="1:5" ht="15.75" thickBot="1">
      <c r="A21" s="1676"/>
      <c r="B21" s="3669"/>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4012" t="s">
        <v>1117</v>
      </c>
      <c r="C1" s="4012"/>
      <c r="D1" s="4012"/>
      <c r="E1" s="4012"/>
      <c r="F1" s="4012"/>
      <c r="G1" s="4008" t="s">
        <v>1118</v>
      </c>
      <c r="H1" s="4008"/>
      <c r="I1" s="4008"/>
      <c r="J1" s="4008"/>
      <c r="K1" s="4008"/>
      <c r="L1" s="4008"/>
      <c r="N1" s="4008" t="s">
        <v>1119</v>
      </c>
      <c r="O1" s="4008"/>
      <c r="P1" s="4008"/>
      <c r="Q1" s="4008"/>
      <c r="S1" s="4008" t="s">
        <v>1120</v>
      </c>
      <c r="T1" s="4008"/>
      <c r="U1" s="4008"/>
      <c r="V1" s="4008"/>
      <c r="X1" s="4007" t="s">
        <v>1121</v>
      </c>
      <c r="Y1" s="4008"/>
      <c r="Z1" s="4008"/>
      <c r="AA1" s="4008"/>
      <c r="AB1" s="4008"/>
      <c r="AD1" s="4007" t="s">
        <v>1122</v>
      </c>
      <c r="AE1" s="4008"/>
      <c r="AF1" s="4008"/>
      <c r="AG1" s="4008"/>
      <c r="AH1" s="400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4010">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4010"/>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4010"/>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4017"/>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4013">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4010"/>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4010"/>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4017"/>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4013">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4010"/>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4010"/>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4011"/>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4009">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4010"/>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4010"/>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4011"/>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4009">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4010"/>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4010"/>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4011"/>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4014">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4015"/>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4015"/>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4016"/>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4009">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4010"/>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4010"/>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4011"/>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4009">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4010">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4010">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4011">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4009">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4010">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4010">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4011">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4009">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4010">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4010">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4011">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4009">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4010">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4010">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4011">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4009">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4010">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4010">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4011">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4009">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4010">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4010">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4011">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4009">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4010">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4010">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4011">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4009">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4010">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4010">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4011">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4009">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4010">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4010">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4011">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4009">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4010">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4010">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4011">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4021" t="s">
        <v>2826</v>
      </c>
      <c r="D1" s="4022"/>
      <c r="E1" s="4022"/>
      <c r="F1" s="4022"/>
      <c r="G1" s="4022"/>
      <c r="H1" s="4022"/>
      <c r="I1" s="4022"/>
      <c r="J1" s="4022"/>
      <c r="K1" s="4022"/>
      <c r="L1" s="4022"/>
      <c r="M1" s="4022"/>
      <c r="N1" s="4022"/>
      <c r="O1" s="4022"/>
      <c r="P1" s="4022"/>
      <c r="Q1" s="4022"/>
      <c r="R1" s="4022"/>
      <c r="S1" s="4023"/>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4018" t="s">
        <v>33</v>
      </c>
      <c r="D22" s="4019"/>
      <c r="E22" s="4019"/>
      <c r="F22" s="4019"/>
      <c r="G22" s="4019"/>
      <c r="H22" s="4019"/>
      <c r="I22" s="4019"/>
      <c r="J22" s="4019"/>
      <c r="K22" s="4019"/>
      <c r="L22" s="4019"/>
      <c r="M22" s="4019"/>
      <c r="N22" s="4019"/>
      <c r="O22" s="4019"/>
      <c r="P22" s="4019"/>
      <c r="Q22" s="4020"/>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25630</v>
      </c>
      <c r="C2" s="2" t="s">
        <v>133</v>
      </c>
      <c r="D2" s="205"/>
      <c r="E2" s="205"/>
      <c r="F2" s="205"/>
      <c r="G2" s="205"/>
    </row>
    <row r="3" spans="1:7" s="206" customFormat="1" ht="18" customHeight="1" thickBot="1">
      <c r="A3" s="209" t="s">
        <v>85</v>
      </c>
      <c r="B3" s="210">
        <f ca="1">ROUND(B2*10000/'数据-汇总表'!E3,0)</f>
        <v>817205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313.63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v>
      </c>
      <c r="D19" s="958">
        <f>'数据-汇总表'!E3</f>
        <v>313.63</v>
      </c>
      <c r="E19" s="217">
        <f>'数据-取费表'!B31</f>
        <v>200</v>
      </c>
      <c r="F19" s="237"/>
      <c r="G19" s="1" t="s">
        <v>1042</v>
      </c>
    </row>
    <row r="20" spans="1:7" s="220" customFormat="1" ht="13.5" customHeight="1">
      <c r="A20" s="885" t="s">
        <v>1025</v>
      </c>
      <c r="B20" s="216" t="s">
        <v>104</v>
      </c>
      <c r="C20" s="238">
        <f>ROUND((C5+C19)*F20,0)</f>
        <v>618</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1220</v>
      </c>
      <c r="D22" s="241">
        <f ca="1">C26</f>
        <v>6.9999999999999999E-4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1062</v>
      </c>
      <c r="D27" s="241">
        <f>C29</f>
        <v>1.2999999999999999E-3</v>
      </c>
      <c r="E27" s="242" t="s">
        <v>126</v>
      </c>
      <c r="F27" s="252">
        <f>'数据-取费表'!Q16</f>
        <v>0.05</v>
      </c>
      <c r="G27" s="253" t="s">
        <v>1037</v>
      </c>
    </row>
    <row r="28" spans="1:7" s="220" customFormat="1" ht="13.5" customHeight="1">
      <c r="A28" s="888" t="s">
        <v>794</v>
      </c>
      <c r="B28" s="254" t="s">
        <v>1030</v>
      </c>
      <c r="C28" s="255">
        <f>ROUND((C5+C19+C20)*F27*'数据-取费表'!B21/'数据-取费表'!B20,0)</f>
        <v>1062</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25544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8" t="s">
        <v>796</v>
      </c>
      <c r="B35" s="221" t="s">
        <v>60</v>
      </c>
      <c r="C35" s="226">
        <f>ROUND(C34*F35,0)</f>
        <v>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313.63</v>
      </c>
      <c r="E37" s="255">
        <f>'数据-取费表'!B35</f>
        <v>140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878" t="s">
        <v>121</v>
      </c>
    </row>
    <row r="43" spans="1:7" ht="13.5" customHeight="1">
      <c r="A43" s="888" t="s">
        <v>792</v>
      </c>
      <c r="B43" s="221" t="s">
        <v>1032</v>
      </c>
      <c r="C43" s="244">
        <f ca="1">ROUND(IF('数据-取费表'!B22&lt;=1,C39*F22*'数据-取费表'!B21/2,C39*(POWER((1+F22),'数据-取费表'!B21/2)-1)),0)</f>
        <v>0</v>
      </c>
      <c r="D43" s="244"/>
      <c r="E43" s="244"/>
      <c r="F43" s="245"/>
      <c r="G43" s="3879"/>
    </row>
    <row r="44" spans="1:7" ht="13.5" customHeight="1">
      <c r="A44" s="888" t="s">
        <v>793</v>
      </c>
      <c r="B44" s="221" t="s">
        <v>1034</v>
      </c>
      <c r="C44" s="244">
        <f ca="1">ROUND(IF('数据-取费表'!B22&lt;=1,C40*F22*'数据-取费表'!B21/2,C40*(POWER((1+F22),'数据-取费表'!B21/2)-1)),4)</f>
        <v>5.0000000000000001E-4</v>
      </c>
      <c r="D44" s="244"/>
      <c r="E44" s="244"/>
      <c r="F44" s="245"/>
      <c r="G44" s="3880"/>
    </row>
    <row r="45" spans="1:7" s="220" customFormat="1" ht="13.5" customHeight="1">
      <c r="A45" s="885" t="s">
        <v>786</v>
      </c>
      <c r="B45" s="250" t="s">
        <v>112</v>
      </c>
      <c r="C45" s="251">
        <f>C46</f>
        <v>5</v>
      </c>
      <c r="D45" s="241">
        <f>C47</f>
        <v>1.2999999999999999E-3</v>
      </c>
      <c r="E45" s="242" t="s">
        <v>129</v>
      </c>
      <c r="F45" s="252"/>
      <c r="G45" s="253" t="s">
        <v>1040</v>
      </c>
    </row>
    <row r="46" spans="1:7" s="220" customFormat="1" ht="13.5" customHeight="1">
      <c r="A46" s="888" t="s">
        <v>794</v>
      </c>
      <c r="B46" s="254" t="s">
        <v>1033</v>
      </c>
      <c r="C46" s="255">
        <f>ROUND((C33+C39)*F27,0)</f>
        <v>5</v>
      </c>
      <c r="D46" s="269"/>
      <c r="E46" s="242"/>
      <c r="F46" s="252"/>
      <c r="G46" s="253"/>
    </row>
    <row r="47" spans="1:7" s="220" customFormat="1" ht="13.5" customHeight="1">
      <c r="A47" s="888" t="s">
        <v>792</v>
      </c>
      <c r="B47" s="254" t="s">
        <v>1035</v>
      </c>
      <c r="C47" s="244">
        <f>ROUND(C40*F27,4)</f>
        <v>1.2999999999999999E-3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105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86</v>
      </c>
      <c r="D51" s="238"/>
      <c r="E51" s="238"/>
      <c r="F51" s="270"/>
      <c r="G51" s="240" t="s">
        <v>64</v>
      </c>
    </row>
    <row r="52" spans="1:7" s="214" customFormat="1" ht="16.5" thickBot="1">
      <c r="A52" s="271" t="s">
        <v>65</v>
      </c>
      <c r="B52" s="272"/>
      <c r="C52" s="273">
        <f ca="1">C31+C51</f>
        <v>25630</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4024" t="s">
        <v>156</v>
      </c>
      <c r="B1" s="4024"/>
      <c r="C1" s="4024"/>
      <c r="D1" s="4024"/>
      <c r="E1" s="4024"/>
      <c r="F1" s="40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025" t="s">
        <v>169</v>
      </c>
      <c r="B2" s="4025"/>
      <c r="C2" s="4025"/>
      <c r="D2" s="4025"/>
      <c r="E2" s="4025"/>
      <c r="F2" s="40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0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0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4024" t="s">
        <v>839</v>
      </c>
      <c r="B1" s="40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D259"/>
  <sheetViews>
    <sheetView view="pageBreakPreview" topLeftCell="A40" zoomScale="70" zoomScaleNormal="95" zoomScaleSheetLayoutView="70" workbookViewId="0">
      <selection activeCell="F68" sqref="F6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3088</v>
      </c>
      <c r="B1" s="3061"/>
      <c r="C1" s="3062" t="s">
        <v>3089</v>
      </c>
      <c r="D1" s="3063" t="s">
        <v>3090</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3091</v>
      </c>
      <c r="B2" s="3073">
        <f>F68</f>
        <v>174</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3092</v>
      </c>
      <c r="B3" s="3080">
        <f>ROUND(B2*10000/'[2]数据-汇总表'!E3,0)</f>
        <v>8785</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3093</v>
      </c>
      <c r="B4" s="3086">
        <f>IF(B48="单位面积地价",C50,ROUND(B2*10000/'[2]数据-汇总表'!D3,0))</f>
        <v>1203</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ROUND(B2/('[2]数据-汇总表'!D3/666.67),0)</f>
        <v>80</v>
      </c>
      <c r="C5" s="3088" t="s">
        <v>3094</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3095</v>
      </c>
      <c r="B6" s="3090"/>
      <c r="C6" s="4056" t="s">
        <v>3096</v>
      </c>
      <c r="D6" s="4057"/>
      <c r="E6" s="4056" t="s">
        <v>3097</v>
      </c>
      <c r="F6" s="4057"/>
      <c r="G6" s="4056" t="s">
        <v>3098</v>
      </c>
      <c r="H6" s="4057"/>
      <c r="I6" s="4056" t="s">
        <v>3099</v>
      </c>
      <c r="J6" s="4057"/>
      <c r="K6" s="3091" t="s">
        <v>3100</v>
      </c>
      <c r="L6" s="3092"/>
      <c r="M6" s="3069"/>
      <c r="N6" s="3069"/>
      <c r="O6" s="3093"/>
      <c r="P6" s="4058" t="s">
        <v>3101</v>
      </c>
      <c r="Q6" s="4059"/>
      <c r="R6" s="4046" t="s">
        <v>3097</v>
      </c>
      <c r="S6" s="4047"/>
      <c r="T6" s="4046" t="s">
        <v>3098</v>
      </c>
      <c r="U6" s="4047"/>
      <c r="V6" s="4042" t="s">
        <v>3099</v>
      </c>
      <c r="W6" s="4042"/>
      <c r="X6" s="3094"/>
      <c r="Y6" s="4046" t="s">
        <v>3101</v>
      </c>
      <c r="Z6" s="4047"/>
      <c r="AA6" s="4052" t="s">
        <v>3097</v>
      </c>
      <c r="AB6" s="4053" t="s">
        <v>3098</v>
      </c>
      <c r="AC6" s="4052" t="s">
        <v>3099</v>
      </c>
    </row>
    <row r="7" spans="1:30" ht="36.75" customHeight="1">
      <c r="A7" s="3096"/>
      <c r="B7" s="3097"/>
      <c r="C7" s="4064" t="str">
        <f>[2]项目基本情况!F10</f>
        <v>爱丹路1709号101</v>
      </c>
      <c r="D7" s="4065"/>
      <c r="E7" s="4066" t="str">
        <f>'土地案例（延吉）'!A11</f>
        <v>延吉市开发区人民路北侧</v>
      </c>
      <c r="F7" s="4065"/>
      <c r="G7" s="4066" t="str">
        <f>'土地案例（延吉）'!A18</f>
        <v>延吉市北山街,延北路南侧、朝阳街西侧</v>
      </c>
      <c r="H7" s="4065"/>
      <c r="I7" s="4066" t="str">
        <f>'土地案例（延吉）'!A26</f>
        <v>延吉市小营镇民主村,公园路北侧(高铁变电所东侧)</v>
      </c>
      <c r="J7" s="4065"/>
      <c r="K7" s="3091"/>
      <c r="L7" s="3092"/>
      <c r="M7" s="3069"/>
      <c r="N7" s="3069"/>
      <c r="O7" s="3093"/>
      <c r="P7" s="4060"/>
      <c r="Q7" s="4061"/>
      <c r="R7" s="4048"/>
      <c r="S7" s="4049"/>
      <c r="T7" s="4048"/>
      <c r="U7" s="4049"/>
      <c r="V7" s="4042"/>
      <c r="W7" s="4042"/>
      <c r="X7" s="3094"/>
      <c r="Y7" s="4048"/>
      <c r="Z7" s="4049"/>
      <c r="AA7" s="4053"/>
      <c r="AB7" s="4053"/>
      <c r="AC7" s="4053"/>
    </row>
    <row r="8" spans="1:30" ht="21" thickBot="1">
      <c r="A8" s="3096"/>
      <c r="B8" s="3097"/>
      <c r="C8" s="4067" t="s">
        <v>3102</v>
      </c>
      <c r="D8" s="4068"/>
      <c r="E8" s="4067" t="s">
        <v>3102</v>
      </c>
      <c r="F8" s="4068"/>
      <c r="G8" s="4069" t="s">
        <v>3102</v>
      </c>
      <c r="H8" s="4070"/>
      <c r="I8" s="4069" t="s">
        <v>3102</v>
      </c>
      <c r="J8" s="4070"/>
      <c r="K8" s="3091" t="s">
        <v>3103</v>
      </c>
      <c r="L8" s="3092"/>
      <c r="M8" s="3069"/>
      <c r="N8" s="3069"/>
      <c r="O8" s="3093"/>
      <c r="P8" s="4062"/>
      <c r="Q8" s="4063"/>
      <c r="R8" s="4048"/>
      <c r="S8" s="4049"/>
      <c r="T8" s="4050"/>
      <c r="U8" s="4051"/>
      <c r="V8" s="4042"/>
      <c r="W8" s="4042"/>
      <c r="X8" s="3094"/>
      <c r="Y8" s="4050"/>
      <c r="Z8" s="4051"/>
      <c r="AA8" s="4054"/>
      <c r="AB8" s="4054"/>
      <c r="AC8" s="4054"/>
    </row>
    <row r="9" spans="1:30" s="3112" customFormat="1" ht="21" thickBot="1">
      <c r="A9" s="3098"/>
      <c r="B9" s="3099" t="s">
        <v>3104</v>
      </c>
      <c r="C9" s="3100">
        <f>'[2]数据-取费表'!B2</f>
        <v>44357</v>
      </c>
      <c r="D9" s="3101">
        <v>100</v>
      </c>
      <c r="E9" s="3102" t="str">
        <f>'[2]土地案例（白山市）'!K13</f>
        <v>2021-05-16</v>
      </c>
      <c r="F9" s="3103">
        <f>SUMIF(72:72,YEAR(E9)&amp;"-"&amp;INT((MONTH(E9)+2)/3),73:73)</f>
        <v>100</v>
      </c>
      <c r="G9" s="3104" t="str">
        <f>'[2]土地案例（白山市）'!K14</f>
        <v>2021-05-16</v>
      </c>
      <c r="H9" s="3101">
        <f>SUMIF(72:72,YEAR(G9)&amp;"-"&amp;INT((MONTH(G9)+2)/3),73:73)</f>
        <v>100</v>
      </c>
      <c r="I9" s="3104" t="str">
        <f>'[2]土地案例（白山市）'!K28</f>
        <v>2020-08-06</v>
      </c>
      <c r="J9" s="3101">
        <f>SUMIF(72:72,YEAR(I9)&amp;"-"&amp;INT((MONTH(I9)+2)/3),73:73)</f>
        <v>100</v>
      </c>
      <c r="K9" s="3105"/>
      <c r="L9" s="3106"/>
      <c r="M9" s="3069"/>
      <c r="N9" s="3069"/>
      <c r="O9" s="3107"/>
      <c r="P9" s="4043" t="s">
        <v>3105</v>
      </c>
      <c r="Q9" s="4055"/>
      <c r="R9" s="3108" t="s">
        <v>3106</v>
      </c>
      <c r="S9" s="3109">
        <f t="shared" ref="S9:S17" si="0">F9</f>
        <v>100</v>
      </c>
      <c r="T9" s="3108" t="s">
        <v>3106</v>
      </c>
      <c r="U9" s="3109">
        <f t="shared" ref="U9:U17" si="1">H9</f>
        <v>100</v>
      </c>
      <c r="V9" s="3108" t="s">
        <v>3106</v>
      </c>
      <c r="W9" s="3109">
        <f t="shared" ref="W9:W17" si="2">J9</f>
        <v>100</v>
      </c>
      <c r="X9" s="3110"/>
      <c r="Y9" s="4043" t="s">
        <v>3105</v>
      </c>
      <c r="Z9" s="4044"/>
      <c r="AA9" s="3111">
        <f>D9/F9</f>
        <v>1</v>
      </c>
      <c r="AB9" s="3111">
        <f>D9/H9</f>
        <v>1</v>
      </c>
      <c r="AC9" s="3111">
        <f>D9/J9</f>
        <v>1</v>
      </c>
    </row>
    <row r="10" spans="1:30" s="3112" customFormat="1" ht="21" thickBot="1">
      <c r="A10" s="3113"/>
      <c r="B10" s="3114" t="s">
        <v>3107</v>
      </c>
      <c r="C10" s="3115" t="s">
        <v>3108</v>
      </c>
      <c r="D10" s="3101">
        <v>100</v>
      </c>
      <c r="E10" s="3116" t="s">
        <v>3109</v>
      </c>
      <c r="F10" s="3103">
        <f>SUMIF(75:75,E10,76:76)-SUMIF(75:75,C10,76:76)+100</f>
        <v>100</v>
      </c>
      <c r="G10" s="3116" t="s">
        <v>3109</v>
      </c>
      <c r="H10" s="3101">
        <f>SUMIF(75:75,G10,76:76)-SUMIF(75:75,C10,76:76)+100</f>
        <v>100</v>
      </c>
      <c r="I10" s="3116" t="s">
        <v>3109</v>
      </c>
      <c r="J10" s="3101">
        <f>SUMIF(75:75,I10,76:76)-SUMIF(75:75,C10,76:76)+100</f>
        <v>100</v>
      </c>
      <c r="K10" s="3105"/>
      <c r="L10" s="3106"/>
      <c r="M10" s="3069"/>
      <c r="N10" s="3069"/>
      <c r="O10" s="3107"/>
      <c r="P10" s="4043" t="s">
        <v>3110</v>
      </c>
      <c r="Q10" s="4044"/>
      <c r="R10" s="3108" t="s">
        <v>3106</v>
      </c>
      <c r="S10" s="3109">
        <f t="shared" si="0"/>
        <v>100</v>
      </c>
      <c r="T10" s="3108" t="s">
        <v>3106</v>
      </c>
      <c r="U10" s="3109">
        <f t="shared" si="1"/>
        <v>100</v>
      </c>
      <c r="V10" s="3108" t="s">
        <v>3106</v>
      </c>
      <c r="W10" s="3109">
        <f t="shared" si="2"/>
        <v>100</v>
      </c>
      <c r="X10" s="3110"/>
      <c r="Y10" s="4043" t="s">
        <v>3110</v>
      </c>
      <c r="Z10" s="4044"/>
      <c r="AA10" s="3111">
        <f t="shared" ref="AA10:AA47" si="3">D10/F10</f>
        <v>1</v>
      </c>
      <c r="AB10" s="3111">
        <f t="shared" ref="AB10:AB47" si="4">D10/H10</f>
        <v>1</v>
      </c>
      <c r="AC10" s="3111">
        <f t="shared" ref="AC10:AC47" si="5">D10/J10</f>
        <v>1</v>
      </c>
    </row>
    <row r="11" spans="1:30" s="3112" customFormat="1" ht="20.25">
      <c r="A11" s="3117"/>
      <c r="B11" s="3118" t="s">
        <v>3111</v>
      </c>
      <c r="C11" s="3119" t="s">
        <v>3112</v>
      </c>
      <c r="D11" s="3120">
        <v>100</v>
      </c>
      <c r="E11" s="3121" t="s">
        <v>3112</v>
      </c>
      <c r="F11" s="3120">
        <f>SUMIF(77:77,E11,78:78)-SUMIF(77:77,C11,78:78)+100</f>
        <v>100</v>
      </c>
      <c r="G11" s="3121" t="s">
        <v>3112</v>
      </c>
      <c r="H11" s="3120">
        <f>SUMIF(77:77,G11,78:78)-SUMIF(77:77,C11,78:78)+100</f>
        <v>100</v>
      </c>
      <c r="I11" s="3121" t="s">
        <v>3113</v>
      </c>
      <c r="J11" s="3120">
        <f>SUMIF(77:77,I11,78:78)-SUMIF(77:77,C11,78:78)+100</f>
        <v>100</v>
      </c>
      <c r="K11" s="3105"/>
      <c r="L11" s="3106"/>
      <c r="M11" s="3069"/>
      <c r="N11" s="3069"/>
      <c r="O11" s="3122"/>
      <c r="P11" s="4033" t="s">
        <v>3114</v>
      </c>
      <c r="Q11" s="3123" t="str">
        <f t="shared" ref="Q11:Q17" si="6">B11</f>
        <v>用途</v>
      </c>
      <c r="R11" s="3108" t="s">
        <v>3106</v>
      </c>
      <c r="S11" s="3109">
        <f t="shared" si="0"/>
        <v>100</v>
      </c>
      <c r="T11" s="3108" t="s">
        <v>3106</v>
      </c>
      <c r="U11" s="3109">
        <f t="shared" si="1"/>
        <v>100</v>
      </c>
      <c r="V11" s="3108" t="s">
        <v>3106</v>
      </c>
      <c r="W11" s="3109">
        <f t="shared" si="2"/>
        <v>100</v>
      </c>
      <c r="X11" s="3110"/>
      <c r="Y11" s="4045" t="s">
        <v>3115</v>
      </c>
      <c r="Z11" s="3124" t="str">
        <f t="shared" ref="Z11:Z17" si="7">Q11</f>
        <v>用途</v>
      </c>
      <c r="AA11" s="3111">
        <f t="shared" si="3"/>
        <v>1</v>
      </c>
      <c r="AB11" s="3111">
        <f t="shared" si="4"/>
        <v>1</v>
      </c>
      <c r="AC11" s="3111">
        <f t="shared" si="5"/>
        <v>1</v>
      </c>
    </row>
    <row r="12" spans="1:30" s="3133" customFormat="1" ht="27">
      <c r="A12" s="3125"/>
      <c r="B12" s="3114" t="s">
        <v>3116</v>
      </c>
      <c r="C12" s="3126"/>
      <c r="D12" s="3127">
        <v>100</v>
      </c>
      <c r="E12" s="3128"/>
      <c r="F12" s="3127">
        <f>ROUND(100/'[2]数据-取费表'!G16,0)</f>
        <v>100</v>
      </c>
      <c r="G12" s="3129"/>
      <c r="H12" s="3127">
        <f>ROUND(100/'[2]数据-取费表'!G16,0)</f>
        <v>100</v>
      </c>
      <c r="I12" s="3129"/>
      <c r="J12" s="3127">
        <f>ROUND(100/'[2]数据-取费表'!G16,0)</f>
        <v>100</v>
      </c>
      <c r="K12" s="3130"/>
      <c r="L12" s="3131"/>
      <c r="M12" s="3069"/>
      <c r="N12" s="3069"/>
      <c r="O12" s="3132"/>
      <c r="P12" s="4033"/>
      <c r="Q12" s="3123" t="str">
        <f t="shared" si="6"/>
        <v>土地使用年限（年）</v>
      </c>
      <c r="R12" s="3108" t="s">
        <v>3106</v>
      </c>
      <c r="S12" s="3109">
        <f t="shared" si="0"/>
        <v>100</v>
      </c>
      <c r="T12" s="3108" t="s">
        <v>3106</v>
      </c>
      <c r="U12" s="3109">
        <f t="shared" si="1"/>
        <v>100</v>
      </c>
      <c r="V12" s="3108" t="s">
        <v>3106</v>
      </c>
      <c r="W12" s="3109">
        <f t="shared" si="2"/>
        <v>100</v>
      </c>
      <c r="X12" s="3110"/>
      <c r="Y12" s="4045"/>
      <c r="Z12" s="3124" t="str">
        <f t="shared" si="7"/>
        <v>土地使用年限（年）</v>
      </c>
      <c r="AA12" s="3111">
        <f t="shared" si="3"/>
        <v>1</v>
      </c>
      <c r="AB12" s="3111">
        <f t="shared" si="4"/>
        <v>1</v>
      </c>
      <c r="AC12" s="3111">
        <f t="shared" si="5"/>
        <v>1</v>
      </c>
    </row>
    <row r="13" spans="1:30" ht="20.25">
      <c r="A13" s="3134"/>
      <c r="B13" s="3114" t="s">
        <v>3117</v>
      </c>
      <c r="C13" s="3135">
        <f>'[2]数据-汇总表'!I3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4033"/>
      <c r="Q13" s="3123" t="str">
        <f t="shared" si="6"/>
        <v>容积率</v>
      </c>
      <c r="R13" s="3108" t="s">
        <v>3106</v>
      </c>
      <c r="S13" s="3109">
        <f t="shared" si="0"/>
        <v>100</v>
      </c>
      <c r="T13" s="3108" t="s">
        <v>3106</v>
      </c>
      <c r="U13" s="3109">
        <f t="shared" si="1"/>
        <v>100</v>
      </c>
      <c r="V13" s="3108" t="s">
        <v>3106</v>
      </c>
      <c r="W13" s="3109">
        <f t="shared" si="2"/>
        <v>100</v>
      </c>
      <c r="X13" s="3110"/>
      <c r="Y13" s="4045"/>
      <c r="Z13" s="3124" t="str">
        <f t="shared" si="7"/>
        <v>容积率</v>
      </c>
      <c r="AA13" s="3111">
        <f t="shared" si="3"/>
        <v>1</v>
      </c>
      <c r="AB13" s="3111">
        <f t="shared" si="4"/>
        <v>1</v>
      </c>
      <c r="AC13" s="3111">
        <f t="shared" si="5"/>
        <v>1</v>
      </c>
    </row>
    <row r="14" spans="1:30" s="3112" customFormat="1" ht="20.25">
      <c r="A14" s="3113"/>
      <c r="B14" s="3140" t="s">
        <v>3118</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4033"/>
      <c r="Q14" s="3123" t="str">
        <f t="shared" si="6"/>
        <v>配建</v>
      </c>
      <c r="R14" s="3108" t="s">
        <v>3106</v>
      </c>
      <c r="S14" s="3109">
        <f t="shared" si="0"/>
        <v>100</v>
      </c>
      <c r="T14" s="3108" t="s">
        <v>3106</v>
      </c>
      <c r="U14" s="3109">
        <f t="shared" si="1"/>
        <v>100</v>
      </c>
      <c r="V14" s="3108" t="s">
        <v>3106</v>
      </c>
      <c r="W14" s="3109">
        <f t="shared" si="2"/>
        <v>100</v>
      </c>
      <c r="X14" s="3110"/>
      <c r="Y14" s="4045"/>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4033"/>
      <c r="Q15" s="3123">
        <f t="shared" si="6"/>
        <v>111</v>
      </c>
      <c r="R15" s="3108" t="s">
        <v>3106</v>
      </c>
      <c r="S15" s="3109">
        <f t="shared" si="0"/>
        <v>100</v>
      </c>
      <c r="T15" s="3108" t="s">
        <v>3106</v>
      </c>
      <c r="U15" s="3109">
        <f t="shared" si="1"/>
        <v>100</v>
      </c>
      <c r="V15" s="3108" t="s">
        <v>3106</v>
      </c>
      <c r="W15" s="3109">
        <f t="shared" si="2"/>
        <v>100</v>
      </c>
      <c r="X15" s="3110"/>
      <c r="Y15" s="4045"/>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4033"/>
      <c r="Q16" s="3123">
        <f t="shared" si="6"/>
        <v>111</v>
      </c>
      <c r="R16" s="3108" t="s">
        <v>3106</v>
      </c>
      <c r="S16" s="3109">
        <f t="shared" si="0"/>
        <v>100</v>
      </c>
      <c r="T16" s="3108" t="s">
        <v>3106</v>
      </c>
      <c r="U16" s="3109">
        <f t="shared" si="1"/>
        <v>100</v>
      </c>
      <c r="V16" s="3108" t="s">
        <v>3106</v>
      </c>
      <c r="W16" s="3109">
        <f t="shared" si="2"/>
        <v>100</v>
      </c>
      <c r="X16" s="3110"/>
      <c r="Y16" s="4045"/>
      <c r="Z16" s="3124">
        <f t="shared" si="7"/>
        <v>111</v>
      </c>
      <c r="AA16" s="3111">
        <f>D16/F16</f>
        <v>1</v>
      </c>
      <c r="AB16" s="3111">
        <f>D16/H16</f>
        <v>1</v>
      </c>
      <c r="AC16" s="3111">
        <f>D16/J16</f>
        <v>1</v>
      </c>
    </row>
    <row r="17" spans="1:29" ht="99.75">
      <c r="A17" s="3155" t="s">
        <v>3119</v>
      </c>
      <c r="B17" s="3156" t="s">
        <v>3120</v>
      </c>
      <c r="C17" s="3157" t="str">
        <f>[2]估价对象房地状况!C15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4035" t="s">
        <v>3121</v>
      </c>
      <c r="Q17" s="3162" t="str">
        <f t="shared" si="6"/>
        <v>居住社区成熟度</v>
      </c>
      <c r="R17" s="3163" t="s">
        <v>3106</v>
      </c>
      <c r="S17" s="3164">
        <f t="shared" si="0"/>
        <v>100</v>
      </c>
      <c r="T17" s="3163" t="s">
        <v>3106</v>
      </c>
      <c r="U17" s="3164">
        <f t="shared" si="1"/>
        <v>100</v>
      </c>
      <c r="V17" s="3163" t="s">
        <v>3106</v>
      </c>
      <c r="W17" s="3164">
        <f t="shared" si="2"/>
        <v>100</v>
      </c>
      <c r="X17" s="3094"/>
      <c r="Y17" s="4035" t="s">
        <v>3121</v>
      </c>
      <c r="Z17" s="3165" t="str">
        <f t="shared" si="7"/>
        <v>居住社区成熟度</v>
      </c>
      <c r="AA17" s="3166">
        <f t="shared" si="3"/>
        <v>1</v>
      </c>
      <c r="AB17" s="3166">
        <f t="shared" si="4"/>
        <v>1</v>
      </c>
      <c r="AC17" s="3166">
        <f t="shared" si="5"/>
        <v>1</v>
      </c>
    </row>
    <row r="18" spans="1:29" ht="20.25">
      <c r="A18" s="3167"/>
      <c r="B18" s="3168"/>
      <c r="C18" s="3169" t="s">
        <v>3122</v>
      </c>
      <c r="D18" s="3170"/>
      <c r="E18" s="3171" t="s">
        <v>3122</v>
      </c>
      <c r="F18" s="3172"/>
      <c r="G18" s="3173" t="s">
        <v>3122</v>
      </c>
      <c r="H18" s="3174"/>
      <c r="I18" s="3171" t="s">
        <v>3122</v>
      </c>
      <c r="J18" s="3172"/>
      <c r="K18" s="3130"/>
      <c r="L18" s="3150"/>
      <c r="M18" s="3069"/>
      <c r="N18" s="3069"/>
      <c r="O18" s="3139"/>
      <c r="P18" s="4036"/>
      <c r="Q18" s="3162"/>
      <c r="R18" s="3163"/>
      <c r="S18" s="3164"/>
      <c r="T18" s="3163"/>
      <c r="U18" s="3164"/>
      <c r="V18" s="3163"/>
      <c r="W18" s="3164"/>
      <c r="X18" s="3094"/>
      <c r="Y18" s="4036"/>
      <c r="Z18" s="3165"/>
      <c r="AA18" s="3166">
        <v>1</v>
      </c>
      <c r="AB18" s="3166">
        <v>1</v>
      </c>
      <c r="AC18" s="3166">
        <v>1</v>
      </c>
    </row>
    <row r="19" spans="1:29" ht="71.25">
      <c r="A19" s="3167"/>
      <c r="B19" s="3175" t="s">
        <v>3124</v>
      </c>
      <c r="C19" s="3176" t="str">
        <f>[2]估价对象房地状况!C16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4036"/>
      <c r="Q19" s="3162" t="str">
        <f>B19</f>
        <v>商业繁华度</v>
      </c>
      <c r="R19" s="3163" t="s">
        <v>3106</v>
      </c>
      <c r="S19" s="3164">
        <f>F19</f>
        <v>98</v>
      </c>
      <c r="T19" s="3163" t="s">
        <v>3106</v>
      </c>
      <c r="U19" s="3164">
        <f>H19</f>
        <v>98</v>
      </c>
      <c r="V19" s="3163" t="s">
        <v>3106</v>
      </c>
      <c r="W19" s="3164">
        <f>J19</f>
        <v>98</v>
      </c>
      <c r="X19" s="3094"/>
      <c r="Y19" s="4036"/>
      <c r="Z19" s="3165" t="str">
        <f>Q19</f>
        <v>商业繁华度</v>
      </c>
      <c r="AA19" s="3166">
        <f t="shared" si="3"/>
        <v>1.0204081632653061</v>
      </c>
      <c r="AB19" s="3166">
        <f t="shared" si="4"/>
        <v>1.0204081632653061</v>
      </c>
      <c r="AC19" s="3166">
        <f t="shared" si="5"/>
        <v>1.0204081632653061</v>
      </c>
    </row>
    <row r="20" spans="1:29" ht="20.25">
      <c r="A20" s="3167"/>
      <c r="B20" s="3181"/>
      <c r="C20" s="3182" t="s">
        <v>3122</v>
      </c>
      <c r="D20" s="3177"/>
      <c r="E20" s="3183" t="s">
        <v>3123</v>
      </c>
      <c r="F20" s="3174"/>
      <c r="G20" s="3184" t="s">
        <v>3123</v>
      </c>
      <c r="H20" s="3172"/>
      <c r="I20" s="3183" t="s">
        <v>3123</v>
      </c>
      <c r="J20" s="3172"/>
      <c r="K20" s="3130"/>
      <c r="L20" s="3150"/>
      <c r="M20" s="3069"/>
      <c r="N20" s="3069"/>
      <c r="O20" s="3139"/>
      <c r="P20" s="4036"/>
      <c r="Q20" s="3162"/>
      <c r="R20" s="3163"/>
      <c r="S20" s="3164"/>
      <c r="T20" s="3163"/>
      <c r="U20" s="3164"/>
      <c r="V20" s="3163"/>
      <c r="W20" s="3164"/>
      <c r="X20" s="3094"/>
      <c r="Y20" s="4036"/>
      <c r="Z20" s="3165"/>
      <c r="AA20" s="3166">
        <v>1</v>
      </c>
      <c r="AB20" s="3166">
        <v>1</v>
      </c>
      <c r="AC20" s="3166">
        <v>1</v>
      </c>
    </row>
    <row r="21" spans="1:29" ht="71.25" hidden="1">
      <c r="A21" s="3167"/>
      <c r="B21" s="3175" t="s">
        <v>3125</v>
      </c>
      <c r="C21" s="3176" t="str">
        <f>[2]估价对象房地状况!C17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4036"/>
      <c r="Q21" s="3162" t="str">
        <f>B21</f>
        <v>办公集聚程度</v>
      </c>
      <c r="R21" s="3163" t="s">
        <v>3106</v>
      </c>
      <c r="S21" s="3164">
        <f>F21</f>
        <v>100</v>
      </c>
      <c r="T21" s="3163" t="s">
        <v>3106</v>
      </c>
      <c r="U21" s="3164">
        <f>H21</f>
        <v>100</v>
      </c>
      <c r="V21" s="3163" t="s">
        <v>3106</v>
      </c>
      <c r="W21" s="3164">
        <f>J21</f>
        <v>100</v>
      </c>
      <c r="X21" s="3094"/>
      <c r="Y21" s="4036"/>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4036"/>
      <c r="Q22" s="3162"/>
      <c r="R22" s="3163"/>
      <c r="S22" s="3164"/>
      <c r="T22" s="3163"/>
      <c r="U22" s="3164"/>
      <c r="V22" s="3163"/>
      <c r="W22" s="3164"/>
      <c r="X22" s="3094"/>
      <c r="Y22" s="4036"/>
      <c r="Z22" s="3165"/>
      <c r="AA22" s="3166">
        <v>1</v>
      </c>
      <c r="AB22" s="3166">
        <v>1</v>
      </c>
      <c r="AC22" s="3166">
        <v>1</v>
      </c>
    </row>
    <row r="23" spans="1:29" ht="85.5">
      <c r="A23" s="3167"/>
      <c r="B23" s="3175" t="s">
        <v>3126</v>
      </c>
      <c r="C23" s="3188" t="str">
        <f>[2]估价对象房地状况!C18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4036"/>
      <c r="Q23" s="3162" t="str">
        <f>B23</f>
        <v>交通便捷度</v>
      </c>
      <c r="R23" s="3163" t="s">
        <v>3106</v>
      </c>
      <c r="S23" s="3164">
        <f>F23</f>
        <v>100</v>
      </c>
      <c r="T23" s="3163" t="s">
        <v>3106</v>
      </c>
      <c r="U23" s="3164">
        <f>H23</f>
        <v>100</v>
      </c>
      <c r="V23" s="3163" t="s">
        <v>3106</v>
      </c>
      <c r="W23" s="3164">
        <f>J23</f>
        <v>100</v>
      </c>
      <c r="X23" s="3094"/>
      <c r="Y23" s="4036"/>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4036"/>
      <c r="Q24" s="3162"/>
      <c r="R24" s="3163"/>
      <c r="S24" s="3164"/>
      <c r="T24" s="3163"/>
      <c r="U24" s="3164"/>
      <c r="V24" s="3163"/>
      <c r="W24" s="3164"/>
      <c r="X24" s="3094"/>
      <c r="Y24" s="4036"/>
      <c r="Z24" s="3165"/>
      <c r="AA24" s="3166">
        <v>1</v>
      </c>
      <c r="AB24" s="3166">
        <v>1</v>
      </c>
      <c r="AC24" s="3166">
        <v>1</v>
      </c>
    </row>
    <row r="25" spans="1:29" ht="27">
      <c r="A25" s="3096"/>
      <c r="B25" s="3189" t="s">
        <v>3127</v>
      </c>
      <c r="C25" s="3188">
        <f>[2]估价对象房地状况!C19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4036"/>
      <c r="Q25" s="3162" t="str">
        <f t="shared" ref="Q25:Q39" si="8">B25</f>
        <v>区域土地利用方向</v>
      </c>
      <c r="R25" s="3163" t="s">
        <v>3106</v>
      </c>
      <c r="S25" s="3164">
        <f>F25</f>
        <v>100</v>
      </c>
      <c r="T25" s="3163" t="s">
        <v>3106</v>
      </c>
      <c r="U25" s="3164">
        <f>H25</f>
        <v>100</v>
      </c>
      <c r="V25" s="3163" t="s">
        <v>3106</v>
      </c>
      <c r="W25" s="3164">
        <f>J25</f>
        <v>100</v>
      </c>
      <c r="X25" s="3094"/>
      <c r="Y25" s="4036"/>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4036"/>
      <c r="Q26" s="3162"/>
      <c r="R26" s="3163"/>
      <c r="S26" s="3164"/>
      <c r="T26" s="3163"/>
      <c r="U26" s="3164"/>
      <c r="V26" s="3163"/>
      <c r="W26" s="3164"/>
      <c r="X26" s="3094"/>
      <c r="Y26" s="4036"/>
      <c r="Z26" s="3165"/>
      <c r="AA26" s="3166"/>
      <c r="AB26" s="3166"/>
      <c r="AC26" s="3166"/>
    </row>
    <row r="27" spans="1:29" ht="57">
      <c r="A27" s="3096"/>
      <c r="B27" s="3156" t="s">
        <v>3128</v>
      </c>
      <c r="C27" s="3176" t="str">
        <f>[2]估价对象房地状况!C20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4036"/>
      <c r="Q27" s="3162" t="str">
        <f t="shared" si="8"/>
        <v>自然及人文环境状况</v>
      </c>
      <c r="R27" s="3163" t="s">
        <v>3106</v>
      </c>
      <c r="S27" s="3164">
        <f>F27</f>
        <v>100</v>
      </c>
      <c r="T27" s="3163" t="s">
        <v>3106</v>
      </c>
      <c r="U27" s="3164">
        <f>H27</f>
        <v>102</v>
      </c>
      <c r="V27" s="3163" t="s">
        <v>3106</v>
      </c>
      <c r="W27" s="3164">
        <f>J27</f>
        <v>100</v>
      </c>
      <c r="X27" s="3094"/>
      <c r="Y27" s="4036"/>
      <c r="Z27" s="3165" t="str">
        <f>Q27</f>
        <v>自然及人文环境状况</v>
      </c>
      <c r="AA27" s="3166">
        <f t="shared" si="3"/>
        <v>1</v>
      </c>
      <c r="AB27" s="3166">
        <f t="shared" si="4"/>
        <v>0.98039215686274506</v>
      </c>
      <c r="AC27" s="3166">
        <f t="shared" si="5"/>
        <v>1</v>
      </c>
    </row>
    <row r="28" spans="1:29" ht="20.25">
      <c r="A28" s="3096"/>
      <c r="B28" s="3181"/>
      <c r="C28" s="3169" t="s">
        <v>3123</v>
      </c>
      <c r="D28" s="3170"/>
      <c r="E28" s="3191" t="s">
        <v>3123</v>
      </c>
      <c r="F28" s="3172"/>
      <c r="G28" s="3169" t="s">
        <v>3122</v>
      </c>
      <c r="H28" s="3172"/>
      <c r="I28" s="3191" t="s">
        <v>3123</v>
      </c>
      <c r="J28" s="3172"/>
      <c r="K28" s="3130"/>
      <c r="L28" s="3150"/>
      <c r="M28" s="3069"/>
      <c r="N28" s="3069"/>
      <c r="O28" s="3139"/>
      <c r="P28" s="4036"/>
      <c r="Q28" s="3162"/>
      <c r="R28" s="3163"/>
      <c r="S28" s="3164"/>
      <c r="T28" s="3163"/>
      <c r="U28" s="3164"/>
      <c r="V28" s="3163"/>
      <c r="W28" s="3164"/>
      <c r="X28" s="3094"/>
      <c r="Y28" s="4036"/>
      <c r="Z28" s="3165"/>
      <c r="AA28" s="3166">
        <v>1</v>
      </c>
      <c r="AB28" s="3166">
        <v>1</v>
      </c>
      <c r="AC28" s="3166">
        <v>1</v>
      </c>
    </row>
    <row r="29" spans="1:29" s="3112" customFormat="1" ht="42.75">
      <c r="A29" s="3192"/>
      <c r="B29" s="3193" t="s">
        <v>3129</v>
      </c>
      <c r="C29" s="3188" t="str">
        <f>[2]估价对象房地状况!C21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4036"/>
      <c r="Q29" s="3123" t="str">
        <f t="shared" si="8"/>
        <v>公共配套设施</v>
      </c>
      <c r="R29" s="3108" t="s">
        <v>3106</v>
      </c>
      <c r="S29" s="3109">
        <f>F29</f>
        <v>100</v>
      </c>
      <c r="T29" s="3108" t="s">
        <v>3106</v>
      </c>
      <c r="U29" s="3109">
        <f>H29</f>
        <v>100</v>
      </c>
      <c r="V29" s="3108" t="s">
        <v>3106</v>
      </c>
      <c r="W29" s="3109">
        <f>J29</f>
        <v>100</v>
      </c>
      <c r="X29" s="3110"/>
      <c r="Y29" s="4036"/>
      <c r="Z29" s="3124" t="str">
        <f>Q29</f>
        <v>公共配套设施</v>
      </c>
      <c r="AA29" s="3166">
        <f>D29/F29</f>
        <v>1</v>
      </c>
      <c r="AB29" s="3166">
        <f>D29/H29</f>
        <v>1</v>
      </c>
      <c r="AC29" s="3166">
        <f>D29/J29</f>
        <v>1</v>
      </c>
    </row>
    <row r="30" spans="1:29" s="3112" customFormat="1" ht="20.25">
      <c r="A30" s="3192"/>
      <c r="B30" s="3181"/>
      <c r="C30" s="3194" t="s">
        <v>3122</v>
      </c>
      <c r="D30" s="3170"/>
      <c r="E30" s="3191" t="s">
        <v>3122</v>
      </c>
      <c r="F30" s="3172"/>
      <c r="G30" s="3169" t="s">
        <v>3122</v>
      </c>
      <c r="H30" s="3172"/>
      <c r="I30" s="3191" t="s">
        <v>3122</v>
      </c>
      <c r="J30" s="3172"/>
      <c r="K30" s="3130"/>
      <c r="L30" s="3106"/>
      <c r="M30" s="3069"/>
      <c r="N30" s="3069"/>
      <c r="O30" s="3122"/>
      <c r="P30" s="4036"/>
      <c r="Q30" s="3123"/>
      <c r="R30" s="3108"/>
      <c r="S30" s="3109"/>
      <c r="T30" s="3108"/>
      <c r="U30" s="3109"/>
      <c r="V30" s="3108"/>
      <c r="W30" s="3109"/>
      <c r="X30" s="3110"/>
      <c r="Y30" s="4036"/>
      <c r="Z30" s="3124"/>
      <c r="AA30" s="3166">
        <v>1</v>
      </c>
      <c r="AB30" s="3166">
        <v>1</v>
      </c>
      <c r="AC30" s="3166">
        <v>1</v>
      </c>
    </row>
    <row r="31" spans="1:29" s="3112" customFormat="1" ht="28.5">
      <c r="A31" s="3192"/>
      <c r="B31" s="3193" t="s">
        <v>3130</v>
      </c>
      <c r="C31" s="3188" t="str">
        <f>[2]估价对象房地状况!C22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4036"/>
      <c r="Q31" s="3123" t="str">
        <f t="shared" ref="Q31" si="9">B31</f>
        <v>基础设施水平</v>
      </c>
      <c r="R31" s="3108" t="s">
        <v>3106</v>
      </c>
      <c r="S31" s="3109">
        <f>F31</f>
        <v>100</v>
      </c>
      <c r="T31" s="3108" t="s">
        <v>3106</v>
      </c>
      <c r="U31" s="3109">
        <f>H31</f>
        <v>100</v>
      </c>
      <c r="V31" s="3108" t="s">
        <v>3106</v>
      </c>
      <c r="W31" s="3109">
        <f>J31</f>
        <v>100</v>
      </c>
      <c r="X31" s="3110"/>
      <c r="Y31" s="4036"/>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4036"/>
      <c r="Q32" s="3123"/>
      <c r="R32" s="3108"/>
      <c r="S32" s="3109"/>
      <c r="T32" s="3108"/>
      <c r="U32" s="3109"/>
      <c r="V32" s="3108"/>
      <c r="W32" s="3109"/>
      <c r="X32" s="3110"/>
      <c r="Y32" s="4036"/>
      <c r="Z32" s="3124"/>
      <c r="AA32" s="3166">
        <v>1</v>
      </c>
      <c r="AB32" s="3166">
        <v>1</v>
      </c>
      <c r="AC32" s="3166">
        <v>1</v>
      </c>
    </row>
    <row r="33" spans="1:29" ht="20.25">
      <c r="A33" s="3167"/>
      <c r="B33" s="3181" t="s">
        <v>3131</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4036"/>
      <c r="Q33" s="3162" t="str">
        <f t="shared" si="8"/>
        <v>临街状况</v>
      </c>
      <c r="R33" s="3163" t="s">
        <v>3106</v>
      </c>
      <c r="S33" s="3164">
        <f t="shared" ref="S33:S47" si="10">F33</f>
        <v>100</v>
      </c>
      <c r="T33" s="3163" t="s">
        <v>3106</v>
      </c>
      <c r="U33" s="3164">
        <f t="shared" ref="U33:U47" si="11">H33</f>
        <v>100</v>
      </c>
      <c r="V33" s="3163" t="s">
        <v>3106</v>
      </c>
      <c r="W33" s="3164">
        <f t="shared" ref="W33:W47" si="12">J33</f>
        <v>100</v>
      </c>
      <c r="X33" s="3094"/>
      <c r="Y33" s="4036"/>
      <c r="Z33" s="3165" t="str">
        <f t="shared" ref="Z33:Z47" si="13">Q33</f>
        <v>临街状况</v>
      </c>
      <c r="AA33" s="3166">
        <f t="shared" si="3"/>
        <v>1</v>
      </c>
      <c r="AB33" s="3166">
        <f t="shared" si="4"/>
        <v>1</v>
      </c>
      <c r="AC33" s="3166">
        <f t="shared" si="5"/>
        <v>1</v>
      </c>
    </row>
    <row r="34" spans="1:29" ht="27">
      <c r="A34" s="3167"/>
      <c r="B34" s="3156" t="s">
        <v>3132</v>
      </c>
      <c r="C34" s="3199" t="s">
        <v>3133</v>
      </c>
      <c r="D34" s="3177">
        <v>100</v>
      </c>
      <c r="E34" s="3200" t="s">
        <v>3134</v>
      </c>
      <c r="F34" s="3174">
        <f>SUMIF(108:108,E35,109:109)-SUMIF(108:108,C35,109:109)+100</f>
        <v>98</v>
      </c>
      <c r="G34" s="3199" t="s">
        <v>3135</v>
      </c>
      <c r="H34" s="3174">
        <f>SUMIF(108:108,G35,109:109)-SUMIF(108:108,C35,109:109)+100</f>
        <v>98</v>
      </c>
      <c r="I34" s="3200" t="s">
        <v>3136</v>
      </c>
      <c r="J34" s="3174">
        <f>SUMIF(108:108,I35,109:109)-SUMIF(108:108,C35,109:109)+100</f>
        <v>98</v>
      </c>
      <c r="K34" s="3137">
        <v>2</v>
      </c>
      <c r="L34" s="3150"/>
      <c r="M34" s="3069"/>
      <c r="N34" s="3069"/>
      <c r="O34" s="3139"/>
      <c r="P34" s="4036"/>
      <c r="Q34" s="3162" t="str">
        <f t="shared" si="8"/>
        <v>毗邻道路的类型与等级</v>
      </c>
      <c r="R34" s="3163" t="s">
        <v>3106</v>
      </c>
      <c r="S34" s="3164">
        <f t="shared" si="10"/>
        <v>98</v>
      </c>
      <c r="T34" s="3163" t="s">
        <v>3106</v>
      </c>
      <c r="U34" s="3164">
        <f t="shared" si="11"/>
        <v>98</v>
      </c>
      <c r="V34" s="3163" t="s">
        <v>3106</v>
      </c>
      <c r="W34" s="3164">
        <f t="shared" si="12"/>
        <v>98</v>
      </c>
      <c r="X34" s="3094"/>
      <c r="Y34" s="4036"/>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3137</v>
      </c>
      <c r="D35" s="3170"/>
      <c r="E35" s="3191" t="s">
        <v>3138</v>
      </c>
      <c r="F35" s="3172"/>
      <c r="G35" s="3169" t="s">
        <v>3138</v>
      </c>
      <c r="H35" s="3172"/>
      <c r="I35" s="3191" t="s">
        <v>3138</v>
      </c>
      <c r="J35" s="3172"/>
      <c r="K35" s="3201"/>
      <c r="L35" s="3150"/>
      <c r="M35" s="3069"/>
      <c r="N35" s="3069"/>
      <c r="O35" s="3139"/>
      <c r="P35" s="4036"/>
      <c r="Q35" s="3162"/>
      <c r="R35" s="3163"/>
      <c r="S35" s="3164"/>
      <c r="T35" s="3163"/>
      <c r="U35" s="3164"/>
      <c r="V35" s="3163"/>
      <c r="W35" s="3164"/>
      <c r="X35" s="3094"/>
      <c r="Y35" s="4036"/>
      <c r="Z35" s="3165"/>
      <c r="AA35" s="3166">
        <v>1</v>
      </c>
      <c r="AB35" s="3166">
        <v>1</v>
      </c>
      <c r="AC35" s="3166">
        <v>1</v>
      </c>
    </row>
    <row r="36" spans="1:29" ht="20.25">
      <c r="A36" s="3167"/>
      <c r="B36" s="3202" t="s">
        <v>3139</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4036"/>
      <c r="Q36" s="3162" t="str">
        <f t="shared" si="8"/>
        <v>土地级别</v>
      </c>
      <c r="R36" s="3163" t="s">
        <v>3106</v>
      </c>
      <c r="S36" s="3164">
        <f t="shared" si="10"/>
        <v>100</v>
      </c>
      <c r="T36" s="3163" t="s">
        <v>3106</v>
      </c>
      <c r="U36" s="3164">
        <f t="shared" si="11"/>
        <v>100</v>
      </c>
      <c r="V36" s="3163" t="s">
        <v>3106</v>
      </c>
      <c r="W36" s="3164">
        <f t="shared" si="12"/>
        <v>100</v>
      </c>
      <c r="X36" s="3094"/>
      <c r="Y36" s="4036"/>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4036"/>
      <c r="Q37" s="3162">
        <f t="shared" si="8"/>
        <v>111</v>
      </c>
      <c r="R37" s="3163" t="s">
        <v>3106</v>
      </c>
      <c r="S37" s="3164">
        <f t="shared" si="10"/>
        <v>100</v>
      </c>
      <c r="T37" s="3163" t="s">
        <v>3106</v>
      </c>
      <c r="U37" s="3164">
        <f t="shared" si="11"/>
        <v>100</v>
      </c>
      <c r="V37" s="3163" t="s">
        <v>3106</v>
      </c>
      <c r="W37" s="3164">
        <f t="shared" si="12"/>
        <v>100</v>
      </c>
      <c r="X37" s="3094"/>
      <c r="Y37" s="4036"/>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4040" t="s">
        <v>3140</v>
      </c>
      <c r="Q38" s="3162">
        <f t="shared" si="8"/>
        <v>111</v>
      </c>
      <c r="R38" s="3163" t="s">
        <v>3106</v>
      </c>
      <c r="S38" s="3164">
        <f t="shared" si="10"/>
        <v>100</v>
      </c>
      <c r="T38" s="3163" t="s">
        <v>3106</v>
      </c>
      <c r="U38" s="3164">
        <f t="shared" si="11"/>
        <v>100</v>
      </c>
      <c r="V38" s="3163" t="s">
        <v>3106</v>
      </c>
      <c r="W38" s="3164">
        <f t="shared" si="12"/>
        <v>100</v>
      </c>
      <c r="X38" s="3094"/>
      <c r="Y38" s="4041" t="s">
        <v>3140</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4041"/>
      <c r="Q39" s="3162">
        <f t="shared" si="8"/>
        <v>111</v>
      </c>
      <c r="R39" s="3215" t="s">
        <v>3106</v>
      </c>
      <c r="S39" s="3216">
        <f t="shared" si="10"/>
        <v>100</v>
      </c>
      <c r="T39" s="3215" t="s">
        <v>3106</v>
      </c>
      <c r="U39" s="3216">
        <f t="shared" si="11"/>
        <v>100</v>
      </c>
      <c r="V39" s="3215" t="s">
        <v>3106</v>
      </c>
      <c r="W39" s="3216">
        <f t="shared" si="12"/>
        <v>100</v>
      </c>
      <c r="X39" s="3217"/>
      <c r="Y39" s="4041"/>
      <c r="Z39" s="3218">
        <f t="shared" si="13"/>
        <v>111</v>
      </c>
      <c r="AA39" s="3166">
        <f t="shared" si="3"/>
        <v>1</v>
      </c>
      <c r="AB39" s="3166">
        <f t="shared" si="4"/>
        <v>1</v>
      </c>
      <c r="AC39" s="3166">
        <f t="shared" si="5"/>
        <v>1</v>
      </c>
    </row>
    <row r="40" spans="1:29" ht="20.25">
      <c r="A40" s="3220" t="s">
        <v>3141</v>
      </c>
      <c r="B40" s="3221" t="s">
        <v>3142</v>
      </c>
      <c r="C40" s="3222">
        <f>'[2]数据-汇总表'!D19</f>
        <v>1442.46</v>
      </c>
      <c r="D40" s="3223">
        <v>100</v>
      </c>
      <c r="E40" s="3222">
        <f>'土地案例（延吉）'!D11</f>
        <v>4215</v>
      </c>
      <c r="F40" s="3223">
        <f>LOOKUP(E40,119:119,120:120)-LOOKUP(C40,119:119,120:120)+100</f>
        <v>102</v>
      </c>
      <c r="G40" s="3222">
        <f>'土地案例（延吉）'!D18</f>
        <v>4485.03</v>
      </c>
      <c r="H40" s="3223">
        <f>LOOKUP(G40,119:119,120:120)-LOOKUP(C40,119:119,120:120)+100</f>
        <v>102</v>
      </c>
      <c r="I40" s="3224">
        <f>'土地案例（延吉）'!D26</f>
        <v>3989.14</v>
      </c>
      <c r="J40" s="3223">
        <f>LOOKUP(I40,119:119,120:120)-LOOKUP(C40,119:119,120:120)+100</f>
        <v>102</v>
      </c>
      <c r="K40" s="3201"/>
      <c r="L40" s="3150"/>
      <c r="M40" s="3069"/>
      <c r="N40" s="3069"/>
      <c r="O40" s="3139"/>
      <c r="P40" s="4041"/>
      <c r="Q40" s="3162" t="str">
        <f>B40</f>
        <v>宗地面积</v>
      </c>
      <c r="R40" s="3163" t="s">
        <v>3106</v>
      </c>
      <c r="S40" s="3164">
        <f t="shared" si="10"/>
        <v>102</v>
      </c>
      <c r="T40" s="3163" t="s">
        <v>3106</v>
      </c>
      <c r="U40" s="3164">
        <f t="shared" si="11"/>
        <v>102</v>
      </c>
      <c r="V40" s="3163" t="s">
        <v>3106</v>
      </c>
      <c r="W40" s="3164">
        <f t="shared" si="12"/>
        <v>102</v>
      </c>
      <c r="X40" s="3094"/>
      <c r="Y40" s="4041"/>
      <c r="Z40" s="3165" t="str">
        <f t="shared" si="13"/>
        <v>宗地面积</v>
      </c>
      <c r="AA40" s="3166">
        <f t="shared" si="3"/>
        <v>0.98039215686274506</v>
      </c>
      <c r="AB40" s="3166">
        <f t="shared" si="4"/>
        <v>0.98039215686274506</v>
      </c>
      <c r="AC40" s="3166">
        <f t="shared" si="5"/>
        <v>0.98039215686274506</v>
      </c>
    </row>
    <row r="41" spans="1:29" ht="20.25">
      <c r="A41" s="3225"/>
      <c r="B41" s="3226" t="s">
        <v>3143</v>
      </c>
      <c r="C41" s="3227" t="s">
        <v>3144</v>
      </c>
      <c r="D41" s="3147">
        <v>100</v>
      </c>
      <c r="E41" s="3227" t="s">
        <v>3144</v>
      </c>
      <c r="F41" s="3147">
        <f>SUMIF(121:121,E41,122:122)-SUMIF(121:121,C41,122:122)+100</f>
        <v>100</v>
      </c>
      <c r="G41" s="3227" t="s">
        <v>3144</v>
      </c>
      <c r="H41" s="3147">
        <f>SUMIF(121:121,G41,122:122)-SUMIF(121:121,C41,122:122)+100</f>
        <v>100</v>
      </c>
      <c r="I41" s="3227" t="s">
        <v>3144</v>
      </c>
      <c r="J41" s="3147">
        <f>SUMIF(121:121,I41,122:122)-SUMIF(121:121,C41,122:122)+100</f>
        <v>100</v>
      </c>
      <c r="K41" s="3203"/>
      <c r="L41" s="3150"/>
      <c r="M41" s="3069"/>
      <c r="N41" s="3069"/>
      <c r="O41" s="3139"/>
      <c r="P41" s="4041"/>
      <c r="Q41" s="3162" t="str">
        <f t="shared" ref="Q41:Q47" si="14">B41</f>
        <v>宗地形状</v>
      </c>
      <c r="R41" s="3163" t="s">
        <v>3106</v>
      </c>
      <c r="S41" s="3164">
        <f t="shared" si="10"/>
        <v>100</v>
      </c>
      <c r="T41" s="3163" t="s">
        <v>3106</v>
      </c>
      <c r="U41" s="3164">
        <f t="shared" si="11"/>
        <v>100</v>
      </c>
      <c r="V41" s="3163" t="s">
        <v>3106</v>
      </c>
      <c r="W41" s="3164">
        <f t="shared" si="12"/>
        <v>100</v>
      </c>
      <c r="X41" s="3094"/>
      <c r="Y41" s="4041"/>
      <c r="Z41" s="3165" t="str">
        <f t="shared" si="13"/>
        <v>宗地形状</v>
      </c>
      <c r="AA41" s="3166">
        <f t="shared" si="3"/>
        <v>1</v>
      </c>
      <c r="AB41" s="3166">
        <f t="shared" si="4"/>
        <v>1</v>
      </c>
      <c r="AC41" s="3166">
        <f t="shared" si="5"/>
        <v>1</v>
      </c>
    </row>
    <row r="42" spans="1:29" ht="20.25">
      <c r="A42" s="3225"/>
      <c r="B42" s="3226" t="s">
        <v>3145</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4041"/>
      <c r="Q42" s="3162" t="str">
        <f t="shared" si="14"/>
        <v>临街宽度及深度</v>
      </c>
      <c r="R42" s="3163" t="s">
        <v>3106</v>
      </c>
      <c r="S42" s="3164">
        <f t="shared" si="10"/>
        <v>100</v>
      </c>
      <c r="T42" s="3163" t="s">
        <v>3106</v>
      </c>
      <c r="U42" s="3164">
        <f t="shared" si="11"/>
        <v>100</v>
      </c>
      <c r="V42" s="3163" t="s">
        <v>3106</v>
      </c>
      <c r="W42" s="3164">
        <f t="shared" si="12"/>
        <v>100</v>
      </c>
      <c r="X42" s="3094"/>
      <c r="Y42" s="4041"/>
      <c r="Z42" s="3165" t="str">
        <f t="shared" si="13"/>
        <v>临街宽度及深度</v>
      </c>
      <c r="AA42" s="3166">
        <f t="shared" si="3"/>
        <v>1</v>
      </c>
      <c r="AB42" s="3166">
        <f t="shared" si="4"/>
        <v>1</v>
      </c>
      <c r="AC42" s="3166">
        <f t="shared" si="5"/>
        <v>1</v>
      </c>
    </row>
    <row r="43" spans="1:29" s="3112" customFormat="1" ht="20.25">
      <c r="A43" s="3228"/>
      <c r="B43" s="3229" t="s">
        <v>3146</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4041"/>
      <c r="Q43" s="3162" t="str">
        <f t="shared" si="14"/>
        <v>宗地开发程度</v>
      </c>
      <c r="R43" s="3108" t="s">
        <v>3106</v>
      </c>
      <c r="S43" s="3109">
        <f t="shared" si="10"/>
        <v>100</v>
      </c>
      <c r="T43" s="3108" t="s">
        <v>3106</v>
      </c>
      <c r="U43" s="3109">
        <f t="shared" si="11"/>
        <v>100</v>
      </c>
      <c r="V43" s="3108" t="s">
        <v>3106</v>
      </c>
      <c r="W43" s="3109">
        <f t="shared" si="12"/>
        <v>100</v>
      </c>
      <c r="X43" s="3110"/>
      <c r="Y43" s="4041"/>
      <c r="Z43" s="3124" t="str">
        <f t="shared" si="13"/>
        <v>宗地开发程度</v>
      </c>
      <c r="AA43" s="3111">
        <f t="shared" si="3"/>
        <v>1</v>
      </c>
      <c r="AB43" s="3111">
        <f t="shared" si="4"/>
        <v>1</v>
      </c>
      <c r="AC43" s="3111">
        <f t="shared" si="5"/>
        <v>1</v>
      </c>
    </row>
    <row r="44" spans="1:29" ht="20.25">
      <c r="A44" s="3225"/>
      <c r="B44" s="3226" t="s">
        <v>3147</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4041" t="s">
        <v>3140</v>
      </c>
      <c r="Q44" s="3162" t="str">
        <f t="shared" si="14"/>
        <v>工程地质条件</v>
      </c>
      <c r="R44" s="3163" t="s">
        <v>3106</v>
      </c>
      <c r="S44" s="3164">
        <f t="shared" si="10"/>
        <v>100</v>
      </c>
      <c r="T44" s="3163" t="s">
        <v>3106</v>
      </c>
      <c r="U44" s="3164">
        <f t="shared" si="11"/>
        <v>100</v>
      </c>
      <c r="V44" s="3163" t="s">
        <v>3106</v>
      </c>
      <c r="W44" s="3164">
        <f t="shared" si="12"/>
        <v>100</v>
      </c>
      <c r="X44" s="3094"/>
      <c r="Y44" s="4041" t="s">
        <v>3140</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4041"/>
      <c r="Q45" s="3162">
        <f t="shared" si="14"/>
        <v>111</v>
      </c>
      <c r="R45" s="3163" t="s">
        <v>3106</v>
      </c>
      <c r="S45" s="3164">
        <f t="shared" si="10"/>
        <v>100</v>
      </c>
      <c r="T45" s="3163" t="s">
        <v>3106</v>
      </c>
      <c r="U45" s="3164">
        <f t="shared" si="11"/>
        <v>100</v>
      </c>
      <c r="V45" s="3163" t="s">
        <v>3106</v>
      </c>
      <c r="W45" s="3164">
        <f t="shared" si="12"/>
        <v>100</v>
      </c>
      <c r="X45" s="3094"/>
      <c r="Y45" s="4041"/>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4041"/>
      <c r="Q46" s="3162">
        <f t="shared" si="14"/>
        <v>111</v>
      </c>
      <c r="R46" s="3163" t="s">
        <v>3106</v>
      </c>
      <c r="S46" s="3164">
        <f t="shared" si="10"/>
        <v>100</v>
      </c>
      <c r="T46" s="3163" t="s">
        <v>3106</v>
      </c>
      <c r="U46" s="3164">
        <f t="shared" si="11"/>
        <v>100</v>
      </c>
      <c r="V46" s="3163" t="s">
        <v>3106</v>
      </c>
      <c r="W46" s="3164">
        <f t="shared" si="12"/>
        <v>100</v>
      </c>
      <c r="X46" s="3094"/>
      <c r="Y46" s="4041"/>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4041"/>
      <c r="Q47" s="3162">
        <f t="shared" si="14"/>
        <v>111</v>
      </c>
      <c r="R47" s="3215" t="s">
        <v>3106</v>
      </c>
      <c r="S47" s="3216">
        <f t="shared" si="10"/>
        <v>100</v>
      </c>
      <c r="T47" s="3215" t="s">
        <v>3106</v>
      </c>
      <c r="U47" s="3216">
        <f t="shared" si="11"/>
        <v>100</v>
      </c>
      <c r="V47" s="3215" t="s">
        <v>3106</v>
      </c>
      <c r="W47" s="3216">
        <f t="shared" si="12"/>
        <v>100</v>
      </c>
      <c r="X47" s="3217"/>
      <c r="Y47" s="4041"/>
      <c r="Z47" s="3218">
        <f t="shared" si="13"/>
        <v>111</v>
      </c>
      <c r="AA47" s="3166">
        <f t="shared" si="3"/>
        <v>1</v>
      </c>
      <c r="AB47" s="3166">
        <f t="shared" si="4"/>
        <v>1</v>
      </c>
      <c r="AC47" s="3166">
        <f t="shared" si="5"/>
        <v>1</v>
      </c>
    </row>
    <row r="48" spans="1:29" ht="20.25">
      <c r="A48" s="3236" t="s">
        <v>3148</v>
      </c>
      <c r="B48" s="3237" t="s">
        <v>3149</v>
      </c>
      <c r="C48" s="3238" t="s">
        <v>3150</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4033" t="str">
        <f>A48</f>
        <v>成交单价</v>
      </c>
      <c r="Q48" s="4033"/>
      <c r="R48" s="4042">
        <f>E48</f>
        <v>1172</v>
      </c>
      <c r="S48" s="4042"/>
      <c r="T48" s="4042">
        <f>G48</f>
        <v>1247</v>
      </c>
      <c r="U48" s="4042"/>
      <c r="V48" s="4042">
        <f>I48</f>
        <v>1142</v>
      </c>
      <c r="W48" s="4042"/>
      <c r="X48" s="3247"/>
      <c r="Y48" s="3248"/>
      <c r="Z48" s="3247"/>
      <c r="AA48" s="3247"/>
      <c r="AB48" s="3247"/>
      <c r="AC48" s="3247"/>
    </row>
    <row r="49" spans="1:29" ht="21" thickBot="1">
      <c r="A49" s="3249" t="s">
        <v>3151</v>
      </c>
      <c r="B49" s="3250"/>
      <c r="C49" s="3251">
        <f>R50</f>
        <v>1203</v>
      </c>
      <c r="D49" s="3252" t="s">
        <v>2881</v>
      </c>
      <c r="E49" s="3251">
        <f>R49</f>
        <v>1196</v>
      </c>
      <c r="F49" s="3253"/>
      <c r="G49" s="3254">
        <f>T49</f>
        <v>1248</v>
      </c>
      <c r="H49" s="3253"/>
      <c r="I49" s="3251">
        <f>V49</f>
        <v>1166</v>
      </c>
      <c r="J49" s="3253"/>
      <c r="K49" s="3255">
        <f>F49+H49+J49</f>
        <v>0</v>
      </c>
      <c r="L49" s="3245"/>
      <c r="M49" s="3069"/>
      <c r="N49" s="3069"/>
      <c r="O49" s="3246"/>
      <c r="P49" s="4033" t="str">
        <f>A49</f>
        <v>比较价格（元/平方米）</v>
      </c>
      <c r="Q49" s="4033"/>
      <c r="R49" s="4034">
        <f>ROUND(PRODUCT(R48,AA9:AA47),0)</f>
        <v>1196</v>
      </c>
      <c r="S49" s="4034"/>
      <c r="T49" s="4034">
        <f>ROUND(PRODUCT(T48,AB9:AB47),0)</f>
        <v>1248</v>
      </c>
      <c r="U49" s="4034"/>
      <c r="V49" s="4034">
        <f>ROUND(PRODUCT(V48,AC9:AC47),0)</f>
        <v>1166</v>
      </c>
      <c r="W49" s="4034"/>
      <c r="X49" s="3247"/>
      <c r="Y49" s="3247"/>
      <c r="Z49" s="3247"/>
      <c r="AA49" s="3247"/>
      <c r="AB49" s="3247"/>
      <c r="AC49" s="3247"/>
    </row>
    <row r="50" spans="1:29" ht="21" thickBot="1">
      <c r="A50" s="3256" t="s">
        <v>3152</v>
      </c>
      <c r="B50" s="3257"/>
      <c r="C50" s="3258">
        <f>R50</f>
        <v>1203</v>
      </c>
      <c r="D50" s="3258"/>
      <c r="E50" s="3258"/>
      <c r="F50" s="3258"/>
      <c r="G50" s="3258"/>
      <c r="H50" s="3258"/>
      <c r="I50" s="3258"/>
      <c r="J50" s="3258"/>
      <c r="K50" s="3259"/>
      <c r="L50" s="3245"/>
      <c r="M50" s="3069"/>
      <c r="N50" s="3069"/>
      <c r="O50" s="3246"/>
      <c r="P50" s="4037" t="str">
        <f>A50</f>
        <v>估价对象商业用房的比较价格（楼面单价，元/平方米）</v>
      </c>
      <c r="Q50" s="4038"/>
      <c r="R50" s="4039">
        <f>ROUND(IF(D49="简单平均",AVERAGE(R49:W49),R49*F49+T49*H49+V49*J49),0)</f>
        <v>1203</v>
      </c>
      <c r="S50" s="4039"/>
      <c r="T50" s="4039"/>
      <c r="U50" s="4039"/>
      <c r="V50" s="4039"/>
      <c r="W50" s="4039"/>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3153</v>
      </c>
      <c r="D53" s="3265"/>
      <c r="E53" s="3266">
        <f>IF(E48&lt;E49,E49/E48-1,E48/E49-1)</f>
        <v>2.0477815699658786E-2</v>
      </c>
      <c r="F53" s="3267" t="str">
        <f>IF(OR(E53&gt;=0.3,E53&lt;=-0.3),"超过30%","")</f>
        <v/>
      </c>
      <c r="G53" s="3266">
        <f>IF(G48&lt;G49,G49/G48-1,G48/G49-1)</f>
        <v>8.0192461908579205E-4</v>
      </c>
      <c r="H53" s="3267" t="str">
        <f>IF(OR(G53&gt;=0.3,G53&lt;=-0.3),"超过30%","")</f>
        <v/>
      </c>
      <c r="I53" s="3266">
        <f>IF(I48&lt;I49,I49/I48-1,I48/I49-1)</f>
        <v>2.1015761821365997E-2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3154</v>
      </c>
      <c r="D54" s="3268"/>
      <c r="E54" s="3266">
        <f>IF(E49&lt;G49,G49/E49-1,E49/G49-1)</f>
        <v>4.3478260869565188E-2</v>
      </c>
      <c r="F54" s="3267" t="str">
        <f>IF(OR(E54&gt;=0.2,E54&lt;=-0.2),"超过20%","")</f>
        <v/>
      </c>
      <c r="G54" s="3266">
        <f>IF(G49&lt;I49,I49/G49-1,G49/I49-1)</f>
        <v>7.0325900514579764E-2</v>
      </c>
      <c r="H54" s="3267" t="str">
        <f>IF(OR(G54&gt;=0.2,G54&lt;=-0.2),"超过20%","")</f>
        <v/>
      </c>
      <c r="I54" s="3266">
        <f>IF(I49&lt;E49,E49/I49-1,I49/E49-1)</f>
        <v>2.572898799313883E-2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3155</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3156</v>
      </c>
      <c r="B57" s="3277" t="s">
        <v>3157</v>
      </c>
      <c r="C57" s="3278" t="s">
        <v>3158</v>
      </c>
      <c r="D57" s="3279" t="s">
        <v>3159</v>
      </c>
      <c r="E57" s="3280" t="s">
        <v>3160</v>
      </c>
      <c r="F57" s="3281" t="s">
        <v>3161</v>
      </c>
      <c r="G57" s="4028" t="s">
        <v>3162</v>
      </c>
      <c r="H57" s="4029"/>
      <c r="I57" s="3282" t="s">
        <v>3163</v>
      </c>
      <c r="J57" s="3282" t="str">
        <f>[2]项目基本情况!F41</f>
        <v>吉林省延吉市</v>
      </c>
      <c r="K57" s="3283" t="s">
        <v>3164</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3165</v>
      </c>
      <c r="B58" s="645">
        <f>C50</f>
        <v>1203</v>
      </c>
      <c r="C58" s="3285">
        <v>1</v>
      </c>
      <c r="D58" s="3286">
        <v>1</v>
      </c>
      <c r="E58" s="3285">
        <f>'[2]数据-汇总表'!E8+'[2]数据-汇总表'!E9</f>
        <v>198.07</v>
      </c>
      <c r="F58" s="647">
        <f t="shared" ref="F58:F67" si="15">ROUND(B58*E58/10000,0)</f>
        <v>24</v>
      </c>
      <c r="G58" s="4030"/>
      <c r="H58" s="4031"/>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3166</v>
      </c>
      <c r="B59" s="224" t="e">
        <f>ROUND($C$50*C59*D59,0)</f>
        <v>#VALUE!</v>
      </c>
      <c r="C59" s="3291" t="e">
        <f t="shared" ref="C59:C67" si="16">IF($C$57="北京市系数",I59,J59)</f>
        <v>#VALUE!</v>
      </c>
      <c r="D59" s="3292">
        <v>0.25</v>
      </c>
      <c r="E59" s="650">
        <v>0</v>
      </c>
      <c r="F59" s="647" t="e">
        <f t="shared" si="15"/>
        <v>#VALUE!</v>
      </c>
      <c r="G59" s="4032" t="s">
        <v>3167</v>
      </c>
      <c r="H59" s="3293">
        <f>[2]项目基本情况!B43</f>
        <v>0</v>
      </c>
      <c r="I59" s="3287" t="e">
        <f>SUMIF([2]修正!$A$45:$A$56,H59,[2]修正!B45:B56)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3168</v>
      </c>
      <c r="B60" s="224" t="e">
        <f t="shared" ref="B60:B67" si="17">ROUND($C$50*C60*D60,0)</f>
        <v>#VALUE!</v>
      </c>
      <c r="C60" s="3291" t="e">
        <f t="shared" si="16"/>
        <v>#VALUE!</v>
      </c>
      <c r="D60" s="3292">
        <v>0.25</v>
      </c>
      <c r="E60" s="650">
        <v>0</v>
      </c>
      <c r="F60" s="647" t="e">
        <f t="shared" si="15"/>
        <v>#VALUE!</v>
      </c>
      <c r="G60" s="4032"/>
      <c r="H60" s="3293">
        <f>[2]项目基本情况!B43</f>
        <v>0</v>
      </c>
      <c r="I60" s="3287" t="e">
        <f>SUMIF([2]修正!$A$45:$A$56,H60,[2]修正!C45:C56)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3169</v>
      </c>
      <c r="B61" s="224" t="e">
        <f t="shared" si="17"/>
        <v>#VALUE!</v>
      </c>
      <c r="C61" s="3291" t="e">
        <f t="shared" si="16"/>
        <v>#VALUE!</v>
      </c>
      <c r="D61" s="3292">
        <v>0.25</v>
      </c>
      <c r="E61" s="650">
        <v>0</v>
      </c>
      <c r="F61" s="647" t="e">
        <f t="shared" si="15"/>
        <v>#VALUE!</v>
      </c>
      <c r="G61" s="4032"/>
      <c r="H61" s="3293">
        <f>[2]项目基本情况!B43</f>
        <v>0</v>
      </c>
      <c r="I61" s="3287" t="e">
        <f>SUMIF([2]修正!$A$45:$A$56,H61,[2]修正!D45:D56)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3170</v>
      </c>
      <c r="B62" s="224" t="e">
        <f t="shared" si="17"/>
        <v>#VALUE!</v>
      </c>
      <c r="C62" s="3291" t="e">
        <f t="shared" si="16"/>
        <v>#VALUE!</v>
      </c>
      <c r="D62" s="3292">
        <v>0.25</v>
      </c>
      <c r="E62" s="650">
        <v>0</v>
      </c>
      <c r="F62" s="647" t="e">
        <f t="shared" si="15"/>
        <v>#VALUE!</v>
      </c>
      <c r="G62" s="4032"/>
      <c r="H62" s="3293">
        <f>[2]项目基本情况!B43</f>
        <v>0</v>
      </c>
      <c r="I62" s="3287" t="e">
        <f>SUMIF([2]修正!$A$45:$A$56,H62,[2]修正!E45:E56)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3171</v>
      </c>
      <c r="B63" s="224" t="e">
        <f t="shared" si="17"/>
        <v>#VALUE!</v>
      </c>
      <c r="C63" s="3291" t="e">
        <f t="shared" si="16"/>
        <v>#VALUE!</v>
      </c>
      <c r="D63" s="3292">
        <v>0.25</v>
      </c>
      <c r="E63" s="223">
        <f>'[2]数据-汇总表'!E11</f>
        <v>0</v>
      </c>
      <c r="F63" s="647" t="e">
        <f t="shared" si="15"/>
        <v>#VALUE!</v>
      </c>
      <c r="G63" s="3296" t="s">
        <v>3172</v>
      </c>
      <c r="H63" s="3293">
        <f>[2]项目基本情况!C43</f>
        <v>0</v>
      </c>
      <c r="I63" s="3287" t="e">
        <f>SUMIF([2]修正!$A$45:$A$56,H63,[2]修正!F45:F56)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3173</v>
      </c>
      <c r="B64" s="224" t="e">
        <f t="shared" si="17"/>
        <v>#VALUE!</v>
      </c>
      <c r="C64" s="3291" t="e">
        <f t="shared" si="16"/>
        <v>#VALUE!</v>
      </c>
      <c r="D64" s="3292">
        <v>0.25</v>
      </c>
      <c r="E64" s="223">
        <f>'[2]数据-汇总表'!E12</f>
        <v>0</v>
      </c>
      <c r="F64" s="647" t="e">
        <f t="shared" si="15"/>
        <v>#VALUE!</v>
      </c>
      <c r="G64" s="3297" t="s">
        <v>27</v>
      </c>
      <c r="H64" s="3298">
        <f>IF(G64="商业",[2]项目基本情况!B43,IF(G64="办公",[2]项目基本情况!C43,IF(G64="住宅",[2]项目基本情况!D43,[2]项目基本情况!E43)))</f>
        <v>0</v>
      </c>
      <c r="I64" s="3287" t="e">
        <f>SUMIF([2]修正!$A$45:$A$56,H64,[2]修正!G45:G56)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3174</v>
      </c>
      <c r="B65" s="224" t="e">
        <f t="shared" si="17"/>
        <v>#VALUE!</v>
      </c>
      <c r="C65" s="3291" t="e">
        <f t="shared" si="16"/>
        <v>#VALUE!</v>
      </c>
      <c r="D65" s="3292">
        <v>0.25</v>
      </c>
      <c r="E65" s="223">
        <f>'[2]数据-汇总表'!E13</f>
        <v>0</v>
      </c>
      <c r="F65" s="647" t="e">
        <f t="shared" si="15"/>
        <v>#VALUE!</v>
      </c>
      <c r="G65" s="3297" t="s">
        <v>3175</v>
      </c>
      <c r="H65" s="3298">
        <f>IF(G65="商业",[2]项目基本情况!B43,IF(G65="办公",[2]项目基本情况!C43,IF(G65="住宅",[2]项目基本情况!D43,[2]项目基本情况!E43)))</f>
        <v>0</v>
      </c>
      <c r="I65" s="3287" t="e">
        <f>SUMIF([2]修正!$A$45:$A$56,H65,[2]修正!H45:H56)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3176</v>
      </c>
      <c r="B66" s="224" t="e">
        <f t="shared" si="17"/>
        <v>#VALUE!</v>
      </c>
      <c r="C66" s="3291" t="e">
        <f t="shared" si="16"/>
        <v>#VALUE!</v>
      </c>
      <c r="D66" s="3292">
        <v>0.25</v>
      </c>
      <c r="E66" s="223">
        <f>'[2]数据-汇总表'!E14</f>
        <v>0</v>
      </c>
      <c r="F66" s="647" t="e">
        <f t="shared" si="15"/>
        <v>#VALUE!</v>
      </c>
      <c r="G66" s="3296" t="s">
        <v>3167</v>
      </c>
      <c r="H66" s="3293">
        <f>[2]项目基本情况!B43</f>
        <v>0</v>
      </c>
      <c r="I66" s="3287" t="e">
        <f>SUMIF([2]修正!$A$45:$A$56,H66,[2]修正!H45:H56)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3177</v>
      </c>
      <c r="B67" s="224" t="e">
        <f t="shared" si="17"/>
        <v>#VALUE!</v>
      </c>
      <c r="C67" s="3291" t="e">
        <f t="shared" si="16"/>
        <v>#VALUE!</v>
      </c>
      <c r="D67" s="3292">
        <v>0.25</v>
      </c>
      <c r="E67" s="223">
        <f>'[2]数据-汇总表'!E15</f>
        <v>0</v>
      </c>
      <c r="F67" s="647" t="e">
        <f t="shared" si="15"/>
        <v>#VALUE!</v>
      </c>
      <c r="G67" s="3299" t="s">
        <v>3172</v>
      </c>
      <c r="H67" s="3300">
        <f>[2]项目基本情况!C43</f>
        <v>0</v>
      </c>
      <c r="I67" s="3287" t="e">
        <f>SUMIF([2]修正!$A$45:$A$56,H67,[2]修正!H45:H56)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3178</v>
      </c>
      <c r="B68" s="3301" t="s">
        <v>3179</v>
      </c>
      <c r="C68" s="3301" t="s">
        <v>3179</v>
      </c>
      <c r="D68" s="3301" t="s">
        <v>3179</v>
      </c>
      <c r="E68" s="3301">
        <f>IF(B48="楼面地价",SUM(E58:E67),'[2]数据-汇总表'!D3)</f>
        <v>1442.46</v>
      </c>
      <c r="F68" s="3302">
        <f>IF(B48="楼面地价",SUM(F58:F67),ROUND(C50*E68/10000,0))</f>
        <v>174</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3180</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3181</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3182</v>
      </c>
      <c r="B73" s="3321" t="e">
        <f>"北京市平均增长率"&amp;TEXT(SUMIF([2]基准地价!N21:N25,A73,[2]基准地价!P21:P25),"0.00%")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3183</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3184</v>
      </c>
      <c r="B75" s="3333"/>
      <c r="C75" s="3334" t="s">
        <v>3185</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3186</v>
      </c>
      <c r="B77" s="3343" t="s">
        <v>3187</v>
      </c>
      <c r="C77" s="3224" t="str">
        <f>'[2]土地案例（白山市）'!H13</f>
        <v>其他商服用地</v>
      </c>
      <c r="D77" s="3224" t="str">
        <f>'[2]土地案例（白山市）'!H28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3188</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3189</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3190</v>
      </c>
      <c r="B90" s="3343" t="s">
        <v>3191</v>
      </c>
      <c r="C90" s="3393" t="s">
        <v>3192</v>
      </c>
      <c r="D90" s="3393" t="s">
        <v>3193</v>
      </c>
      <c r="E90" s="3393" t="s">
        <v>3194</v>
      </c>
      <c r="F90" s="3393" t="s">
        <v>3195</v>
      </c>
      <c r="G90" s="3393" t="s">
        <v>3196</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3124</v>
      </c>
      <c r="C92" s="3399" t="s">
        <v>3192</v>
      </c>
      <c r="D92" s="3399" t="s">
        <v>3193</v>
      </c>
      <c r="E92" s="3399" t="s">
        <v>3194</v>
      </c>
      <c r="F92" s="3399" t="s">
        <v>3195</v>
      </c>
      <c r="G92" s="3399" t="s">
        <v>3196</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3125</v>
      </c>
      <c r="C94" s="3399" t="s">
        <v>3192</v>
      </c>
      <c r="D94" s="3399" t="s">
        <v>3193</v>
      </c>
      <c r="E94" s="3399" t="s">
        <v>3194</v>
      </c>
      <c r="F94" s="3399" t="s">
        <v>3195</v>
      </c>
      <c r="G94" s="3399" t="s">
        <v>3196</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3126</v>
      </c>
      <c r="C96" s="3399" t="s">
        <v>3192</v>
      </c>
      <c r="D96" s="3399" t="s">
        <v>3193</v>
      </c>
      <c r="E96" s="3399" t="s">
        <v>3194</v>
      </c>
      <c r="F96" s="3399" t="s">
        <v>3195</v>
      </c>
      <c r="G96" s="3399" t="s">
        <v>3196</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3127</v>
      </c>
      <c r="C98" s="3399" t="s">
        <v>3192</v>
      </c>
      <c r="D98" s="3399" t="s">
        <v>3193</v>
      </c>
      <c r="E98" s="3399" t="s">
        <v>3194</v>
      </c>
      <c r="F98" s="3399" t="s">
        <v>3195</v>
      </c>
      <c r="G98" s="3399" t="s">
        <v>3196</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3128</v>
      </c>
      <c r="C100" s="3393" t="s">
        <v>3192</v>
      </c>
      <c r="D100" s="3393" t="s">
        <v>3193</v>
      </c>
      <c r="E100" s="3393" t="s">
        <v>3194</v>
      </c>
      <c r="F100" s="3393" t="s">
        <v>3195</v>
      </c>
      <c r="G100" s="3393" t="s">
        <v>3196</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3129</v>
      </c>
      <c r="C102" s="3393" t="s">
        <v>3192</v>
      </c>
      <c r="D102" s="3393" t="s">
        <v>3193</v>
      </c>
      <c r="E102" s="3393" t="s">
        <v>3194</v>
      </c>
      <c r="F102" s="3393" t="s">
        <v>3195</v>
      </c>
      <c r="G102" s="3393" t="s">
        <v>3196</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3130</v>
      </c>
      <c r="C104" s="3411" t="s">
        <v>3197</v>
      </c>
      <c r="D104" s="3411" t="s">
        <v>3198</v>
      </c>
      <c r="E104" s="3411" t="s">
        <v>3199</v>
      </c>
      <c r="F104" s="3411" t="s">
        <v>3200</v>
      </c>
      <c r="G104" s="3411" t="s">
        <v>3201</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3202</v>
      </c>
      <c r="D106" s="3355" t="s">
        <v>3203</v>
      </c>
      <c r="E106" s="3355" t="s">
        <v>3204</v>
      </c>
      <c r="F106" s="3355" t="s">
        <v>3205</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3132</v>
      </c>
      <c r="C108" s="3371" t="s">
        <v>3206</v>
      </c>
      <c r="D108" s="3371" t="s">
        <v>3207</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3139</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3208</v>
      </c>
      <c r="B118" s="3343" t="s">
        <v>3142</v>
      </c>
      <c r="C118" s="3394" t="str">
        <f t="shared" ref="C118:L118" si="25">C119&amp;"(含)"&amp;"-"&amp;D119</f>
        <v>0(含)-3000</v>
      </c>
      <c r="D118" s="3394" t="str">
        <f t="shared" si="25"/>
        <v>3000(含)-20000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3000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102</v>
      </c>
      <c r="E120" s="3421">
        <v>104</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3143</v>
      </c>
      <c r="C121" s="3437" t="s">
        <v>3209</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3145</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3146</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3147</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2D00-000000000000}">
      <formula1>"简单平均,加权平均"</formula1>
    </dataValidation>
    <dataValidation type="list" allowBlank="1" showInputMessage="1" showErrorMessage="1" sqref="A73" xr:uid="{00000000-0002-0000-2D00-000001000000}">
      <formula1>"综合,商业,办公,住宅"</formula1>
    </dataValidation>
    <dataValidation type="list" allowBlank="1" showInputMessage="1" showErrorMessage="1" sqref="C32 E32 G32 I32" xr:uid="{00000000-0002-0000-2D00-000002000000}">
      <formula1>基础设施水平</formula1>
    </dataValidation>
    <dataValidation type="list" allowBlank="1" showInputMessage="1" showErrorMessage="1" sqref="D59:D67" xr:uid="{00000000-0002-0000-2D00-000003000000}">
      <formula1>"25%,1"</formula1>
    </dataValidation>
    <dataValidation type="list" allowBlank="1" showInputMessage="1" showErrorMessage="1" sqref="G64" xr:uid="{00000000-0002-0000-2D00-000004000000}">
      <formula1>"商业,办公,住宅,工业"</formula1>
    </dataValidation>
    <dataValidation type="list" allowBlank="1" showInputMessage="1" showErrorMessage="1" sqref="G65" xr:uid="{00000000-0002-0000-2D00-000005000000}">
      <formula1>"住宅,工业"</formula1>
    </dataValidation>
    <dataValidation type="list" allowBlank="1" showInputMessage="1" showErrorMessage="1" sqref="C57" xr:uid="{00000000-0002-0000-2D00-000006000000}">
      <formula1>"北京市系数,其他省市系数"</formula1>
    </dataValidation>
    <dataValidation type="list" allowBlank="1" showInputMessage="1" showErrorMessage="1" sqref="E26 G26 I26 C26" xr:uid="{00000000-0002-0000-2D00-000007000000}">
      <formula1>区域土地利用方向</formula1>
    </dataValidation>
    <dataValidation type="list" allowBlank="1" showInputMessage="1" showErrorMessage="1" sqref="C33 E33 G33 I33" xr:uid="{00000000-0002-0000-2D00-000008000000}">
      <formula1>临街状况</formula1>
    </dataValidation>
    <dataValidation type="list" allowBlank="1" showInputMessage="1" showErrorMessage="1" sqref="C44 E44 G44 I44" xr:uid="{00000000-0002-0000-2D00-000009000000}">
      <formula1>套综工程地质条件</formula1>
    </dataValidation>
    <dataValidation type="list" allowBlank="1" showInputMessage="1" showErrorMessage="1" sqref="C43 E43 G43 I43" xr:uid="{00000000-0002-0000-2D00-00000A000000}">
      <formula1>套综宗地内开发程度</formula1>
    </dataValidation>
    <dataValidation type="list" allowBlank="1" showInputMessage="1" showErrorMessage="1" sqref="C42 E42 G42 I42" xr:uid="{00000000-0002-0000-2D00-00000B000000}">
      <formula1>套综临街宽度及深度</formula1>
    </dataValidation>
    <dataValidation type="list" allowBlank="1" showInputMessage="1" showErrorMessage="1" sqref="C41 E41 G41 I41" xr:uid="{00000000-0002-0000-2D00-00000C000000}">
      <formula1>套综宗地形状</formula1>
    </dataValidation>
    <dataValidation type="list" allowBlank="1" showInputMessage="1" showErrorMessage="1" sqref="C36 E36 G36 I36" xr:uid="{00000000-0002-0000-2D00-00000D000000}">
      <formula1>套综土地级别</formula1>
    </dataValidation>
    <dataValidation type="list" allowBlank="1" showInputMessage="1" showErrorMessage="1" sqref="C35 E35 G35 I35" xr:uid="{00000000-0002-0000-2D00-00000E000000}">
      <formula1>套综道路等级</formula1>
    </dataValidation>
    <dataValidation type="list" allowBlank="1" showInputMessage="1" showErrorMessage="1" sqref="E22 C22 G22 I22" xr:uid="{00000000-0002-0000-2D00-00000F000000}">
      <formula1>办公集聚程度</formula1>
    </dataValidation>
    <dataValidation type="list" allowBlank="1" showInputMessage="1" showErrorMessage="1" sqref="E20 C20 G20 I20" xr:uid="{00000000-0002-0000-2D00-000010000000}">
      <formula1>商业繁华度</formula1>
    </dataValidation>
    <dataValidation type="list" allowBlank="1" showInputMessage="1" showErrorMessage="1" sqref="C11 E11 G11 I11" xr:uid="{00000000-0002-0000-2D00-000011000000}">
      <formula1>套综用途</formula1>
    </dataValidation>
    <dataValidation type="list" allowBlank="1" showInputMessage="1" showErrorMessage="1" sqref="C10 E10 G10 I10" xr:uid="{00000000-0002-0000-2D00-000012000000}">
      <formula1>套综交易情况</formula1>
    </dataValidation>
    <dataValidation type="list" allowBlank="1" showInputMessage="1" showErrorMessage="1" sqref="B48" xr:uid="{00000000-0002-0000-2D00-000013000000}">
      <formula1>单价内涵</formula1>
    </dataValidation>
    <dataValidation type="list" allowBlank="1" showInputMessage="1" showErrorMessage="1" sqref="C28 E28 G28 I28" xr:uid="{00000000-0002-0000-2D00-000014000000}">
      <formula1>环境</formula1>
    </dataValidation>
    <dataValidation type="list" allowBlank="1" showInputMessage="1" showErrorMessage="1" sqref="E18 G18 I18 C18" xr:uid="{00000000-0002-0000-2D00-000015000000}">
      <formula1>居住社区成熟度</formula1>
    </dataValidation>
    <dataValidation type="list" allowBlank="1" showInputMessage="1" showErrorMessage="1" sqref="E24 C24 G24 I24" xr:uid="{00000000-0002-0000-2D00-000016000000}">
      <formula1>交通便捷度</formula1>
    </dataValidation>
    <dataValidation type="list" allowBlank="1" showInputMessage="1" showErrorMessage="1" sqref="E30 C30 I30 G30" xr:uid="{00000000-0002-0000-2D00-000017000000}">
      <formula1>公共配套设施</formula1>
    </dataValidation>
    <dataValidation type="list" allowBlank="1" showInputMessage="1" showErrorMessage="1" sqref="C27" xr:uid="{00000000-0002-0000-2D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3210</v>
      </c>
      <c r="B1" s="3447" t="s">
        <v>3211</v>
      </c>
      <c r="C1" s="3447" t="s">
        <v>3212</v>
      </c>
      <c r="D1" s="3447" t="s">
        <v>3213</v>
      </c>
      <c r="E1" s="3447" t="s">
        <v>3214</v>
      </c>
      <c r="F1" s="3447" t="s">
        <v>3215</v>
      </c>
      <c r="G1" s="3447" t="s">
        <v>3216</v>
      </c>
      <c r="H1" s="3447" t="s">
        <v>3217</v>
      </c>
      <c r="I1" s="3447" t="s">
        <v>3218</v>
      </c>
      <c r="J1" s="3447" t="s">
        <v>3219</v>
      </c>
      <c r="K1" s="3447" t="s">
        <v>3220</v>
      </c>
      <c r="L1" s="3447" t="s">
        <v>3221</v>
      </c>
      <c r="M1" s="3447" t="s">
        <v>3222</v>
      </c>
      <c r="N1" s="3448" t="s">
        <v>3223</v>
      </c>
      <c r="O1" s="3449" t="s">
        <v>3224</v>
      </c>
      <c r="P1" s="3447" t="s">
        <v>3225</v>
      </c>
      <c r="Q1" s="3447" t="s">
        <v>3226</v>
      </c>
      <c r="R1" s="3447" t="s">
        <v>3227</v>
      </c>
    </row>
    <row r="2" spans="1:19">
      <c r="A2" s="3447" t="s">
        <v>3228</v>
      </c>
      <c r="B2" s="3447" t="s">
        <v>3229</v>
      </c>
      <c r="C2" s="3447" t="s">
        <v>3230</v>
      </c>
      <c r="D2" s="3447">
        <v>2692.88</v>
      </c>
      <c r="E2" s="3447">
        <v>807.86</v>
      </c>
      <c r="F2" s="3447" t="s">
        <v>3231</v>
      </c>
      <c r="G2" s="3447" t="s">
        <v>3232</v>
      </c>
      <c r="H2" s="3447" t="s">
        <v>3113</v>
      </c>
      <c r="I2" s="3447">
        <v>0</v>
      </c>
      <c r="J2" s="3447" t="s">
        <v>3233</v>
      </c>
      <c r="K2" s="3447" t="s">
        <v>3233</v>
      </c>
      <c r="L2" s="3447">
        <v>102.84</v>
      </c>
      <c r="M2" s="3447">
        <v>102.84</v>
      </c>
      <c r="N2" s="3447">
        <v>1272.99</v>
      </c>
      <c r="O2" s="3447">
        <f>N2*0.3</f>
        <v>381.89699999999999</v>
      </c>
      <c r="P2" s="3447">
        <v>0</v>
      </c>
      <c r="Q2" s="3447" t="s">
        <v>3234</v>
      </c>
      <c r="R2" s="3447" t="s">
        <v>3235</v>
      </c>
      <c r="S2" s="3450">
        <f>M2/(D2/666.67)</f>
        <v>25.459858144440151</v>
      </c>
    </row>
    <row r="3" spans="1:19">
      <c r="A3" s="3447" t="s">
        <v>3236</v>
      </c>
      <c r="B3" s="3447" t="s">
        <v>3229</v>
      </c>
      <c r="C3" s="3447" t="s">
        <v>3237</v>
      </c>
      <c r="D3" s="3447">
        <v>3480.09</v>
      </c>
      <c r="E3" s="3447">
        <v>2505.66</v>
      </c>
      <c r="F3" s="3447" t="s">
        <v>3238</v>
      </c>
      <c r="G3" s="3447" t="s">
        <v>3232</v>
      </c>
      <c r="H3" s="3447" t="s">
        <v>3239</v>
      </c>
      <c r="I3" s="3447">
        <v>0</v>
      </c>
      <c r="J3" s="3447" t="s">
        <v>3240</v>
      </c>
      <c r="K3" s="3447" t="s">
        <v>3240</v>
      </c>
      <c r="L3" s="3447">
        <v>655.39</v>
      </c>
      <c r="M3" s="3447">
        <v>655.39</v>
      </c>
      <c r="N3" s="3447">
        <v>2615.67</v>
      </c>
      <c r="O3" s="3447">
        <f>N3*0.72</f>
        <v>1883.2824000000001</v>
      </c>
      <c r="P3" s="3447">
        <v>0</v>
      </c>
      <c r="Q3" s="3447" t="s">
        <v>3241</v>
      </c>
      <c r="R3" s="3447" t="s">
        <v>3235</v>
      </c>
      <c r="S3" s="3450">
        <f t="shared" ref="S3:S33" si="0">M3/(D3/666.67)</f>
        <v>125.55102060578891</v>
      </c>
    </row>
    <row r="4" spans="1:19">
      <c r="A4" s="3447" t="s">
        <v>3242</v>
      </c>
      <c r="B4" s="3447" t="s">
        <v>3229</v>
      </c>
      <c r="C4" s="3447" t="s">
        <v>3230</v>
      </c>
      <c r="D4" s="3447">
        <v>4484.38</v>
      </c>
      <c r="E4" s="3447">
        <v>807.19</v>
      </c>
      <c r="F4" s="3447" t="s">
        <v>3243</v>
      </c>
      <c r="G4" s="3447" t="s">
        <v>3232</v>
      </c>
      <c r="H4" s="3447" t="s">
        <v>3113</v>
      </c>
      <c r="I4" s="3447">
        <v>0</v>
      </c>
      <c r="J4" s="3447" t="s">
        <v>3244</v>
      </c>
      <c r="K4" s="3447" t="s">
        <v>3244</v>
      </c>
      <c r="L4" s="3447">
        <v>590.52</v>
      </c>
      <c r="M4" s="3447">
        <v>590.52</v>
      </c>
      <c r="N4" s="3447">
        <v>7315.86</v>
      </c>
      <c r="O4" s="3447">
        <f>N4*0.18</f>
        <v>1316.8547999999998</v>
      </c>
      <c r="P4" s="3447">
        <v>0</v>
      </c>
      <c r="Q4" s="3447" t="s">
        <v>3245</v>
      </c>
      <c r="R4" s="3447" t="s">
        <v>3246</v>
      </c>
      <c r="S4" s="3450">
        <f t="shared" si="0"/>
        <v>87.78960935513939</v>
      </c>
    </row>
    <row r="5" spans="1:19">
      <c r="A5" s="3447" t="s">
        <v>3247</v>
      </c>
      <c r="B5" s="3447" t="s">
        <v>3229</v>
      </c>
      <c r="C5" s="3447" t="s">
        <v>3230</v>
      </c>
      <c r="D5" s="3447">
        <v>95194.2</v>
      </c>
      <c r="E5" s="3447">
        <v>47597.1</v>
      </c>
      <c r="F5" s="3447" t="s">
        <v>3248</v>
      </c>
      <c r="G5" s="3447" t="s">
        <v>3232</v>
      </c>
      <c r="H5" s="3447" t="s">
        <v>3249</v>
      </c>
      <c r="I5" s="3447">
        <v>0</v>
      </c>
      <c r="J5" s="3447" t="s">
        <v>3250</v>
      </c>
      <c r="K5" s="3447" t="s">
        <v>3251</v>
      </c>
      <c r="L5" s="3447" t="s">
        <v>1298</v>
      </c>
      <c r="M5" s="3447">
        <v>10992.21</v>
      </c>
      <c r="N5" s="3447">
        <v>2309.42</v>
      </c>
      <c r="O5" s="3447">
        <f>N5*0.5</f>
        <v>1154.71</v>
      </c>
      <c r="P5" s="3447" t="s">
        <v>1298</v>
      </c>
      <c r="Q5" s="3447" t="s">
        <v>3252</v>
      </c>
      <c r="R5" s="3447" t="s">
        <v>3253</v>
      </c>
      <c r="S5" s="3450">
        <f t="shared" si="0"/>
        <v>76.981335424847302</v>
      </c>
    </row>
    <row r="6" spans="1:19">
      <c r="A6" s="3447" t="s">
        <v>3247</v>
      </c>
      <c r="B6" s="3447" t="s">
        <v>3229</v>
      </c>
      <c r="C6" s="3447" t="s">
        <v>3230</v>
      </c>
      <c r="D6" s="3447">
        <v>107515.29</v>
      </c>
      <c r="E6" s="3447">
        <v>53757.65</v>
      </c>
      <c r="F6" s="3447" t="s">
        <v>3248</v>
      </c>
      <c r="G6" s="3447" t="s">
        <v>3232</v>
      </c>
      <c r="H6" s="3447" t="s">
        <v>3249</v>
      </c>
      <c r="I6" s="3447">
        <v>0</v>
      </c>
      <c r="J6" s="3447" t="s">
        <v>3254</v>
      </c>
      <c r="K6" s="3447" t="s">
        <v>3254</v>
      </c>
      <c r="L6" s="3447" t="s">
        <v>1298</v>
      </c>
      <c r="M6" s="3447">
        <v>12407.26</v>
      </c>
      <c r="N6" s="3447">
        <v>2308</v>
      </c>
      <c r="O6" s="3447">
        <f>N6*0.5</f>
        <v>1154</v>
      </c>
      <c r="P6" s="3447" t="s">
        <v>1298</v>
      </c>
      <c r="Q6" s="3447" t="s">
        <v>3252</v>
      </c>
      <c r="R6" s="3447" t="s">
        <v>3253</v>
      </c>
      <c r="S6" s="3450">
        <f t="shared" si="0"/>
        <v>76.933690307676244</v>
      </c>
    </row>
    <row r="7" spans="1:19">
      <c r="A7" s="3447" t="s">
        <v>3255</v>
      </c>
      <c r="B7" s="3447" t="s">
        <v>3229</v>
      </c>
      <c r="C7" s="3447" t="s">
        <v>3230</v>
      </c>
      <c r="D7" s="3447">
        <v>78166.28</v>
      </c>
      <c r="E7" s="3447">
        <v>109432.79</v>
      </c>
      <c r="F7" s="3447" t="s">
        <v>3256</v>
      </c>
      <c r="G7" s="3447" t="s">
        <v>3232</v>
      </c>
      <c r="H7" s="3447" t="s">
        <v>3249</v>
      </c>
      <c r="I7" s="3447">
        <v>0</v>
      </c>
      <c r="J7" s="3447" t="s">
        <v>3254</v>
      </c>
      <c r="K7" s="3447" t="s">
        <v>3254</v>
      </c>
      <c r="L7" s="3447" t="s">
        <v>1298</v>
      </c>
      <c r="M7" s="3447">
        <v>9125.7900000000009</v>
      </c>
      <c r="N7" s="3447">
        <v>833.91</v>
      </c>
      <c r="O7" s="3447">
        <f>N7*1.4</f>
        <v>1167.4739999999999</v>
      </c>
      <c r="P7" s="3447" t="s">
        <v>1298</v>
      </c>
      <c r="Q7" s="3447" t="s">
        <v>3252</v>
      </c>
      <c r="R7" s="3447" t="s">
        <v>3253</v>
      </c>
      <c r="S7" s="3450">
        <f t="shared" si="0"/>
        <v>77.832671828568536</v>
      </c>
    </row>
    <row r="8" spans="1:19">
      <c r="A8" s="3447" t="s">
        <v>3257</v>
      </c>
      <c r="B8" s="3447" t="s">
        <v>3229</v>
      </c>
      <c r="C8" s="3447" t="s">
        <v>3230</v>
      </c>
      <c r="D8" s="3447">
        <v>95788.6</v>
      </c>
      <c r="E8" s="3447">
        <v>47894.3</v>
      </c>
      <c r="F8" s="3447" t="s">
        <v>3248</v>
      </c>
      <c r="G8" s="3447" t="s">
        <v>3232</v>
      </c>
      <c r="H8" s="3447" t="s">
        <v>3249</v>
      </c>
      <c r="I8" s="3447">
        <v>0</v>
      </c>
      <c r="J8" s="3447" t="s">
        <v>3254</v>
      </c>
      <c r="K8" s="3447" t="s">
        <v>3254</v>
      </c>
      <c r="L8" s="3447" t="s">
        <v>1298</v>
      </c>
      <c r="M8" s="3447">
        <v>11060.79</v>
      </c>
      <c r="N8" s="3447">
        <v>2309.42</v>
      </c>
      <c r="O8" s="3447">
        <f>N8*0.5</f>
        <v>1154.71</v>
      </c>
      <c r="P8" s="3447" t="s">
        <v>1298</v>
      </c>
      <c r="Q8" s="3447" t="s">
        <v>3252</v>
      </c>
      <c r="R8" s="3447" t="s">
        <v>3253</v>
      </c>
      <c r="S8" s="3450">
        <f t="shared" si="0"/>
        <v>76.980944176029297</v>
      </c>
    </row>
    <row r="9" spans="1:19">
      <c r="A9" s="3447" t="s">
        <v>3258</v>
      </c>
      <c r="B9" s="3447" t="s">
        <v>3229</v>
      </c>
      <c r="C9" s="3447" t="s">
        <v>3230</v>
      </c>
      <c r="D9" s="3447">
        <v>1538.17</v>
      </c>
      <c r="E9" s="3447">
        <v>1707.37</v>
      </c>
      <c r="F9" s="3447" t="s">
        <v>3259</v>
      </c>
      <c r="G9" s="3447" t="s">
        <v>3232</v>
      </c>
      <c r="H9" s="3447" t="s">
        <v>3113</v>
      </c>
      <c r="I9" s="3447">
        <v>0</v>
      </c>
      <c r="J9" s="3447" t="s">
        <v>3260</v>
      </c>
      <c r="K9" s="3447" t="s">
        <v>3260</v>
      </c>
      <c r="L9" s="3447">
        <v>485.89</v>
      </c>
      <c r="M9" s="3447">
        <v>485.89</v>
      </c>
      <c r="N9" s="3447">
        <v>2845.9</v>
      </c>
      <c r="O9" s="3447">
        <f>N9*1.11</f>
        <v>3158.9490000000005</v>
      </c>
      <c r="P9" s="3447">
        <v>0</v>
      </c>
      <c r="Q9" s="3447" t="s">
        <v>3261</v>
      </c>
      <c r="R9" s="3447" t="s">
        <v>3253</v>
      </c>
      <c r="S9" s="3450">
        <f t="shared" si="0"/>
        <v>210.5932935241228</v>
      </c>
    </row>
    <row r="10" spans="1:19">
      <c r="A10" s="3447" t="s">
        <v>3262</v>
      </c>
      <c r="B10" s="3447" t="s">
        <v>3229</v>
      </c>
      <c r="C10" s="3447" t="s">
        <v>3230</v>
      </c>
      <c r="D10" s="3447">
        <v>20173.48</v>
      </c>
      <c r="E10" s="3447">
        <v>46399</v>
      </c>
      <c r="F10" s="3447" t="s">
        <v>3263</v>
      </c>
      <c r="G10" s="3447" t="s">
        <v>3232</v>
      </c>
      <c r="H10" s="3447" t="s">
        <v>3113</v>
      </c>
      <c r="I10" s="3447">
        <v>0</v>
      </c>
      <c r="J10" s="3447" t="s">
        <v>3264</v>
      </c>
      <c r="K10" s="3447" t="s">
        <v>3264</v>
      </c>
      <c r="L10" s="3447">
        <v>486.23</v>
      </c>
      <c r="M10" s="3447">
        <v>486.23</v>
      </c>
      <c r="N10" s="3447">
        <v>104.79</v>
      </c>
      <c r="O10" s="3447">
        <f>N10*2.3</f>
        <v>241.017</v>
      </c>
      <c r="P10" s="3447">
        <v>0</v>
      </c>
      <c r="Q10" s="3447" t="s">
        <v>3261</v>
      </c>
      <c r="R10" s="3447" t="s">
        <v>3253</v>
      </c>
      <c r="S10" s="3450">
        <f t="shared" si="0"/>
        <v>16.06837065791326</v>
      </c>
    </row>
    <row r="11" spans="1:19" s="3452" customFormat="1">
      <c r="A11" s="3451" t="s">
        <v>3265</v>
      </c>
      <c r="B11" s="3452" t="s">
        <v>3229</v>
      </c>
      <c r="C11" s="3452" t="s">
        <v>3230</v>
      </c>
      <c r="D11" s="3452">
        <v>4215</v>
      </c>
      <c r="E11" s="3452">
        <v>421.5</v>
      </c>
      <c r="F11" s="3452" t="s">
        <v>3266</v>
      </c>
      <c r="G11" s="3452" t="s">
        <v>3232</v>
      </c>
      <c r="H11" s="3452" t="s">
        <v>3112</v>
      </c>
      <c r="I11" s="3452">
        <v>0</v>
      </c>
      <c r="J11" s="3452" t="s">
        <v>3267</v>
      </c>
      <c r="K11" s="3452" t="s">
        <v>3267</v>
      </c>
      <c r="L11" s="3452">
        <v>494.1</v>
      </c>
      <c r="M11" s="3452">
        <v>494.1</v>
      </c>
      <c r="N11" s="3452">
        <v>11722.42</v>
      </c>
      <c r="O11" s="3452">
        <f>N11*0.1</f>
        <v>1172.242</v>
      </c>
      <c r="P11" s="3452">
        <v>0</v>
      </c>
      <c r="Q11" s="3452" t="s">
        <v>3268</v>
      </c>
      <c r="R11" s="3452" t="s">
        <v>3235</v>
      </c>
      <c r="S11" s="3453">
        <f t="shared" si="0"/>
        <v>78.149856939501788</v>
      </c>
    </row>
    <row r="12" spans="1:19">
      <c r="A12" s="3447" t="s">
        <v>3269</v>
      </c>
      <c r="B12" s="3447" t="s">
        <v>3229</v>
      </c>
      <c r="C12" s="3447" t="s">
        <v>3230</v>
      </c>
      <c r="D12" s="3447">
        <v>790.89</v>
      </c>
      <c r="E12" s="3447">
        <v>237.27</v>
      </c>
      <c r="F12" s="3447" t="s">
        <v>3231</v>
      </c>
      <c r="G12" s="3447" t="s">
        <v>3232</v>
      </c>
      <c r="H12" s="3447" t="s">
        <v>3249</v>
      </c>
      <c r="I12" s="3447">
        <v>0</v>
      </c>
      <c r="J12" s="3447" t="s">
        <v>3267</v>
      </c>
      <c r="K12" s="3447" t="s">
        <v>3267</v>
      </c>
      <c r="L12" s="3447" t="s">
        <v>1298</v>
      </c>
      <c r="M12" s="3447">
        <v>40.28</v>
      </c>
      <c r="N12" s="3447">
        <v>1697.64</v>
      </c>
      <c r="P12" s="3447" t="s">
        <v>1298</v>
      </c>
      <c r="Q12" s="3447" t="s">
        <v>3270</v>
      </c>
      <c r="R12" s="3447" t="s">
        <v>3235</v>
      </c>
      <c r="S12" s="3450">
        <f t="shared" si="0"/>
        <v>33.953479750660648</v>
      </c>
    </row>
    <row r="13" spans="1:19">
      <c r="A13" s="3447" t="s">
        <v>3269</v>
      </c>
      <c r="B13" s="3447" t="s">
        <v>3229</v>
      </c>
      <c r="C13" s="3447" t="s">
        <v>3230</v>
      </c>
      <c r="D13" s="3447">
        <v>22590.99</v>
      </c>
      <c r="E13" s="3447">
        <v>6777.3</v>
      </c>
      <c r="F13" s="3447" t="s">
        <v>3231</v>
      </c>
      <c r="G13" s="3447" t="s">
        <v>3232</v>
      </c>
      <c r="H13" s="3447" t="s">
        <v>3113</v>
      </c>
      <c r="I13" s="3447">
        <v>0</v>
      </c>
      <c r="J13" s="3447" t="s">
        <v>3271</v>
      </c>
      <c r="K13" s="3447" t="s">
        <v>3271</v>
      </c>
      <c r="L13" s="3447" t="s">
        <v>1298</v>
      </c>
      <c r="M13" s="3447">
        <v>1147.72</v>
      </c>
      <c r="N13" s="3447">
        <v>1693.48</v>
      </c>
      <c r="P13" s="3447" t="s">
        <v>1298</v>
      </c>
      <c r="Q13" s="3447" t="s">
        <v>3272</v>
      </c>
      <c r="R13" s="3447" t="s">
        <v>3273</v>
      </c>
      <c r="S13" s="3450">
        <f t="shared" si="0"/>
        <v>33.869719405833912</v>
      </c>
    </row>
    <row r="14" spans="1:19">
      <c r="A14" s="3447" t="s">
        <v>3269</v>
      </c>
      <c r="B14" s="3447" t="s">
        <v>3229</v>
      </c>
      <c r="C14" s="3447" t="s">
        <v>3230</v>
      </c>
      <c r="D14" s="3447">
        <v>3402.02</v>
      </c>
      <c r="E14" s="3447">
        <v>1020.61</v>
      </c>
      <c r="F14" s="3447" t="s">
        <v>3231</v>
      </c>
      <c r="G14" s="3447" t="s">
        <v>3232</v>
      </c>
      <c r="H14" s="3447" t="s">
        <v>3113</v>
      </c>
      <c r="I14" s="3447">
        <v>0</v>
      </c>
      <c r="J14" s="3447" t="s">
        <v>3271</v>
      </c>
      <c r="K14" s="3447" t="s">
        <v>3271</v>
      </c>
      <c r="L14" s="3447" t="s">
        <v>1298</v>
      </c>
      <c r="M14" s="3447">
        <v>172.91</v>
      </c>
      <c r="N14" s="3447">
        <v>1694.27</v>
      </c>
      <c r="P14" s="3447" t="s">
        <v>1298</v>
      </c>
      <c r="Q14" s="3447" t="s">
        <v>3272</v>
      </c>
      <c r="R14" s="3447" t="s">
        <v>3273</v>
      </c>
      <c r="S14" s="3450">
        <f t="shared" si="0"/>
        <v>33.883960029629449</v>
      </c>
    </row>
    <row r="15" spans="1:19">
      <c r="A15" s="3447" t="s">
        <v>3274</v>
      </c>
      <c r="B15" s="3447" t="s">
        <v>3229</v>
      </c>
      <c r="C15" s="3447" t="s">
        <v>3230</v>
      </c>
      <c r="D15" s="3447">
        <v>3987.97</v>
      </c>
      <c r="E15" s="3447">
        <v>8733.65</v>
      </c>
      <c r="F15" s="3447" t="s">
        <v>3275</v>
      </c>
      <c r="G15" s="3447" t="s">
        <v>3232</v>
      </c>
      <c r="H15" s="3447" t="s">
        <v>3113</v>
      </c>
      <c r="I15" s="3447">
        <v>0</v>
      </c>
      <c r="J15" s="3447" t="s">
        <v>3276</v>
      </c>
      <c r="K15" s="3447" t="s">
        <v>3276</v>
      </c>
      <c r="L15" s="3447">
        <v>575.79999999999995</v>
      </c>
      <c r="M15" s="3447">
        <v>575.79999999999995</v>
      </c>
      <c r="N15" s="3447">
        <v>659.29</v>
      </c>
      <c r="P15" s="3447">
        <v>0</v>
      </c>
      <c r="Q15" s="3447" t="s">
        <v>3261</v>
      </c>
      <c r="R15" s="3447" t="s">
        <v>3246</v>
      </c>
      <c r="S15" s="3450">
        <f t="shared" si="0"/>
        <v>96.256638339806955</v>
      </c>
    </row>
    <row r="16" spans="1:19">
      <c r="A16" s="3447" t="s">
        <v>3277</v>
      </c>
      <c r="B16" s="3447" t="s">
        <v>3229</v>
      </c>
      <c r="C16" s="3447" t="s">
        <v>3230</v>
      </c>
      <c r="D16" s="3447">
        <v>66617.83</v>
      </c>
      <c r="E16" s="3447">
        <v>33308.92</v>
      </c>
      <c r="F16" s="3447" t="s">
        <v>3248</v>
      </c>
      <c r="G16" s="3447" t="s">
        <v>3232</v>
      </c>
      <c r="H16" s="3447" t="s">
        <v>3249</v>
      </c>
      <c r="I16" s="3447">
        <v>0</v>
      </c>
      <c r="J16" s="3447" t="s">
        <v>3278</v>
      </c>
      <c r="K16" s="3447" t="s">
        <v>3278</v>
      </c>
      <c r="L16" s="3447" t="s">
        <v>1298</v>
      </c>
      <c r="M16" s="3447">
        <v>7661.14</v>
      </c>
      <c r="N16" s="3447">
        <v>2300.0300000000002</v>
      </c>
      <c r="P16" s="3447" t="s">
        <v>1298</v>
      </c>
      <c r="Q16" s="3447" t="s">
        <v>3252</v>
      </c>
      <c r="R16" s="3447" t="s">
        <v>3235</v>
      </c>
      <c r="S16" s="3450">
        <f t="shared" si="0"/>
        <v>76.667946160960213</v>
      </c>
    </row>
    <row r="17" spans="1:19">
      <c r="A17" s="3447" t="s">
        <v>3277</v>
      </c>
      <c r="B17" s="3447" t="s">
        <v>3229</v>
      </c>
      <c r="C17" s="3447" t="s">
        <v>3230</v>
      </c>
      <c r="D17" s="3447">
        <v>68025.56</v>
      </c>
      <c r="E17" s="3447">
        <v>34012.78</v>
      </c>
      <c r="F17" s="3447" t="s">
        <v>3248</v>
      </c>
      <c r="G17" s="3447" t="s">
        <v>3232</v>
      </c>
      <c r="H17" s="3447" t="s">
        <v>3249</v>
      </c>
      <c r="I17" s="3447">
        <v>0</v>
      </c>
      <c r="J17" s="3447" t="s">
        <v>3279</v>
      </c>
      <c r="K17" s="3447" t="s">
        <v>3279</v>
      </c>
      <c r="L17" s="3447" t="s">
        <v>1298</v>
      </c>
      <c r="M17" s="3447">
        <v>7823.03</v>
      </c>
      <c r="N17" s="3447">
        <v>2300.0300000000002</v>
      </c>
      <c r="P17" s="3447" t="s">
        <v>1298</v>
      </c>
      <c r="Q17" s="3447" t="s">
        <v>3252</v>
      </c>
      <c r="R17" s="3447" t="s">
        <v>3235</v>
      </c>
      <c r="S17" s="3450">
        <f t="shared" si="0"/>
        <v>76.667937905987102</v>
      </c>
    </row>
    <row r="18" spans="1:19" s="3452" customFormat="1">
      <c r="A18" s="3452" t="s">
        <v>3280</v>
      </c>
      <c r="B18" s="3452" t="s">
        <v>3229</v>
      </c>
      <c r="C18" s="3452" t="s">
        <v>3230</v>
      </c>
      <c r="D18" s="3452">
        <v>4485.03</v>
      </c>
      <c r="E18" s="3452">
        <v>1121.26</v>
      </c>
      <c r="F18" s="3452" t="s">
        <v>3281</v>
      </c>
      <c r="G18" s="3452" t="s">
        <v>3232</v>
      </c>
      <c r="H18" s="3452" t="s">
        <v>3112</v>
      </c>
      <c r="I18" s="3452">
        <v>0</v>
      </c>
      <c r="J18" s="3452" t="s">
        <v>3282</v>
      </c>
      <c r="K18" s="3452" t="s">
        <v>3282</v>
      </c>
      <c r="L18" s="3452">
        <v>559.37</v>
      </c>
      <c r="M18" s="3452">
        <v>559.37</v>
      </c>
      <c r="N18" s="3452">
        <v>4988.8500000000004</v>
      </c>
      <c r="O18" s="3452">
        <f>N18*0.25</f>
        <v>1247.2125000000001</v>
      </c>
      <c r="P18" s="3452">
        <v>0</v>
      </c>
      <c r="Q18" s="3452" t="s">
        <v>3283</v>
      </c>
      <c r="R18" s="3452" t="s">
        <v>3235</v>
      </c>
      <c r="S18" s="3453">
        <f t="shared" si="0"/>
        <v>83.146645150645583</v>
      </c>
    </row>
    <row r="19" spans="1:19">
      <c r="A19" s="3447" t="s">
        <v>3284</v>
      </c>
      <c r="B19" s="3447" t="s">
        <v>3229</v>
      </c>
      <c r="C19" s="3447" t="s">
        <v>3230</v>
      </c>
      <c r="D19" s="3447">
        <v>5003.05</v>
      </c>
      <c r="E19" s="3447">
        <v>3001.83</v>
      </c>
      <c r="F19" s="3447" t="s">
        <v>3285</v>
      </c>
      <c r="G19" s="3447" t="s">
        <v>3232</v>
      </c>
      <c r="H19" s="3447" t="s">
        <v>3113</v>
      </c>
      <c r="I19" s="3447">
        <v>0</v>
      </c>
      <c r="J19" s="3447" t="s">
        <v>3286</v>
      </c>
      <c r="K19" s="3447" t="s">
        <v>3286</v>
      </c>
      <c r="L19" s="3447">
        <v>548.41999999999996</v>
      </c>
      <c r="M19" s="3447">
        <v>548.41999999999996</v>
      </c>
      <c r="N19" s="3447">
        <v>1826.99</v>
      </c>
      <c r="P19" s="3447">
        <v>0</v>
      </c>
      <c r="Q19" s="3447" t="s">
        <v>3287</v>
      </c>
      <c r="R19" s="3447" t="s">
        <v>3273</v>
      </c>
      <c r="S19" s="3450">
        <f t="shared" si="0"/>
        <v>73.078454422802082</v>
      </c>
    </row>
    <row r="20" spans="1:19">
      <c r="A20" s="3447" t="s">
        <v>3288</v>
      </c>
      <c r="B20" s="3447" t="s">
        <v>3229</v>
      </c>
      <c r="C20" s="3447" t="s">
        <v>3230</v>
      </c>
      <c r="D20" s="3447">
        <v>2798.66</v>
      </c>
      <c r="E20" s="3447">
        <v>5177.5200000000004</v>
      </c>
      <c r="F20" s="3447" t="s">
        <v>3289</v>
      </c>
      <c r="G20" s="3447" t="s">
        <v>3232</v>
      </c>
      <c r="H20" s="3447" t="s">
        <v>3113</v>
      </c>
      <c r="I20" s="3447">
        <v>0</v>
      </c>
      <c r="J20" s="3447" t="s">
        <v>3290</v>
      </c>
      <c r="K20" s="3447" t="s">
        <v>3290</v>
      </c>
      <c r="L20" s="3447">
        <v>348.87</v>
      </c>
      <c r="M20" s="3447">
        <v>348.87</v>
      </c>
      <c r="N20" s="3447">
        <v>673.82</v>
      </c>
      <c r="P20" s="3447">
        <v>0</v>
      </c>
      <c r="Q20" s="3447" t="s">
        <v>3261</v>
      </c>
      <c r="R20" s="3447" t="s">
        <v>3253</v>
      </c>
      <c r="S20" s="3450">
        <f t="shared" si="0"/>
        <v>83.104472461821018</v>
      </c>
    </row>
    <row r="21" spans="1:19">
      <c r="A21" s="3447" t="s">
        <v>3291</v>
      </c>
      <c r="B21" s="3447" t="s">
        <v>3229</v>
      </c>
      <c r="C21" s="3447" t="s">
        <v>3230</v>
      </c>
      <c r="D21" s="3447">
        <v>2400.4699999999998</v>
      </c>
      <c r="E21" s="3447">
        <v>2664.52</v>
      </c>
      <c r="F21" s="3447" t="s">
        <v>3292</v>
      </c>
      <c r="G21" s="3447" t="s">
        <v>3232</v>
      </c>
      <c r="H21" s="3447" t="s">
        <v>3113</v>
      </c>
      <c r="I21" s="3447">
        <v>0</v>
      </c>
      <c r="J21" s="3447" t="s">
        <v>3293</v>
      </c>
      <c r="K21" s="3447" t="s">
        <v>3293</v>
      </c>
      <c r="L21" s="3447">
        <v>482.82</v>
      </c>
      <c r="M21" s="3447">
        <v>482.82</v>
      </c>
      <c r="N21" s="3447">
        <v>1812.06</v>
      </c>
      <c r="P21" s="3447">
        <v>0</v>
      </c>
      <c r="Q21" s="3447" t="s">
        <v>3294</v>
      </c>
      <c r="R21" s="3447" t="s">
        <v>3253</v>
      </c>
      <c r="S21" s="3450">
        <f t="shared" si="0"/>
        <v>134.09107774727448</v>
      </c>
    </row>
    <row r="22" spans="1:19">
      <c r="A22" s="3447" t="s">
        <v>3295</v>
      </c>
      <c r="B22" s="3447" t="s">
        <v>3229</v>
      </c>
      <c r="C22" s="3447" t="s">
        <v>3230</v>
      </c>
      <c r="D22" s="3447">
        <v>4258.54</v>
      </c>
      <c r="E22" s="3447">
        <v>4514.05</v>
      </c>
      <c r="F22" s="3447" t="s">
        <v>3296</v>
      </c>
      <c r="G22" s="3447" t="s">
        <v>3232</v>
      </c>
      <c r="H22" s="3447" t="s">
        <v>3113</v>
      </c>
      <c r="I22" s="3447">
        <v>0</v>
      </c>
      <c r="J22" s="3447" t="s">
        <v>3297</v>
      </c>
      <c r="K22" s="3447" t="s">
        <v>3297</v>
      </c>
      <c r="L22" s="3447">
        <v>486.43</v>
      </c>
      <c r="M22" s="3447">
        <v>486.43</v>
      </c>
      <c r="N22" s="3447">
        <v>1077.58</v>
      </c>
      <c r="P22" s="3447">
        <v>0</v>
      </c>
      <c r="Q22" s="3447" t="s">
        <v>3298</v>
      </c>
      <c r="R22" s="3447" t="s">
        <v>3253</v>
      </c>
      <c r="S22" s="3450">
        <f t="shared" si="0"/>
        <v>76.150109685479052</v>
      </c>
    </row>
    <row r="23" spans="1:19">
      <c r="A23" s="3447" t="s">
        <v>3269</v>
      </c>
      <c r="B23" s="3447" t="s">
        <v>3229</v>
      </c>
      <c r="C23" s="3447" t="s">
        <v>3230</v>
      </c>
      <c r="D23" s="3447">
        <v>2891.07</v>
      </c>
      <c r="E23" s="3447">
        <v>2457.41</v>
      </c>
      <c r="F23" s="3447" t="s">
        <v>3299</v>
      </c>
      <c r="G23" s="3447" t="s">
        <v>3232</v>
      </c>
      <c r="H23" s="3447" t="s">
        <v>3113</v>
      </c>
      <c r="I23" s="3447">
        <v>0</v>
      </c>
      <c r="J23" s="3447" t="s">
        <v>3300</v>
      </c>
      <c r="K23" s="3447" t="s">
        <v>3300</v>
      </c>
      <c r="L23" s="3447">
        <v>146.96</v>
      </c>
      <c r="M23" s="3447">
        <v>146.96</v>
      </c>
      <c r="N23" s="3447">
        <v>598.07000000000005</v>
      </c>
      <c r="P23" s="3447">
        <v>0</v>
      </c>
      <c r="Q23" s="3447" t="s">
        <v>3301</v>
      </c>
      <c r="R23" s="3447" t="s">
        <v>3273</v>
      </c>
      <c r="S23" s="3450">
        <f t="shared" si="0"/>
        <v>33.888429958458289</v>
      </c>
    </row>
    <row r="24" spans="1:19">
      <c r="A24" s="3447" t="s">
        <v>3302</v>
      </c>
      <c r="B24" s="3447" t="s">
        <v>3229</v>
      </c>
      <c r="C24" s="3447" t="s">
        <v>3230</v>
      </c>
      <c r="D24" s="3447">
        <v>26856.73</v>
      </c>
      <c r="E24" s="3447">
        <v>120855.29</v>
      </c>
      <c r="F24" s="3447" t="s">
        <v>3303</v>
      </c>
      <c r="G24" s="3447" t="s">
        <v>3232</v>
      </c>
      <c r="H24" s="3447" t="s">
        <v>3113</v>
      </c>
      <c r="I24" s="3447">
        <v>0</v>
      </c>
      <c r="J24" s="3447" t="s">
        <v>3304</v>
      </c>
      <c r="K24" s="3447" t="s">
        <v>3304</v>
      </c>
      <c r="L24" s="3447">
        <v>3828.61</v>
      </c>
      <c r="M24" s="3447">
        <v>3828.61</v>
      </c>
      <c r="N24" s="3447">
        <v>316.79000000000002</v>
      </c>
      <c r="P24" s="3447">
        <v>0</v>
      </c>
      <c r="Q24" s="3447" t="s">
        <v>3305</v>
      </c>
      <c r="R24" s="3447" t="s">
        <v>3306</v>
      </c>
      <c r="S24" s="3450">
        <f t="shared" si="0"/>
        <v>95.038354583748657</v>
      </c>
    </row>
    <row r="25" spans="1:19">
      <c r="A25" s="3447" t="s">
        <v>3307</v>
      </c>
      <c r="B25" s="3447" t="s">
        <v>3229</v>
      </c>
      <c r="C25" s="3447" t="s">
        <v>3230</v>
      </c>
      <c r="D25" s="3447">
        <v>2459.9499999999998</v>
      </c>
      <c r="E25" s="3447">
        <v>2459.9499999999998</v>
      </c>
      <c r="F25" s="3447" t="s">
        <v>3308</v>
      </c>
      <c r="G25" s="3447" t="s">
        <v>3232</v>
      </c>
      <c r="H25" s="3447" t="s">
        <v>3113</v>
      </c>
      <c r="I25" s="3447">
        <v>0</v>
      </c>
      <c r="J25" s="3447" t="s">
        <v>3309</v>
      </c>
      <c r="K25" s="3447" t="s">
        <v>3309</v>
      </c>
      <c r="L25" s="3447">
        <v>29.87</v>
      </c>
      <c r="M25" s="3447">
        <v>29.87</v>
      </c>
      <c r="N25" s="3447">
        <v>121.43</v>
      </c>
      <c r="P25" s="3447">
        <v>0</v>
      </c>
      <c r="Q25" s="3447" t="s">
        <v>3310</v>
      </c>
      <c r="R25" s="3447" t="s">
        <v>3253</v>
      </c>
      <c r="S25" s="3450">
        <f t="shared" si="0"/>
        <v>8.0950559564218789</v>
      </c>
    </row>
    <row r="26" spans="1:19" s="3452" customFormat="1">
      <c r="A26" s="3452" t="s">
        <v>3311</v>
      </c>
      <c r="B26" s="3452" t="s">
        <v>3229</v>
      </c>
      <c r="C26" s="3452" t="s">
        <v>3230</v>
      </c>
      <c r="D26" s="3452">
        <v>3989.14</v>
      </c>
      <c r="E26" s="3452">
        <v>1436.09</v>
      </c>
      <c r="F26" s="3452" t="s">
        <v>3312</v>
      </c>
      <c r="G26" s="3452" t="s">
        <v>3232</v>
      </c>
      <c r="H26" s="3452" t="s">
        <v>3113</v>
      </c>
      <c r="I26" s="3452">
        <v>0</v>
      </c>
      <c r="J26" s="3452" t="s">
        <v>3313</v>
      </c>
      <c r="K26" s="3452" t="s">
        <v>3313</v>
      </c>
      <c r="L26" s="3452">
        <v>455.66</v>
      </c>
      <c r="M26" s="3452">
        <v>455.66</v>
      </c>
      <c r="N26" s="3452">
        <v>3172.92</v>
      </c>
      <c r="O26" s="3452">
        <f>N26*0.36</f>
        <v>1142.2511999999999</v>
      </c>
      <c r="P26" s="3452">
        <v>0</v>
      </c>
      <c r="Q26" s="3452" t="s">
        <v>3314</v>
      </c>
      <c r="R26" s="3452" t="s">
        <v>3253</v>
      </c>
      <c r="S26" s="3453">
        <f t="shared" si="0"/>
        <v>76.150461553116713</v>
      </c>
    </row>
    <row r="27" spans="1:19">
      <c r="A27" s="3447" t="s">
        <v>3315</v>
      </c>
      <c r="B27" s="3447" t="s">
        <v>3229</v>
      </c>
      <c r="C27" s="3447" t="s">
        <v>3230</v>
      </c>
      <c r="D27" s="3447">
        <v>7014.12</v>
      </c>
      <c r="E27" s="3447">
        <v>41032.6</v>
      </c>
      <c r="F27" s="3447" t="s">
        <v>3316</v>
      </c>
      <c r="G27" s="3447" t="s">
        <v>3232</v>
      </c>
      <c r="H27" s="3447" t="s">
        <v>3113</v>
      </c>
      <c r="I27" s="3447">
        <v>0</v>
      </c>
      <c r="J27" s="3447" t="s">
        <v>3317</v>
      </c>
      <c r="K27" s="3447" t="s">
        <v>3317</v>
      </c>
      <c r="L27" s="3447">
        <v>6517.4</v>
      </c>
      <c r="M27" s="3447">
        <v>6517.4</v>
      </c>
      <c r="N27" s="3447">
        <v>1588.34</v>
      </c>
      <c r="P27" s="3447">
        <v>0</v>
      </c>
      <c r="Q27" s="3447" t="s">
        <v>3318</v>
      </c>
      <c r="R27" s="3447" t="s">
        <v>3253</v>
      </c>
      <c r="S27" s="3450">
        <f t="shared" si="0"/>
        <v>619.45832948395514</v>
      </c>
    </row>
    <row r="28" spans="1:19">
      <c r="A28" s="3447" t="s">
        <v>3319</v>
      </c>
      <c r="B28" s="3447" t="s">
        <v>3229</v>
      </c>
      <c r="C28" s="3447" t="s">
        <v>3230</v>
      </c>
      <c r="D28" s="3447">
        <v>2718.58</v>
      </c>
      <c r="E28" s="3447">
        <v>2772.95</v>
      </c>
      <c r="F28" s="3447" t="s">
        <v>3320</v>
      </c>
      <c r="G28" s="3447" t="s">
        <v>3232</v>
      </c>
      <c r="H28" s="3447" t="s">
        <v>3113</v>
      </c>
      <c r="I28" s="3447">
        <v>0</v>
      </c>
      <c r="J28" s="3447" t="s">
        <v>3321</v>
      </c>
      <c r="K28" s="3447" t="s">
        <v>3321</v>
      </c>
      <c r="L28" s="3447">
        <v>332.85</v>
      </c>
      <c r="M28" s="3447">
        <v>332.85</v>
      </c>
      <c r="N28" s="3447">
        <v>1200.3399999999999</v>
      </c>
      <c r="P28" s="3447">
        <v>0</v>
      </c>
      <c r="Q28" s="3447" t="s">
        <v>3322</v>
      </c>
      <c r="R28" s="3447" t="s">
        <v>3246</v>
      </c>
      <c r="S28" s="3450">
        <f t="shared" si="0"/>
        <v>81.623902735987173</v>
      </c>
    </row>
    <row r="29" spans="1:19">
      <c r="A29" s="3447" t="s">
        <v>3323</v>
      </c>
      <c r="B29" s="3447" t="s">
        <v>3229</v>
      </c>
      <c r="C29" s="3447" t="s">
        <v>3230</v>
      </c>
      <c r="D29" s="3447">
        <v>67236.600000000006</v>
      </c>
      <c r="E29" s="3447">
        <v>108923.3</v>
      </c>
      <c r="F29" s="3447" t="s">
        <v>3324</v>
      </c>
      <c r="G29" s="3447" t="s">
        <v>3232</v>
      </c>
      <c r="H29" s="3447" t="s">
        <v>3113</v>
      </c>
      <c r="I29" s="3447">
        <v>0</v>
      </c>
      <c r="J29" s="3447" t="s">
        <v>3325</v>
      </c>
      <c r="K29" s="3447" t="s">
        <v>3325</v>
      </c>
      <c r="L29" s="3447">
        <v>3713.88</v>
      </c>
      <c r="M29" s="3447">
        <v>3713.88</v>
      </c>
      <c r="N29" s="3447">
        <v>340.95</v>
      </c>
      <c r="P29" s="3447">
        <v>0</v>
      </c>
      <c r="Q29" s="3447" t="s">
        <v>3326</v>
      </c>
      <c r="R29" s="3447" t="s">
        <v>3273</v>
      </c>
      <c r="S29" s="3450">
        <f t="shared" si="0"/>
        <v>36.824175814957918</v>
      </c>
    </row>
    <row r="30" spans="1:19">
      <c r="A30" s="3447" t="s">
        <v>3327</v>
      </c>
      <c r="B30" s="3447" t="s">
        <v>3229</v>
      </c>
      <c r="C30" s="3447" t="s">
        <v>3230</v>
      </c>
      <c r="D30" s="3447">
        <v>14296.58</v>
      </c>
      <c r="E30" s="3447">
        <v>36599.24</v>
      </c>
      <c r="F30" s="3447" t="s">
        <v>3328</v>
      </c>
      <c r="G30" s="3447" t="s">
        <v>3232</v>
      </c>
      <c r="H30" s="3447" t="s">
        <v>3113</v>
      </c>
      <c r="I30" s="3447">
        <v>0</v>
      </c>
      <c r="J30" s="3447" t="s">
        <v>3329</v>
      </c>
      <c r="K30" s="3447" t="s">
        <v>3329</v>
      </c>
      <c r="L30" s="3447">
        <v>1181.45</v>
      </c>
      <c r="M30" s="3447">
        <v>1181.45</v>
      </c>
      <c r="N30" s="3447">
        <v>322.81</v>
      </c>
      <c r="P30" s="3447">
        <v>0</v>
      </c>
      <c r="Q30" s="3447" t="s">
        <v>3330</v>
      </c>
      <c r="R30" s="3447" t="s">
        <v>3253</v>
      </c>
      <c r="S30" s="3450">
        <f t="shared" si="0"/>
        <v>55.092705493201869</v>
      </c>
    </row>
    <row r="31" spans="1:19">
      <c r="A31" s="3447" t="s">
        <v>3331</v>
      </c>
      <c r="B31" s="3447" t="s">
        <v>3229</v>
      </c>
      <c r="C31" s="3447" t="s">
        <v>3230</v>
      </c>
      <c r="D31" s="3447">
        <v>3634.32</v>
      </c>
      <c r="E31" s="3447">
        <v>1090.3</v>
      </c>
      <c r="F31" s="3447" t="s">
        <v>3231</v>
      </c>
      <c r="G31" s="3447" t="s">
        <v>3232</v>
      </c>
      <c r="H31" s="3447" t="s">
        <v>3332</v>
      </c>
      <c r="I31" s="3447">
        <v>0</v>
      </c>
      <c r="J31" s="3447" t="s">
        <v>3333</v>
      </c>
      <c r="K31" s="3447" t="s">
        <v>3333</v>
      </c>
      <c r="L31" s="3447">
        <v>410.05</v>
      </c>
      <c r="M31" s="3447">
        <v>410.05</v>
      </c>
      <c r="N31" s="3447">
        <v>3760.88</v>
      </c>
      <c r="O31" s="3447">
        <f>N31*0.3</f>
        <v>1128.2639999999999</v>
      </c>
      <c r="P31" s="3447">
        <v>0</v>
      </c>
      <c r="Q31" s="3447" t="s">
        <v>3334</v>
      </c>
      <c r="R31" s="3447" t="s">
        <v>3306</v>
      </c>
      <c r="S31" s="3450">
        <f t="shared" si="0"/>
        <v>75.218481999383641</v>
      </c>
    </row>
    <row r="32" spans="1:19">
      <c r="A32" s="3447" t="s">
        <v>3335</v>
      </c>
      <c r="B32" s="3447" t="s">
        <v>3229</v>
      </c>
      <c r="C32" s="3447" t="s">
        <v>3230</v>
      </c>
      <c r="D32" s="3447">
        <v>32250.07</v>
      </c>
      <c r="E32" s="3447">
        <v>88687.69</v>
      </c>
      <c r="F32" s="3447" t="s">
        <v>3336</v>
      </c>
      <c r="G32" s="3447" t="s">
        <v>3232</v>
      </c>
      <c r="H32" s="3447" t="s">
        <v>3113</v>
      </c>
      <c r="I32" s="3447">
        <v>0</v>
      </c>
      <c r="J32" s="3447" t="s">
        <v>3337</v>
      </c>
      <c r="K32" s="3447" t="s">
        <v>3337</v>
      </c>
      <c r="L32" s="3447">
        <v>2261.8000000000002</v>
      </c>
      <c r="M32" s="3447">
        <v>2261.8000000000002</v>
      </c>
      <c r="N32" s="3447">
        <v>255.03</v>
      </c>
      <c r="P32" s="3447">
        <v>0</v>
      </c>
      <c r="Q32" s="3447" t="s">
        <v>3338</v>
      </c>
      <c r="R32" s="3447" t="s">
        <v>3306</v>
      </c>
      <c r="S32" s="3450">
        <f t="shared" si="0"/>
        <v>46.7556878481194</v>
      </c>
    </row>
    <row r="33" spans="1:19">
      <c r="A33" s="3447" t="s">
        <v>3339</v>
      </c>
      <c r="B33" s="3447" t="s">
        <v>3229</v>
      </c>
      <c r="C33" s="3447" t="s">
        <v>3230</v>
      </c>
      <c r="D33" s="3447">
        <v>5899.19</v>
      </c>
      <c r="E33" s="3447">
        <v>5309.27</v>
      </c>
      <c r="F33" s="3447" t="s">
        <v>3340</v>
      </c>
      <c r="G33" s="3447" t="s">
        <v>3232</v>
      </c>
      <c r="H33" s="3447" t="s">
        <v>3113</v>
      </c>
      <c r="I33" s="3447">
        <v>0</v>
      </c>
      <c r="J33" s="3447" t="s">
        <v>3341</v>
      </c>
      <c r="K33" s="3447" t="s">
        <v>3341</v>
      </c>
      <c r="L33" s="3447">
        <v>252.52</v>
      </c>
      <c r="M33" s="3447">
        <v>252.52</v>
      </c>
      <c r="N33" s="3447">
        <v>475.62</v>
      </c>
      <c r="P33" s="3447">
        <v>0</v>
      </c>
      <c r="Q33" s="3447" t="s">
        <v>3342</v>
      </c>
      <c r="R33" s="3447" t="s">
        <v>3273</v>
      </c>
      <c r="S33" s="3450">
        <f t="shared" si="0"/>
        <v>28.537393845595755</v>
      </c>
    </row>
    <row r="34" spans="1:19">
      <c r="A34" s="3447" t="s">
        <v>3343</v>
      </c>
      <c r="B34" s="3447" t="s">
        <v>3229</v>
      </c>
      <c r="C34" s="3447" t="s">
        <v>3230</v>
      </c>
      <c r="D34" s="3447">
        <v>4080.32</v>
      </c>
      <c r="E34" s="3447">
        <v>4080.32</v>
      </c>
      <c r="F34" s="3447" t="s">
        <v>3344</v>
      </c>
      <c r="G34" s="3447" t="s">
        <v>3232</v>
      </c>
      <c r="H34" s="3447" t="s">
        <v>3113</v>
      </c>
      <c r="I34" s="3447">
        <v>0</v>
      </c>
      <c r="J34" s="3447" t="s">
        <v>3345</v>
      </c>
      <c r="K34" s="3447" t="s">
        <v>3345</v>
      </c>
      <c r="L34" s="3447">
        <v>415.48</v>
      </c>
      <c r="M34" s="3447">
        <v>415.48</v>
      </c>
      <c r="N34" s="3447">
        <v>1018.25</v>
      </c>
      <c r="O34" s="3447">
        <f>N34</f>
        <v>1018.25</v>
      </c>
      <c r="P34" s="3447">
        <v>0</v>
      </c>
      <c r="Q34" s="3447" t="s">
        <v>3346</v>
      </c>
      <c r="R34" s="3447" t="s">
        <v>3253</v>
      </c>
    </row>
    <row r="35" spans="1:19">
      <c r="A35" s="3447" t="s">
        <v>3347</v>
      </c>
      <c r="B35" s="3447" t="s">
        <v>3229</v>
      </c>
      <c r="C35" s="3447" t="s">
        <v>3230</v>
      </c>
      <c r="D35" s="3447">
        <v>10176.67</v>
      </c>
      <c r="E35" s="3447">
        <v>55971.69</v>
      </c>
      <c r="F35" s="3447" t="s">
        <v>3348</v>
      </c>
      <c r="G35" s="3447" t="s">
        <v>3232</v>
      </c>
      <c r="H35" s="3447" t="s">
        <v>3332</v>
      </c>
      <c r="I35" s="3447">
        <v>0</v>
      </c>
      <c r="J35" s="3447" t="s">
        <v>3349</v>
      </c>
      <c r="K35" s="3447" t="s">
        <v>3349</v>
      </c>
      <c r="L35" s="3447">
        <v>10288.700000000001</v>
      </c>
      <c r="M35" s="3447">
        <v>10288.700000000001</v>
      </c>
      <c r="N35" s="3447">
        <v>1838.2</v>
      </c>
      <c r="P35" s="3447">
        <v>0</v>
      </c>
      <c r="Q35" s="3447" t="s">
        <v>3350</v>
      </c>
      <c r="R35" s="3447" t="s">
        <v>3253</v>
      </c>
    </row>
    <row r="36" spans="1:19">
      <c r="A36" s="3447" t="s">
        <v>3351</v>
      </c>
      <c r="B36" s="3447" t="s">
        <v>3229</v>
      </c>
      <c r="C36" s="3447" t="s">
        <v>3230</v>
      </c>
      <c r="D36" s="3447">
        <v>3341.37</v>
      </c>
      <c r="E36" s="3447">
        <v>8019.29</v>
      </c>
      <c r="F36" s="3447" t="s">
        <v>3352</v>
      </c>
      <c r="G36" s="3447" t="s">
        <v>3232</v>
      </c>
      <c r="H36" s="3447" t="s">
        <v>3353</v>
      </c>
      <c r="I36" s="3447">
        <v>0</v>
      </c>
      <c r="J36" s="3447" t="s">
        <v>3354</v>
      </c>
      <c r="K36" s="3447" t="s">
        <v>3354</v>
      </c>
      <c r="L36" s="3447">
        <v>684.71</v>
      </c>
      <c r="M36" s="3447">
        <v>684.71</v>
      </c>
      <c r="N36" s="3447">
        <v>853.83</v>
      </c>
      <c r="P36" s="3447">
        <v>0</v>
      </c>
      <c r="Q36" s="3447" t="s">
        <v>3355</v>
      </c>
      <c r="R36" s="3447" t="s">
        <v>3253</v>
      </c>
    </row>
    <row r="37" spans="1:19">
      <c r="A37" s="3447" t="s">
        <v>3269</v>
      </c>
      <c r="B37" s="3447" t="s">
        <v>3229</v>
      </c>
      <c r="C37" s="3447" t="s">
        <v>3230</v>
      </c>
      <c r="D37" s="3447">
        <v>13996</v>
      </c>
      <c r="E37" s="3447">
        <v>15955.44</v>
      </c>
      <c r="F37" s="3447" t="s">
        <v>3356</v>
      </c>
      <c r="G37" s="3447" t="s">
        <v>3232</v>
      </c>
      <c r="H37" s="3447" t="s">
        <v>3353</v>
      </c>
      <c r="I37" s="3447">
        <v>0</v>
      </c>
      <c r="J37" s="3447" t="s">
        <v>3357</v>
      </c>
      <c r="K37" s="3447" t="s">
        <v>3357</v>
      </c>
      <c r="L37" s="3447">
        <v>711.1</v>
      </c>
      <c r="M37" s="3447">
        <v>711.1</v>
      </c>
      <c r="N37" s="3447">
        <v>445.68</v>
      </c>
      <c r="P37" s="3447">
        <v>0</v>
      </c>
      <c r="Q37" s="3447" t="s">
        <v>3270</v>
      </c>
      <c r="R37" s="3447" t="s">
        <v>3273</v>
      </c>
    </row>
    <row r="38" spans="1:19">
      <c r="A38" s="3447" t="s">
        <v>3358</v>
      </c>
      <c r="B38" s="3447" t="s">
        <v>3229</v>
      </c>
      <c r="C38" s="3447" t="s">
        <v>3230</v>
      </c>
      <c r="D38" s="3447">
        <v>8845.14</v>
      </c>
      <c r="E38" s="3447">
        <v>33965.339999999997</v>
      </c>
      <c r="F38" s="3447" t="s">
        <v>3359</v>
      </c>
      <c r="G38" s="3447" t="s">
        <v>3232</v>
      </c>
      <c r="H38" s="3447" t="s">
        <v>3113</v>
      </c>
      <c r="I38" s="3447">
        <v>0</v>
      </c>
      <c r="J38" s="3447" t="s">
        <v>3360</v>
      </c>
      <c r="K38" s="3447" t="s">
        <v>3360</v>
      </c>
      <c r="L38" s="3447">
        <v>5758.18</v>
      </c>
      <c r="M38" s="3447">
        <v>5758.18</v>
      </c>
      <c r="N38" s="3447">
        <v>1695.3</v>
      </c>
      <c r="P38" s="3447">
        <v>0</v>
      </c>
      <c r="Q38" s="3447" t="s">
        <v>3361</v>
      </c>
      <c r="R38" s="3447" t="s">
        <v>3273</v>
      </c>
    </row>
    <row r="39" spans="1:19">
      <c r="A39" s="3447" t="s">
        <v>3358</v>
      </c>
      <c r="B39" s="3447" t="s">
        <v>3229</v>
      </c>
      <c r="C39" s="3447" t="s">
        <v>3230</v>
      </c>
      <c r="D39" s="3447">
        <v>8845.14</v>
      </c>
      <c r="E39" s="3447">
        <v>33965.339999999997</v>
      </c>
      <c r="F39" s="3447" t="s">
        <v>3359</v>
      </c>
      <c r="G39" s="3447" t="s">
        <v>3232</v>
      </c>
      <c r="H39" s="3447" t="s">
        <v>3353</v>
      </c>
      <c r="I39" s="3447">
        <v>0</v>
      </c>
      <c r="J39" s="3447" t="s">
        <v>3362</v>
      </c>
      <c r="K39" s="3447" t="s">
        <v>3360</v>
      </c>
      <c r="L39" s="3447">
        <v>5758.18</v>
      </c>
      <c r="M39" s="3447">
        <v>5758.18</v>
      </c>
      <c r="N39" s="3447">
        <v>1695.3</v>
      </c>
      <c r="P39" s="3447">
        <v>0</v>
      </c>
      <c r="Q39" s="3447" t="s">
        <v>3361</v>
      </c>
      <c r="R39" s="3447" t="s">
        <v>3273</v>
      </c>
    </row>
    <row r="40" spans="1:19">
      <c r="A40" s="3447" t="s">
        <v>3363</v>
      </c>
      <c r="B40" s="3447" t="s">
        <v>3229</v>
      </c>
      <c r="C40" s="3447" t="s">
        <v>3230</v>
      </c>
      <c r="D40" s="3447">
        <v>4215</v>
      </c>
      <c r="E40" s="3447">
        <v>843</v>
      </c>
      <c r="F40" s="3447" t="s">
        <v>3364</v>
      </c>
      <c r="G40" s="3447" t="s">
        <v>3232</v>
      </c>
      <c r="H40" s="3447" t="s">
        <v>3332</v>
      </c>
      <c r="I40" s="3447">
        <v>0</v>
      </c>
      <c r="J40" s="3447" t="s">
        <v>3365</v>
      </c>
      <c r="K40" s="3447" t="s">
        <v>3365</v>
      </c>
      <c r="L40" s="3447">
        <v>416.8</v>
      </c>
      <c r="M40" s="3447">
        <v>416.8</v>
      </c>
      <c r="N40" s="3447">
        <v>4944.25</v>
      </c>
      <c r="P40" s="3447">
        <v>0</v>
      </c>
      <c r="Q40" s="3447" t="s">
        <v>3268</v>
      </c>
      <c r="R40" s="3447" t="s">
        <v>3273</v>
      </c>
    </row>
    <row r="41" spans="1:19">
      <c r="A41" s="3447" t="s">
        <v>3366</v>
      </c>
      <c r="B41" s="3447" t="s">
        <v>3229</v>
      </c>
      <c r="C41" s="3447" t="s">
        <v>3230</v>
      </c>
      <c r="D41" s="3447">
        <v>4362.32</v>
      </c>
      <c r="E41" s="3447">
        <v>6499.86</v>
      </c>
      <c r="F41" s="3447" t="s">
        <v>3367</v>
      </c>
      <c r="G41" s="3447" t="s">
        <v>3232</v>
      </c>
      <c r="H41" s="3447" t="s">
        <v>3353</v>
      </c>
      <c r="I41" s="3447">
        <v>0</v>
      </c>
      <c r="J41" s="3447" t="s">
        <v>3368</v>
      </c>
      <c r="K41" s="3447" t="s">
        <v>3368</v>
      </c>
      <c r="L41" s="3447">
        <v>222.8</v>
      </c>
      <c r="M41" s="3447">
        <v>222.8</v>
      </c>
      <c r="N41" s="3447">
        <v>342.77</v>
      </c>
      <c r="P41" s="3447">
        <v>0</v>
      </c>
      <c r="Q41" s="3447" t="s">
        <v>3270</v>
      </c>
      <c r="R41" s="3447" t="s">
        <v>3273</v>
      </c>
    </row>
    <row r="42" spans="1:19">
      <c r="A42" s="3447" t="s">
        <v>3369</v>
      </c>
      <c r="B42" s="3447" t="s">
        <v>3229</v>
      </c>
      <c r="C42" s="3447" t="s">
        <v>3230</v>
      </c>
      <c r="D42" s="3447">
        <v>15301.36</v>
      </c>
      <c r="E42" s="3447">
        <v>44832.98</v>
      </c>
      <c r="F42" s="3447" t="s">
        <v>3370</v>
      </c>
      <c r="G42" s="3447" t="s">
        <v>3232</v>
      </c>
      <c r="H42" s="3447" t="s">
        <v>3332</v>
      </c>
      <c r="I42" s="3447">
        <v>0</v>
      </c>
      <c r="J42" s="3447" t="s">
        <v>3371</v>
      </c>
      <c r="K42" s="3447" t="s">
        <v>3372</v>
      </c>
      <c r="L42" s="3447">
        <v>5304.3</v>
      </c>
      <c r="M42" s="3447">
        <v>5304.3</v>
      </c>
      <c r="N42" s="3447">
        <v>1183.1099999999999</v>
      </c>
      <c r="P42" s="3447">
        <v>0</v>
      </c>
      <c r="Q42" s="3447" t="s">
        <v>3261</v>
      </c>
      <c r="R42" s="3447" t="s">
        <v>3253</v>
      </c>
    </row>
    <row r="43" spans="1:19">
      <c r="A43" s="3447" t="s">
        <v>3373</v>
      </c>
      <c r="B43" s="3447" t="s">
        <v>3229</v>
      </c>
      <c r="C43" s="3447" t="s">
        <v>3230</v>
      </c>
      <c r="D43" s="3447">
        <v>3113.66</v>
      </c>
      <c r="E43" s="3447">
        <v>311.37</v>
      </c>
      <c r="F43" s="3447" t="s">
        <v>3374</v>
      </c>
      <c r="G43" s="3447" t="s">
        <v>3232</v>
      </c>
      <c r="H43" s="3447" t="s">
        <v>3332</v>
      </c>
      <c r="I43" s="3447">
        <v>0</v>
      </c>
      <c r="J43" s="3447" t="s">
        <v>3375</v>
      </c>
      <c r="K43" s="3447" t="s">
        <v>3375</v>
      </c>
      <c r="L43" s="3447">
        <v>446.19</v>
      </c>
      <c r="M43" s="3447">
        <v>446.19</v>
      </c>
      <c r="N43" s="3447">
        <v>14330.21</v>
      </c>
      <c r="P43" s="3447">
        <v>0</v>
      </c>
      <c r="Q43" s="3447" t="s">
        <v>3283</v>
      </c>
      <c r="R43" s="3447" t="s">
        <v>3246</v>
      </c>
    </row>
    <row r="44" spans="1:19">
      <c r="A44" s="3447" t="s">
        <v>3376</v>
      </c>
      <c r="B44" s="3447" t="s">
        <v>3229</v>
      </c>
      <c r="C44" s="3447" t="s">
        <v>3230</v>
      </c>
      <c r="D44" s="3447">
        <v>2812.08</v>
      </c>
      <c r="E44" s="3447">
        <v>9561.07</v>
      </c>
      <c r="F44" s="3447" t="s">
        <v>3377</v>
      </c>
      <c r="G44" s="3447" t="s">
        <v>3232</v>
      </c>
      <c r="H44" s="3447" t="s">
        <v>3113</v>
      </c>
      <c r="I44" s="3447">
        <v>0</v>
      </c>
      <c r="J44" s="3447" t="s">
        <v>3378</v>
      </c>
      <c r="K44" s="3447" t="s">
        <v>3378</v>
      </c>
      <c r="L44" s="3447" t="s">
        <v>1298</v>
      </c>
      <c r="M44" s="3447">
        <v>1343.09</v>
      </c>
      <c r="N44" s="3447">
        <v>1404.75</v>
      </c>
      <c r="P44" s="3447" t="s">
        <v>1298</v>
      </c>
      <c r="Q44" s="3447" t="s">
        <v>3379</v>
      </c>
      <c r="R44" s="3447" t="s">
        <v>3253</v>
      </c>
    </row>
    <row r="45" spans="1:19">
      <c r="A45" s="3447" t="s">
        <v>3380</v>
      </c>
      <c r="B45" s="3447" t="s">
        <v>3229</v>
      </c>
      <c r="C45" s="3447" t="s">
        <v>3230</v>
      </c>
      <c r="D45" s="3447">
        <v>4726.33</v>
      </c>
      <c r="E45" s="3447">
        <v>945.27</v>
      </c>
      <c r="F45" s="3447" t="s">
        <v>3381</v>
      </c>
      <c r="G45" s="3447" t="s">
        <v>3232</v>
      </c>
      <c r="H45" s="3447" t="s">
        <v>3113</v>
      </c>
      <c r="I45" s="3447">
        <v>0</v>
      </c>
      <c r="J45" s="3447" t="s">
        <v>3382</v>
      </c>
      <c r="K45" s="3447" t="s">
        <v>3382</v>
      </c>
      <c r="L45" s="3447" t="s">
        <v>1298</v>
      </c>
      <c r="M45" s="3447">
        <v>263.60000000000002</v>
      </c>
      <c r="N45" s="3447">
        <v>2788.61</v>
      </c>
      <c r="P45" s="3447" t="s">
        <v>1298</v>
      </c>
      <c r="Q45" s="3447" t="s">
        <v>3383</v>
      </c>
      <c r="R45" s="3447" t="s">
        <v>3306</v>
      </c>
    </row>
    <row r="46" spans="1:19">
      <c r="A46" s="3447" t="s">
        <v>3384</v>
      </c>
      <c r="B46" s="3447" t="s">
        <v>3229</v>
      </c>
      <c r="C46" s="3447" t="s">
        <v>3237</v>
      </c>
      <c r="D46" s="3447">
        <v>94035.91</v>
      </c>
      <c r="E46" s="3447">
        <v>18807.18</v>
      </c>
      <c r="F46" s="3447" t="s">
        <v>3385</v>
      </c>
      <c r="G46" s="3447" t="s">
        <v>3232</v>
      </c>
      <c r="H46" s="3447" t="s">
        <v>3386</v>
      </c>
      <c r="I46" s="3447">
        <v>0</v>
      </c>
      <c r="J46" s="3447" t="s">
        <v>3387</v>
      </c>
      <c r="K46" s="3447" t="s">
        <v>3387</v>
      </c>
      <c r="L46" s="3447">
        <v>1950</v>
      </c>
      <c r="M46" s="3447">
        <v>3921.3</v>
      </c>
      <c r="N46" s="3447">
        <v>2085</v>
      </c>
      <c r="P46" s="3447">
        <v>101.09</v>
      </c>
      <c r="Q46" s="3447" t="s">
        <v>3388</v>
      </c>
      <c r="R46" s="3447" t="s">
        <v>3235</v>
      </c>
    </row>
    <row r="47" spans="1:19">
      <c r="A47" s="3447" t="s">
        <v>3384</v>
      </c>
      <c r="B47" s="3447" t="s">
        <v>3229</v>
      </c>
      <c r="C47" s="3447" t="s">
        <v>3237</v>
      </c>
      <c r="D47" s="3447">
        <v>82916.19</v>
      </c>
      <c r="E47" s="3447">
        <v>16583.240000000002</v>
      </c>
      <c r="F47" s="3447" t="s">
        <v>3385</v>
      </c>
      <c r="G47" s="3447" t="s">
        <v>3232</v>
      </c>
      <c r="H47" s="3447" t="s">
        <v>3386</v>
      </c>
      <c r="I47" s="3447">
        <v>0</v>
      </c>
      <c r="J47" s="3447" t="s">
        <v>3387</v>
      </c>
      <c r="K47" s="3447" t="s">
        <v>3387</v>
      </c>
      <c r="L47" s="3447">
        <v>3772.69</v>
      </c>
      <c r="M47" s="3447">
        <v>3772.69</v>
      </c>
      <c r="N47" s="3447">
        <v>2275</v>
      </c>
      <c r="P47" s="3447">
        <v>0</v>
      </c>
      <c r="Q47" s="3447" t="s">
        <v>3389</v>
      </c>
      <c r="R47" s="3447" t="s">
        <v>3235</v>
      </c>
    </row>
    <row r="48" spans="1:19">
      <c r="A48" s="3447" t="s">
        <v>3390</v>
      </c>
      <c r="B48" s="3447" t="s">
        <v>3229</v>
      </c>
      <c r="C48" s="3447" t="s">
        <v>3230</v>
      </c>
      <c r="D48" s="3447">
        <v>3653.01</v>
      </c>
      <c r="E48" s="3447">
        <v>7306.02</v>
      </c>
      <c r="F48" s="3447" t="s">
        <v>3391</v>
      </c>
      <c r="G48" s="3447" t="s">
        <v>3232</v>
      </c>
      <c r="H48" s="3447" t="s">
        <v>3113</v>
      </c>
      <c r="I48" s="3447">
        <v>0</v>
      </c>
      <c r="J48" s="3447" t="s">
        <v>3392</v>
      </c>
      <c r="K48" s="3447" t="s">
        <v>3392</v>
      </c>
      <c r="L48" s="3447">
        <v>184.09</v>
      </c>
      <c r="M48" s="3447">
        <v>184.09</v>
      </c>
      <c r="N48" s="3447">
        <v>251.97</v>
      </c>
      <c r="P48" s="3447">
        <v>0</v>
      </c>
      <c r="Q48" s="3447" t="s">
        <v>3270</v>
      </c>
      <c r="R48" s="3447" t="s">
        <v>3273</v>
      </c>
    </row>
    <row r="49" spans="1:18">
      <c r="A49" s="3447" t="s">
        <v>3393</v>
      </c>
      <c r="B49" s="3447" t="s">
        <v>3229</v>
      </c>
      <c r="C49" s="3447" t="s">
        <v>3230</v>
      </c>
      <c r="D49" s="3447">
        <v>981.32</v>
      </c>
      <c r="E49" s="3447">
        <v>1864.51</v>
      </c>
      <c r="F49" s="3447" t="s">
        <v>3394</v>
      </c>
      <c r="G49" s="3447" t="s">
        <v>3232</v>
      </c>
      <c r="H49" s="3447" t="s">
        <v>3113</v>
      </c>
      <c r="I49" s="3447">
        <v>0</v>
      </c>
      <c r="J49" s="3447" t="s">
        <v>3395</v>
      </c>
      <c r="K49" s="3447" t="s">
        <v>3395</v>
      </c>
      <c r="L49" s="3447" t="s">
        <v>1298</v>
      </c>
      <c r="M49" s="3447">
        <v>60.64</v>
      </c>
      <c r="N49" s="3447">
        <v>325.29000000000002</v>
      </c>
      <c r="P49" s="3447" t="s">
        <v>1298</v>
      </c>
      <c r="Q49" s="3447" t="s">
        <v>3396</v>
      </c>
      <c r="R49" s="3447" t="s">
        <v>3273</v>
      </c>
    </row>
    <row r="50" spans="1:18">
      <c r="A50" s="3447" t="s">
        <v>3397</v>
      </c>
      <c r="B50" s="3447" t="s">
        <v>3229</v>
      </c>
      <c r="C50" s="3447" t="s">
        <v>3230</v>
      </c>
      <c r="D50" s="3447">
        <v>3461.3</v>
      </c>
      <c r="E50" s="3447">
        <v>3807.43</v>
      </c>
      <c r="F50" s="3447" t="s">
        <v>3398</v>
      </c>
      <c r="G50" s="3447" t="s">
        <v>3232</v>
      </c>
      <c r="H50" s="3447" t="s">
        <v>3113</v>
      </c>
      <c r="I50" s="3447">
        <v>0</v>
      </c>
      <c r="J50" s="3447" t="s">
        <v>3399</v>
      </c>
      <c r="K50" s="3447" t="s">
        <v>3399</v>
      </c>
      <c r="L50" s="3447" t="s">
        <v>1298</v>
      </c>
      <c r="M50" s="3447">
        <v>523.70000000000005</v>
      </c>
      <c r="N50" s="3447">
        <v>1375.47</v>
      </c>
      <c r="P50" s="3447" t="s">
        <v>1298</v>
      </c>
      <c r="Q50" s="3447" t="s">
        <v>3400</v>
      </c>
      <c r="R50" s="3447" t="s">
        <v>3253</v>
      </c>
    </row>
    <row r="51" spans="1:18">
      <c r="A51" s="3447" t="s">
        <v>3401</v>
      </c>
      <c r="B51" s="3447" t="s">
        <v>3229</v>
      </c>
      <c r="C51" s="3447" t="s">
        <v>3230</v>
      </c>
      <c r="D51" s="3447">
        <v>10964.12</v>
      </c>
      <c r="E51" s="3447">
        <v>64688.31</v>
      </c>
      <c r="F51" s="3447" t="s">
        <v>3402</v>
      </c>
      <c r="G51" s="3447" t="s">
        <v>3232</v>
      </c>
      <c r="H51" s="3447" t="s">
        <v>3332</v>
      </c>
      <c r="I51" s="3447">
        <v>0</v>
      </c>
      <c r="J51" s="3447" t="s">
        <v>3403</v>
      </c>
      <c r="K51" s="3447" t="s">
        <v>3403</v>
      </c>
      <c r="L51" s="3447" t="s">
        <v>1298</v>
      </c>
      <c r="M51" s="3447">
        <v>1396.82</v>
      </c>
      <c r="N51" s="3447">
        <v>215.93</v>
      </c>
      <c r="P51" s="3447" t="s">
        <v>1298</v>
      </c>
      <c r="Q51" s="3447" t="s">
        <v>3404</v>
      </c>
      <c r="R51" s="3447" t="s">
        <v>3253</v>
      </c>
    </row>
  </sheetData>
  <phoneticPr fontId="140" type="noConversion"/>
  <pageMargins left="0.75" right="0.75" top="1" bottom="1" header="0.5" footer="0.5"/>
  <pageSetup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677" t="str">
        <f>IF(项目基本情况!B9="房地产市场价值","估价结果一览表","结果表-2")</f>
        <v>估价结果一览表</v>
      </c>
      <c r="B1" s="3677"/>
      <c r="C1" s="3677"/>
      <c r="D1" s="3677"/>
      <c r="E1" s="3677"/>
      <c r="F1" s="3677"/>
      <c r="G1" s="3677"/>
      <c r="H1" s="3677"/>
      <c r="I1" s="3677"/>
    </row>
    <row r="2" spans="1:9" ht="30" customHeight="1" thickTop="1">
      <c r="A2" s="3678" t="s">
        <v>1606</v>
      </c>
      <c r="B2" s="3678" t="s">
        <v>1607</v>
      </c>
      <c r="C2" s="3678" t="s">
        <v>1608</v>
      </c>
      <c r="D2" s="3678" t="str">
        <f>结果表!D116</f>
        <v>出让国有建设用地使用权价值</v>
      </c>
      <c r="E2" s="3678"/>
      <c r="F2" s="3678" t="str">
        <f>结果表!F116</f>
        <v>在建建筑物价值</v>
      </c>
      <c r="G2" s="3678"/>
      <c r="H2" s="3678" t="str">
        <f>IF(项目基本情况!B9="房地产市场价值","房地产市场价值","房地产价值")</f>
        <v>房地产市场价值</v>
      </c>
      <c r="I2" s="3678"/>
    </row>
    <row r="3" spans="1:9" ht="15">
      <c r="A3" s="3679"/>
      <c r="B3" s="3679"/>
      <c r="C3" s="3679"/>
      <c r="D3" s="963" t="s">
        <v>1603</v>
      </c>
      <c r="E3" s="963" t="s">
        <v>1609</v>
      </c>
      <c r="F3" s="963" t="s">
        <v>1603</v>
      </c>
      <c r="G3" s="963" t="s">
        <v>1604</v>
      </c>
      <c r="H3" s="963" t="s">
        <v>1603</v>
      </c>
      <c r="I3" s="963" t="s">
        <v>1604</v>
      </c>
    </row>
    <row r="4" spans="1:9" ht="15">
      <c r="A4" s="1690" t="str">
        <f>项目基本情况!S2</f>
        <v>房地产</v>
      </c>
      <c r="B4" s="963">
        <f>项目基本情况!C17</f>
        <v>313.63</v>
      </c>
      <c r="C4" s="963">
        <f>项目基本情况!C18</f>
        <v>1442.46</v>
      </c>
      <c r="D4" s="963">
        <f ca="1">结果表!D118</f>
        <v>225</v>
      </c>
      <c r="E4" s="963">
        <f ca="1">结果表!E118</f>
        <v>7171</v>
      </c>
      <c r="F4" s="963">
        <f ca="1">结果表!F118</f>
        <v>132</v>
      </c>
      <c r="G4" s="963">
        <f ca="1">结果表!G118</f>
        <v>4212</v>
      </c>
      <c r="H4" s="963">
        <f ca="1">结果表!H118</f>
        <v>357</v>
      </c>
      <c r="I4" s="963">
        <f ca="1">结果表!I118</f>
        <v>11383</v>
      </c>
    </row>
    <row r="5" spans="1:9" ht="30" customHeight="1">
      <c r="A5" s="3679" t="s">
        <v>1605</v>
      </c>
      <c r="B5" s="3679"/>
      <c r="C5" s="3679"/>
      <c r="D5" s="3680" t="str">
        <f ca="1">结果表!D119</f>
        <v>贰佰贰拾伍万元整</v>
      </c>
      <c r="E5" s="3680"/>
      <c r="F5" s="3680" t="str">
        <f ca="1">结果表!F119</f>
        <v>壹佰叁拾贰万元整</v>
      </c>
      <c r="G5" s="3680"/>
      <c r="H5" s="3680" t="str">
        <f ca="1">结果表!H119</f>
        <v>叁佰伍拾柒万元整</v>
      </c>
      <c r="I5" s="3680"/>
    </row>
    <row r="6" spans="1:9" ht="15.75">
      <c r="A6" s="3681" t="str">
        <f>结果表!A120</f>
        <v/>
      </c>
      <c r="B6" s="3681"/>
      <c r="C6" s="3681"/>
      <c r="D6" s="3681">
        <f>结果表!D120</f>
        <v>0</v>
      </c>
      <c r="E6" s="3681"/>
      <c r="F6" s="3681"/>
      <c r="G6" s="3681"/>
      <c r="H6" s="3681"/>
      <c r="I6" s="3681"/>
    </row>
    <row r="7" spans="1:9" ht="15">
      <c r="A7" s="3679" t="s">
        <v>1605</v>
      </c>
      <c r="B7" s="3679"/>
      <c r="C7" s="3679"/>
      <c r="D7" s="3682" t="str">
        <f>结果表!D121</f>
        <v>零元整</v>
      </c>
      <c r="E7" s="3683"/>
      <c r="F7" s="3683"/>
      <c r="G7" s="3683"/>
      <c r="H7" s="3683"/>
      <c r="I7" s="3684"/>
    </row>
    <row r="8" spans="1:9" ht="15.75">
      <c r="A8" s="3681" t="str">
        <f>结果表!A122</f>
        <v/>
      </c>
      <c r="B8" s="3681"/>
      <c r="C8" s="3681"/>
      <c r="D8" s="3681" t="str">
        <f>结果表!D122</f>
        <v>——</v>
      </c>
      <c r="E8" s="3681"/>
      <c r="F8" s="3681"/>
      <c r="G8" s="3681"/>
      <c r="H8" s="3681"/>
      <c r="I8" s="3681"/>
    </row>
    <row r="9" spans="1:9" ht="15">
      <c r="A9" s="3679" t="s">
        <v>1605</v>
      </c>
      <c r="B9" s="3679"/>
      <c r="C9" s="3679"/>
      <c r="D9" s="3680" t="e">
        <f>结果表!D123</f>
        <v>#VALUE!</v>
      </c>
      <c r="E9" s="3680"/>
      <c r="F9" s="3680"/>
      <c r="G9" s="3680"/>
      <c r="H9" s="3680"/>
      <c r="I9" s="3680"/>
    </row>
    <row r="10" spans="1:9" ht="15.75">
      <c r="A10" s="3681" t="str">
        <f>结果表!A124</f>
        <v/>
      </c>
      <c r="B10" s="3681"/>
      <c r="C10" s="3681"/>
      <c r="D10" s="3681">
        <f ca="1">结果表!D124</f>
        <v>357</v>
      </c>
      <c r="E10" s="3681"/>
      <c r="F10" s="3681"/>
      <c r="G10" s="3681"/>
      <c r="H10" s="3681"/>
      <c r="I10" s="3681"/>
    </row>
    <row r="11" spans="1:9" ht="15">
      <c r="A11" s="3679" t="s">
        <v>1605</v>
      </c>
      <c r="B11" s="3679"/>
      <c r="C11" s="3679"/>
      <c r="D11" s="3680" t="str">
        <f ca="1">结果表!D125</f>
        <v>叁佰伍拾柒万元整</v>
      </c>
      <c r="E11" s="3680"/>
      <c r="F11" s="3680"/>
      <c r="G11" s="3680"/>
      <c r="H11" s="3680"/>
      <c r="I11" s="3680"/>
    </row>
    <row r="12" spans="1:9" ht="15.75">
      <c r="A12" s="3681" t="str">
        <f>结果表!A126</f>
        <v/>
      </c>
      <c r="B12" s="3681"/>
      <c r="C12" s="3681"/>
      <c r="D12" s="3681" t="str">
        <f>结果表!D126</f>
        <v>——</v>
      </c>
      <c r="E12" s="3681"/>
      <c r="F12" s="3681"/>
      <c r="G12" s="3681"/>
      <c r="H12" s="3681"/>
      <c r="I12" s="3681"/>
    </row>
    <row r="13" spans="1:9" ht="15.75" thickBot="1">
      <c r="A13" s="3685" t="s">
        <v>1605</v>
      </c>
      <c r="B13" s="3685"/>
      <c r="C13" s="3685"/>
      <c r="D13" s="3686" t="e">
        <f>结果表!D127</f>
        <v>#VALUE!</v>
      </c>
      <c r="E13" s="3686"/>
      <c r="F13" s="3686"/>
      <c r="G13" s="3686"/>
      <c r="H13" s="3686"/>
      <c r="I13" s="3686"/>
    </row>
    <row r="14" spans="1:9" ht="15" thickTop="1">
      <c r="A14" s="3687" t="s">
        <v>1610</v>
      </c>
      <c r="B14" s="3687"/>
      <c r="C14" s="3687"/>
      <c r="D14" s="3687"/>
      <c r="E14" s="3687"/>
      <c r="F14" s="3687"/>
      <c r="G14" s="3687"/>
      <c r="H14" s="3687"/>
      <c r="I14" s="368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688" t="s">
        <v>1627</v>
      </c>
      <c r="B1" s="3688"/>
      <c r="C1" s="3688"/>
      <c r="D1" s="3688"/>
    </row>
    <row r="2" spans="1:4" ht="18">
      <c r="A2" s="3689" t="s">
        <v>1611</v>
      </c>
      <c r="B2" s="3689"/>
      <c r="C2" s="3689"/>
      <c r="D2" s="3689"/>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689" t="s">
        <v>1617</v>
      </c>
      <c r="B6" s="3689"/>
      <c r="C6" s="3689"/>
      <c r="D6" s="368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690" t="s">
        <v>1620</v>
      </c>
      <c r="B11" s="3691"/>
      <c r="C11" s="3691"/>
      <c r="D11" s="3691"/>
    </row>
    <row r="12" spans="1:4" ht="15.75">
      <c r="A12" s="3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2"/>
      <c r="C12" s="3692"/>
      <c r="D12" s="3692"/>
    </row>
    <row r="13" spans="1:4" ht="30" customHeight="1">
      <c r="A13" s="3691" t="str">
        <f>IF(项目基本情况!B8="抵押","3.抵押双方在办理抵押登记手续时，应使用本公司出具的正式《房地产评估报告》，特提醒报告使用者注意。","——")</f>
        <v>——</v>
      </c>
      <c r="B13" s="3692"/>
      <c r="C13" s="3692"/>
      <c r="D13" s="3692"/>
    </row>
    <row r="14" spans="1:4" ht="15.75" customHeight="1">
      <c r="A14" s="3691" t="str">
        <f>IF(项目基本情况!B8="抵押","4.本次评估估价师所知悉的法定优先受偿款情况说明如下：","——")</f>
        <v>——</v>
      </c>
      <c r="B14" s="3692"/>
      <c r="C14" s="3692"/>
      <c r="D14" s="3692"/>
    </row>
    <row r="15" spans="1:4" ht="42" customHeight="1">
      <c r="A15" s="3691" t="str">
        <f>IF(项目基本情况!B8="抵押","（1）"&amp;CONCATENATE(项目基本情况!L20,项目基本情况!L21,项目基本情况!L22),"——")</f>
        <v>——</v>
      </c>
      <c r="B15" s="3691"/>
      <c r="C15" s="3691"/>
      <c r="D15" s="3691"/>
    </row>
    <row r="16" spans="1:4" ht="30" customHeight="1">
      <c r="A16" s="3694" t="s">
        <v>1621</v>
      </c>
      <c r="B16" s="3694"/>
      <c r="C16" s="3694"/>
      <c r="D16" s="3694"/>
    </row>
    <row r="17" spans="1:4" ht="144" customHeight="1">
      <c r="A17" s="3694" t="s">
        <v>1622</v>
      </c>
      <c r="B17" s="3694"/>
      <c r="C17" s="3694"/>
      <c r="D17" s="3694"/>
    </row>
    <row r="18" spans="1:4" ht="15.75" customHeight="1">
      <c r="A18" s="3691" t="str">
        <f>IF(项目基本情况!B8="抵押",结果表!K120,"——")</f>
        <v>——</v>
      </c>
      <c r="B18" s="3691"/>
      <c r="C18" s="3691"/>
      <c r="D18" s="3691"/>
    </row>
    <row r="19" spans="1:4" ht="46.5" customHeight="1">
      <c r="A19" s="3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1"/>
      <c r="C19" s="3691"/>
      <c r="D19" s="3691"/>
    </row>
    <row r="20" spans="1:4" ht="57.75" customHeight="1">
      <c r="A20" s="3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1"/>
      <c r="C20" s="3691"/>
      <c r="D20" s="3691"/>
    </row>
    <row r="21" spans="1:4" ht="57.75" customHeight="1">
      <c r="A21" s="36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5"/>
      <c r="C21" s="3695"/>
      <c r="D21" s="3695"/>
    </row>
    <row r="22" spans="1:4" ht="18.75" customHeight="1">
      <c r="A22" s="3696" t="s">
        <v>1623</v>
      </c>
      <c r="B22" s="3696"/>
      <c r="C22" s="3696"/>
      <c r="D22" s="369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693">
        <v>42551</v>
      </c>
      <c r="D31" s="36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702" t="s">
        <v>1634</v>
      </c>
      <c r="B15" s="3697" t="s">
        <v>136</v>
      </c>
      <c r="C15" s="3698"/>
    </row>
    <row r="16" spans="1:7" ht="13.5">
      <c r="A16" s="3703"/>
      <c r="B16" s="3697" t="s">
        <v>69</v>
      </c>
      <c r="C16" s="3698"/>
    </row>
    <row r="17" spans="1:3" ht="13.5">
      <c r="A17" s="3703"/>
      <c r="B17" s="3700" t="s">
        <v>1635</v>
      </c>
      <c r="C17" s="1717" t="s">
        <v>1634</v>
      </c>
    </row>
    <row r="18" spans="1:3" ht="13.5">
      <c r="A18" s="3703"/>
      <c r="B18" s="3700"/>
      <c r="C18" s="1717" t="s">
        <v>1636</v>
      </c>
    </row>
    <row r="19" spans="1:3" ht="13.5">
      <c r="A19" s="3703"/>
      <c r="B19" s="3700"/>
      <c r="C19" s="1717" t="s">
        <v>1637</v>
      </c>
    </row>
    <row r="20" spans="1:3" ht="13.5">
      <c r="A20" s="3704"/>
      <c r="B20" s="3699" t="s">
        <v>1638</v>
      </c>
      <c r="C20" s="3698"/>
    </row>
    <row r="21" spans="1:3" ht="13.5">
      <c r="A21" s="1718" t="s">
        <v>1639</v>
      </c>
      <c r="B21" s="1719"/>
      <c r="C21" s="1720"/>
    </row>
    <row r="22" spans="1:3" ht="13.5">
      <c r="A22" s="3701" t="s">
        <v>1640</v>
      </c>
      <c r="B22" s="3699" t="s">
        <v>1641</v>
      </c>
      <c r="C22" s="3698"/>
    </row>
    <row r="23" spans="1:3" ht="13.5">
      <c r="A23" s="3701"/>
      <c r="B23" s="3699" t="s">
        <v>1642</v>
      </c>
      <c r="C23" s="3698"/>
    </row>
    <row r="24" spans="1:3" ht="13.5">
      <c r="A24" s="3701"/>
      <c r="B24" s="3699" t="s">
        <v>1643</v>
      </c>
      <c r="C24" s="3698"/>
    </row>
    <row r="25" spans="1:3" ht="13.5">
      <c r="A25" s="3701"/>
      <c r="B25" s="3700" t="s">
        <v>1644</v>
      </c>
      <c r="C25" s="1717" t="s">
        <v>1645</v>
      </c>
    </row>
    <row r="26" spans="1:3" ht="13.5">
      <c r="A26" s="3701"/>
      <c r="B26" s="3700"/>
      <c r="C26" s="1717" t="s">
        <v>1646</v>
      </c>
    </row>
    <row r="27" spans="1:3" ht="13.5">
      <c r="A27" s="3701"/>
      <c r="B27" s="3700"/>
      <c r="C27" s="1717" t="s">
        <v>1647</v>
      </c>
    </row>
    <row r="28" spans="1:3" ht="13.5">
      <c r="A28" s="3701"/>
      <c r="B28" s="3700"/>
      <c r="C28" s="1717" t="s">
        <v>1648</v>
      </c>
    </row>
    <row r="29" spans="1:3" ht="13.5">
      <c r="A29" s="3701"/>
      <c r="B29" s="3700"/>
      <c r="C29" s="1717" t="s">
        <v>1649</v>
      </c>
    </row>
    <row r="30" spans="1:3" ht="13.5">
      <c r="A30" s="3701"/>
      <c r="B30" s="3700"/>
      <c r="C30" s="1717" t="s">
        <v>1650</v>
      </c>
    </row>
    <row r="31" spans="1:3" ht="13.5">
      <c r="A31" s="3701"/>
      <c r="B31" s="3700"/>
      <c r="C31" s="1717" t="s">
        <v>1651</v>
      </c>
    </row>
    <row r="32" spans="1:3" ht="13.5">
      <c r="A32" s="3701"/>
      <c r="B32" s="3700"/>
      <c r="C32" s="1717" t="s">
        <v>1652</v>
      </c>
    </row>
    <row r="33" spans="1:3" ht="13.5">
      <c r="A33" s="3701"/>
      <c r="B33" s="370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44517</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705" t="s">
        <v>2903</v>
      </c>
      <c r="B17" s="3705"/>
      <c r="C17" s="3705"/>
      <c r="D17" s="3705"/>
      <c r="E17" s="3705"/>
      <c r="F17" s="3705"/>
      <c r="G17" s="3705"/>
      <c r="H17" s="3705"/>
    </row>
    <row r="18" spans="1:8" ht="24" customHeight="1">
      <c r="A18" s="3706" t="s">
        <v>2904</v>
      </c>
      <c r="B18" s="3706"/>
      <c r="C18" s="3706"/>
      <c r="D18" s="2566"/>
      <c r="E18" s="3707" t="s">
        <v>2905</v>
      </c>
      <c r="F18" s="3706"/>
      <c r="G18" s="3706"/>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经营性测算</vt:lpstr>
      <vt:lpstr>Sheet1</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2021-11-17T10:30:14Z</dcterms:modified>
</cp:coreProperties>
</file>