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363吉林省延吉市爱丹路1709号101\"/>
    </mc:Choice>
  </mc:AlternateContent>
  <xr:revisionPtr revIDLastSave="0" documentId="13_ncr:1_{CB36C4BF-1AE6-4333-BBA3-0A71120C3B39}" xr6:coauthVersionLast="45" xr6:coauthVersionMax="45" xr10:uidLastSave="{00000000-0000-0000-0000-000000000000}"/>
  <bookViews>
    <workbookView xWindow="1365" yWindow="0" windowWidth="13260" windowHeight="12885" tabRatio="899" firstSheet="1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经营性测算 (无租约)" sheetId="83" r:id="rId17"/>
    <sheet name="油品" sheetId="81" r:id="rId18"/>
    <sheet name="Sheet3" sheetId="84"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土地" sheetId="78" r:id="rId49"/>
    <sheet name="土地案例（延吉）" sheetId="79" r:id="rId50"/>
    <sheet name="资料" sheetId="80"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48" hidden="1">'比较法-土地'!$A$1:$L$50</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48">'比较法-土地'!$A$1:$K$67,'比较法-土地'!$A$71:$N$134</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 localSheetId="1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 localSheetId="1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7" i="68" l="1"/>
  <c r="I37" i="68"/>
  <c r="H37" i="68"/>
  <c r="D37" i="68"/>
  <c r="C12" i="15" l="1"/>
  <c r="F59" i="82" l="1"/>
  <c r="D80" i="82" s="1"/>
  <c r="F61" i="82"/>
  <c r="F58" i="82" l="1"/>
  <c r="F56" i="82" l="1"/>
  <c r="D77" i="82" s="1"/>
  <c r="F55" i="82" l="1"/>
  <c r="F66" i="82" s="1"/>
  <c r="K59" i="82" l="1"/>
  <c r="D79" i="82"/>
  <c r="D82" i="82"/>
  <c r="J55" i="82"/>
  <c r="J54" i="82"/>
  <c r="D76" i="82"/>
  <c r="K58" i="82" l="1"/>
  <c r="D75" i="82"/>
  <c r="D88" i="82" s="1"/>
  <c r="D78" i="82"/>
  <c r="F57" i="82"/>
  <c r="R25" i="82"/>
  <c r="D10" i="83"/>
  <c r="D10" i="82" s="1"/>
  <c r="L29" i="81"/>
  <c r="K29" i="81"/>
  <c r="L27" i="81"/>
  <c r="K27" i="81"/>
  <c r="L26" i="81"/>
  <c r="L30" i="81" s="1"/>
  <c r="K26" i="81"/>
  <c r="K30" i="81" s="1"/>
  <c r="M30" i="81" s="1"/>
  <c r="R7" i="83" s="1"/>
  <c r="R7" i="82" s="1"/>
  <c r="E49" i="83" l="1"/>
  <c r="E50" i="83" s="1"/>
  <c r="E46" i="83"/>
  <c r="C35" i="82" l="1"/>
  <c r="D35" i="82" s="1"/>
  <c r="E35" i="82" s="1"/>
  <c r="C34" i="82"/>
  <c r="D34" i="82" s="1"/>
  <c r="E34" i="82" s="1"/>
  <c r="E18" i="82"/>
  <c r="E90" i="82" s="1"/>
  <c r="D53" i="81"/>
  <c r="G34" i="81"/>
  <c r="E49" i="81" s="1"/>
  <c r="F34" i="81"/>
  <c r="E48" i="81" s="1"/>
  <c r="C37" i="81"/>
  <c r="J49" i="81" s="1"/>
  <c r="B37" i="81"/>
  <c r="J47" i="81" s="1"/>
  <c r="E47" i="81" l="1"/>
  <c r="F54" i="81" s="1"/>
  <c r="J48" i="81"/>
  <c r="F55" i="81" s="1"/>
  <c r="B59" i="81" s="1"/>
  <c r="N43" i="83"/>
  <c r="R43" i="83" s="1"/>
  <c r="R40" i="83"/>
  <c r="R41" i="83" s="1"/>
  <c r="R34" i="83"/>
  <c r="R33" i="83"/>
  <c r="C30" i="83"/>
  <c r="R27" i="83"/>
  <c r="M24" i="83"/>
  <c r="N19" i="83"/>
  <c r="M14" i="83"/>
  <c r="N14" i="83" s="1"/>
  <c r="R4" i="83"/>
  <c r="R3" i="83"/>
  <c r="F1" i="83"/>
  <c r="R35" i="83" l="1"/>
  <c r="U34" i="83" s="1"/>
  <c r="I13" i="3" l="1"/>
  <c r="N43" i="82" l="1"/>
  <c r="R43" i="82" s="1"/>
  <c r="R40" i="82"/>
  <c r="R41" i="82" s="1"/>
  <c r="R34" i="82"/>
  <c r="R33" i="82"/>
  <c r="C30" i="82"/>
  <c r="R27" i="82"/>
  <c r="M24" i="82"/>
  <c r="N19" i="82"/>
  <c r="M14" i="82"/>
  <c r="N14" i="82" s="1"/>
  <c r="R4" i="82"/>
  <c r="R3" i="82"/>
  <c r="F1" i="82"/>
  <c r="R35" i="82" l="1"/>
  <c r="U34" i="82" s="1"/>
  <c r="Y6" i="1"/>
  <c r="AD6" i="1" s="1"/>
  <c r="D42" i="81" l="1"/>
  <c r="D41" i="81"/>
  <c r="G14" i="81"/>
  <c r="I47" i="81" s="1"/>
  <c r="B55" i="81" s="1"/>
  <c r="C24" i="81"/>
  <c r="D47" i="81" s="1"/>
  <c r="B51" i="81" s="1"/>
  <c r="A5" i="81"/>
  <c r="A2" i="81"/>
  <c r="A4" i="81" s="1"/>
  <c r="A6" i="81" s="1"/>
  <c r="A7" i="81" s="1"/>
  <c r="I49" i="81" l="1"/>
  <c r="B57" i="81" s="1"/>
  <c r="I48" i="81"/>
  <c r="B56" i="81" s="1"/>
  <c r="B58" i="81" s="1"/>
  <c r="D48" i="81"/>
  <c r="B52" i="81" s="1"/>
  <c r="D49" i="81"/>
  <c r="B53" i="81" s="1"/>
  <c r="O34" i="79"/>
  <c r="S33" i="79"/>
  <c r="S32" i="79"/>
  <c r="S31" i="79"/>
  <c r="O31" i="79"/>
  <c r="S30" i="79"/>
  <c r="S29" i="79"/>
  <c r="S28" i="79"/>
  <c r="S27" i="79"/>
  <c r="S26" i="79"/>
  <c r="O26" i="79"/>
  <c r="S25" i="79"/>
  <c r="S24" i="79"/>
  <c r="S23" i="79"/>
  <c r="S22" i="79"/>
  <c r="S21" i="79"/>
  <c r="S20" i="79"/>
  <c r="S19" i="79"/>
  <c r="S18" i="79"/>
  <c r="O18" i="79"/>
  <c r="G48" i="78" s="1"/>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H33" i="78" s="1"/>
  <c r="AB33" i="78" s="1"/>
  <c r="D105" i="78"/>
  <c r="E105" i="78" s="1"/>
  <c r="F105" i="78" s="1"/>
  <c r="G105" i="78" s="1"/>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H15" i="78" s="1"/>
  <c r="AB15" i="78" s="1"/>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Q47" i="78"/>
  <c r="Z47" i="78" s="1"/>
  <c r="J47" i="78"/>
  <c r="AC47" i="78" s="1"/>
  <c r="H47" i="78"/>
  <c r="AB47" i="78" s="1"/>
  <c r="F47" i="78"/>
  <c r="AA47" i="78" s="1"/>
  <c r="Q46" i="78"/>
  <c r="Z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F33" i="78"/>
  <c r="AA33" i="78" s="1"/>
  <c r="Q31" i="78"/>
  <c r="Z31" i="78" s="1"/>
  <c r="J31" i="78"/>
  <c r="AC31" i="78" s="1"/>
  <c r="H31" i="78"/>
  <c r="AB31" i="78" s="1"/>
  <c r="F31" i="78"/>
  <c r="AA31" i="78" s="1"/>
  <c r="C31" i="78"/>
  <c r="Q29" i="78"/>
  <c r="Z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F17" i="78"/>
  <c r="AA17" i="78" s="1"/>
  <c r="C17" i="78"/>
  <c r="Q16" i="78"/>
  <c r="Z16" i="78" s="1"/>
  <c r="J16" i="78"/>
  <c r="AC16" i="78" s="1"/>
  <c r="F16" i="78"/>
  <c r="AA16" i="78" s="1"/>
  <c r="Q15" i="78"/>
  <c r="Z15" i="78" s="1"/>
  <c r="J15" i="78"/>
  <c r="AC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H17" i="78" l="1"/>
  <c r="AB17" i="78" s="1"/>
  <c r="J29" i="78"/>
  <c r="AC29" i="78" s="1"/>
  <c r="H46" i="78"/>
  <c r="AB46" i="78" s="1"/>
  <c r="H11" i="78"/>
  <c r="AB11" i="78" s="1"/>
  <c r="J38" i="78"/>
  <c r="AC38" i="78" s="1"/>
  <c r="B54" i="81"/>
  <c r="F93" i="78"/>
  <c r="G93" i="78" s="1"/>
  <c r="H19" i="78"/>
  <c r="AB19" i="78" s="1"/>
  <c r="J19" i="78"/>
  <c r="AC19" i="78" s="1"/>
  <c r="F19" i="78"/>
  <c r="AA19" i="78"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21" i="78"/>
  <c r="W21" i="78"/>
  <c r="S23" i="78"/>
  <c r="W23" i="78"/>
  <c r="S25" i="78"/>
  <c r="W25" i="78"/>
  <c r="S29" i="78"/>
  <c r="S31" i="78"/>
  <c r="W31" i="78"/>
  <c r="U33"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W46" i="78"/>
  <c r="U47" i="78"/>
  <c r="S45" i="78"/>
  <c r="W45" i="78"/>
  <c r="U46" i="78"/>
  <c r="S47" i="78"/>
  <c r="W47" i="78"/>
  <c r="T48" i="78"/>
  <c r="E55" i="78"/>
  <c r="F55" i="78" s="1"/>
  <c r="C6" i="69"/>
  <c r="C19" i="6"/>
  <c r="F19" i="6"/>
  <c r="B3" i="4"/>
  <c r="S46" i="78" l="1"/>
  <c r="S34" i="78"/>
  <c r="W29" i="78"/>
  <c r="S19" i="78"/>
  <c r="W19" i="78"/>
  <c r="B61" i="81"/>
  <c r="Z6" i="1" s="1"/>
  <c r="R14" i="83"/>
  <c r="R14" i="82"/>
  <c r="U40" i="78"/>
  <c r="S40" i="78"/>
  <c r="W27" i="78"/>
  <c r="W13" i="78"/>
  <c r="S27" i="78"/>
  <c r="S13" i="78"/>
  <c r="U27" i="78"/>
  <c r="E70" i="78"/>
  <c r="D72" i="78"/>
  <c r="R24" i="82" l="1"/>
  <c r="R19" i="82"/>
  <c r="R24" i="83"/>
  <c r="R19" i="83"/>
  <c r="E72" i="78"/>
  <c r="F70" i="78"/>
  <c r="E20" i="43"/>
  <c r="R5" i="82" l="1"/>
  <c r="D6" i="82" s="1"/>
  <c r="R5" i="83"/>
  <c r="U5" i="83" s="1"/>
  <c r="G70" i="78"/>
  <c r="F72" i="78"/>
  <c r="AH5" i="71"/>
  <c r="AG5" i="71"/>
  <c r="AE5" i="71"/>
  <c r="AF5" i="71" s="1"/>
  <c r="AD5" i="71"/>
  <c r="Q5" i="71"/>
  <c r="P5" i="71"/>
  <c r="O5" i="71"/>
  <c r="N5" i="71"/>
  <c r="U5" i="82" l="1"/>
  <c r="D6" i="83"/>
  <c r="C23" i="83" s="1"/>
  <c r="C23" i="82"/>
  <c r="D16" i="82"/>
  <c r="D17" i="82"/>
  <c r="D9" i="82"/>
  <c r="D18" i="82"/>
  <c r="D15" i="82"/>
  <c r="G72" i="78"/>
  <c r="H70" i="78"/>
  <c r="AH6" i="71"/>
  <c r="AG6" i="71"/>
  <c r="AE6" i="71"/>
  <c r="AF6" i="71" s="1"/>
  <c r="AD6" i="71"/>
  <c r="Q6" i="71"/>
  <c r="P6" i="71"/>
  <c r="O6" i="71"/>
  <c r="N6" i="71"/>
  <c r="D17" i="83" l="1"/>
  <c r="D15" i="83"/>
  <c r="D16" i="83"/>
  <c r="D9" i="83"/>
  <c r="D18" i="83"/>
  <c r="C29" i="82"/>
  <c r="D23" i="82"/>
  <c r="C29" i="83"/>
  <c r="D23" i="83"/>
  <c r="I70" i="78"/>
  <c r="H72" i="78"/>
  <c r="AH7" i="71"/>
  <c r="AG7" i="71"/>
  <c r="AE7" i="71"/>
  <c r="AF7" i="71" s="1"/>
  <c r="AD7" i="71"/>
  <c r="Q7" i="71"/>
  <c r="P7" i="71"/>
  <c r="O7" i="71"/>
  <c r="N7" i="71"/>
  <c r="E23" i="83" l="1"/>
  <c r="D29" i="83"/>
  <c r="D26" i="83"/>
  <c r="D26" i="82"/>
  <c r="E23" i="82"/>
  <c r="D29" i="82"/>
  <c r="I72" i="78"/>
  <c r="J70" i="78"/>
  <c r="D32" i="83" l="1"/>
  <c r="E26" i="82"/>
  <c r="E29" i="82"/>
  <c r="E26" i="83"/>
  <c r="E29" i="83"/>
  <c r="K70" i="78"/>
  <c r="J72" i="78"/>
  <c r="H16" i="49"/>
  <c r="D16" i="49"/>
  <c r="D15" i="49"/>
  <c r="B2" i="49"/>
  <c r="F15" i="49" s="1"/>
  <c r="H15" i="49" s="1"/>
  <c r="E32" i="83" l="1"/>
  <c r="K72" i="78"/>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C9" i="43"/>
  <c r="AC10" i="43" s="1"/>
  <c r="AB9" i="43"/>
  <c r="AB12" i="43" s="1"/>
  <c r="AA9" i="43"/>
  <c r="AA12" i="43" s="1"/>
  <c r="Z9" i="43"/>
  <c r="Z12" i="43" s="1"/>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Q64" i="71"/>
  <c r="P64" i="71"/>
  <c r="O64" i="71"/>
  <c r="N64" i="71"/>
  <c r="Q63" i="71"/>
  <c r="P63" i="71"/>
  <c r="O63" i="71"/>
  <c r="N63" i="71"/>
  <c r="D63" i="71"/>
  <c r="F62" i="71"/>
  <c r="V62" i="71" s="1"/>
  <c r="E62" i="71"/>
  <c r="P62" i="71" s="1"/>
  <c r="C62" i="71"/>
  <c r="O62" i="71" s="1"/>
  <c r="B62" i="71"/>
  <c r="N62" i="71" s="1"/>
  <c r="F61" i="71"/>
  <c r="F60" i="71" s="1"/>
  <c r="Q60" i="71" s="1"/>
  <c r="D59" i="71"/>
  <c r="Q58" i="71"/>
  <c r="P58" i="71"/>
  <c r="O58" i="71"/>
  <c r="N58" i="71"/>
  <c r="Q57" i="71"/>
  <c r="P57" i="71"/>
  <c r="O57" i="71"/>
  <c r="N57" i="71"/>
  <c r="Q56" i="71"/>
  <c r="P56" i="71"/>
  <c r="O56" i="71"/>
  <c r="N56" i="71"/>
  <c r="Q55" i="71"/>
  <c r="F56" i="71" s="1"/>
  <c r="F57" i="71" s="1"/>
  <c r="F58" i="71" s="1"/>
  <c r="V58" i="71" s="1"/>
  <c r="P55" i="71"/>
  <c r="E56" i="71" s="1"/>
  <c r="E57" i="71" s="1"/>
  <c r="E58" i="71" s="1"/>
  <c r="U58"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E28" i="71"/>
  <c r="X32" i="71"/>
  <c r="D32" i="71"/>
  <c r="P22" i="71"/>
  <c r="E22" i="71" s="1"/>
  <c r="Q59" i="71"/>
  <c r="Q22" i="71"/>
  <c r="C49" i="71"/>
  <c r="D49" i="71" s="1"/>
  <c r="D56" i="71"/>
  <c r="T62" i="71"/>
  <c r="D62" i="71"/>
  <c r="Q62" i="71"/>
  <c r="C69" i="71"/>
  <c r="C68" i="71" s="1"/>
  <c r="D68" i="71" s="1"/>
  <c r="D70" i="71"/>
  <c r="C73" i="71"/>
  <c r="C72" i="71" s="1"/>
  <c r="D72" i="71" s="1"/>
  <c r="D74" i="71"/>
  <c r="C77" i="71"/>
  <c r="D77" i="71" s="1"/>
  <c r="C81" i="71"/>
  <c r="C80" i="71" s="1"/>
  <c r="D80" i="71" s="1"/>
  <c r="F22" i="71"/>
  <c r="F21" i="71" s="1"/>
  <c r="F20" i="71" s="1"/>
  <c r="D8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Q18" i="35"/>
  <c r="Z18" i="35" s="1"/>
  <c r="D68" i="35"/>
  <c r="E68" i="35" s="1"/>
  <c r="F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S21" i="21"/>
  <c r="H1" i="69"/>
  <c r="W18" i="36"/>
  <c r="AB18" i="35"/>
  <c r="J21" i="37"/>
  <c r="AC21" i="37" s="1"/>
  <c r="G84" i="34"/>
  <c r="J21" i="34"/>
  <c r="W21" i="34" s="1"/>
  <c r="J21" i="33"/>
  <c r="AC21" i="33" s="1"/>
  <c r="H21" i="21"/>
  <c r="AB21" i="21" s="1"/>
  <c r="F38" i="69"/>
  <c r="E37" i="69"/>
  <c r="F36" i="69"/>
  <c r="F35" i="69"/>
  <c r="F21" i="69"/>
  <c r="F40" i="69" s="1"/>
  <c r="F20" i="69"/>
  <c r="F39" i="69" s="1"/>
  <c r="E10" i="69"/>
  <c r="E9" i="69"/>
  <c r="C7" i="69"/>
  <c r="W21" i="37"/>
  <c r="J21" i="21"/>
  <c r="AC21" i="21" s="1"/>
  <c r="F38"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F79" i="37" s="1"/>
  <c r="D75" i="37"/>
  <c r="E75" i="37" s="1"/>
  <c r="F75" i="37" s="1"/>
  <c r="G75" i="37" s="1"/>
  <c r="D73" i="37"/>
  <c r="E73" i="37" s="1"/>
  <c r="F73" i="37" s="1"/>
  <c r="D71" i="37"/>
  <c r="E71" i="37" s="1"/>
  <c r="F71" i="37" s="1"/>
  <c r="G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J34" i="35" s="1"/>
  <c r="B77" i="35"/>
  <c r="B75" i="35"/>
  <c r="J24" i="35" s="1"/>
  <c r="AC24" i="35" s="1"/>
  <c r="B73" i="35"/>
  <c r="F23" i="35" s="1"/>
  <c r="B57" i="35"/>
  <c r="H11" i="35" s="1"/>
  <c r="B61" i="35"/>
  <c r="J13" i="35" s="1"/>
  <c r="AC13" i="35" s="1"/>
  <c r="B59" i="35"/>
  <c r="H12" i="35" s="1"/>
  <c r="B131" i="34"/>
  <c r="F47" i="34" s="1"/>
  <c r="S47" i="34" s="1"/>
  <c r="B129" i="34"/>
  <c r="B127" i="34"/>
  <c r="B99" i="34"/>
  <c r="B97" i="34"/>
  <c r="J31" i="34" s="1"/>
  <c r="AC31" i="34" s="1"/>
  <c r="B95" i="34"/>
  <c r="B93" i="34"/>
  <c r="B75" i="34"/>
  <c r="B73" i="34"/>
  <c r="J13" i="34" s="1"/>
  <c r="B71" i="34"/>
  <c r="J12" i="34" s="1"/>
  <c r="B130" i="33"/>
  <c r="B128" i="33"/>
  <c r="H45" i="33" s="1"/>
  <c r="U45" i="33" s="1"/>
  <c r="B126" i="33"/>
  <c r="B98" i="33"/>
  <c r="B96" i="33"/>
  <c r="F30" i="33" s="1"/>
  <c r="S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B94" i="21"/>
  <c r="B92" i="21"/>
  <c r="B90" i="21"/>
  <c r="J27" i="21" s="1"/>
  <c r="W27" i="21" s="1"/>
  <c r="B74" i="21"/>
  <c r="H14" i="21" s="1"/>
  <c r="U14" i="21" s="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J35" i="39"/>
  <c r="AC35" i="39" s="1"/>
  <c r="E103" i="37"/>
  <c r="F103" i="37" s="1"/>
  <c r="G103" i="37" s="1"/>
  <c r="H103" i="37" s="1"/>
  <c r="I103" i="37" s="1"/>
  <c r="J103" i="37" s="1"/>
  <c r="K103" i="37" s="1"/>
  <c r="L103" i="37" s="1"/>
  <c r="M103" i="37" s="1"/>
  <c r="F29" i="36"/>
  <c r="AA29" i="36" s="1"/>
  <c r="W8" i="36"/>
  <c r="F16" i="36"/>
  <c r="AA16" i="36" s="1"/>
  <c r="S30" i="36"/>
  <c r="AC31" i="36"/>
  <c r="W31" i="36"/>
  <c r="H22" i="35"/>
  <c r="AB22" i="35" s="1"/>
  <c r="AC27" i="35"/>
  <c r="F36" i="34"/>
  <c r="J35" i="34"/>
  <c r="W35" i="34" s="1"/>
  <c r="S34" i="34"/>
  <c r="U34" i="34"/>
  <c r="H39" i="33"/>
  <c r="AB39" i="33" s="1"/>
  <c r="W33" i="33"/>
  <c r="F11" i="40"/>
  <c r="AA11" i="40" s="1"/>
  <c r="H11" i="40"/>
  <c r="AB11" i="40" s="1"/>
  <c r="F42" i="39"/>
  <c r="AA42" i="39" s="1"/>
  <c r="F41" i="39"/>
  <c r="S41" i="39" s="1"/>
  <c r="H40" i="39"/>
  <c r="H39" i="39"/>
  <c r="U39" i="39" s="1"/>
  <c r="H34" i="39"/>
  <c r="U34" i="39" s="1"/>
  <c r="H19" i="39"/>
  <c r="AB19" i="39" s="1"/>
  <c r="F19" i="39"/>
  <c r="AA19" i="39" s="1"/>
  <c r="H17" i="39"/>
  <c r="F17" i="39"/>
  <c r="AA17" i="39" s="1"/>
  <c r="J23" i="40"/>
  <c r="AC23" i="40" s="1"/>
  <c r="F21" i="40"/>
  <c r="J21" i="40"/>
  <c r="W21" i="40" s="1"/>
  <c r="H42" i="39"/>
  <c r="AB42" i="39" s="1"/>
  <c r="J34" i="39"/>
  <c r="AC34" i="39" s="1"/>
  <c r="H27" i="39"/>
  <c r="U27" i="39" s="1"/>
  <c r="J19" i="39"/>
  <c r="AC19" i="39" s="1"/>
  <c r="J17" i="39"/>
  <c r="J27" i="39"/>
  <c r="F27" i="39"/>
  <c r="F11" i="21"/>
  <c r="S11" i="21" s="1"/>
  <c r="U34" i="21"/>
  <c r="H11" i="39"/>
  <c r="U11" i="39" s="1"/>
  <c r="H32" i="33"/>
  <c r="H11" i="21"/>
  <c r="J11" i="21"/>
  <c r="W11" i="21" s="1"/>
  <c r="H37" i="40"/>
  <c r="U37" i="40" s="1"/>
  <c r="H36" i="40"/>
  <c r="F35" i="40"/>
  <c r="H23" i="40"/>
  <c r="AB23" i="40" s="1"/>
  <c r="H17" i="40"/>
  <c r="J15" i="40"/>
  <c r="W15" i="40" s="1"/>
  <c r="J11" i="40"/>
  <c r="W11" i="40" s="1"/>
  <c r="J30" i="35"/>
  <c r="W30" i="35"/>
  <c r="H30" i="35"/>
  <c r="U30" i="35" s="1"/>
  <c r="AB30" i="35"/>
  <c r="F22" i="35"/>
  <c r="AA22" i="35" s="1"/>
  <c r="H10" i="35"/>
  <c r="U10" i="35" s="1"/>
  <c r="H16" i="36"/>
  <c r="AB16" i="36" s="1"/>
  <c r="E85" i="36"/>
  <c r="F85" i="36" s="1"/>
  <c r="G85" i="36" s="1"/>
  <c r="H85" i="36" s="1"/>
  <c r="I85" i="36" s="1"/>
  <c r="J85" i="36" s="1"/>
  <c r="K85" i="36" s="1"/>
  <c r="L85" i="36" s="1"/>
  <c r="M85" i="36" s="1"/>
  <c r="J29" i="36"/>
  <c r="AC29" i="36" s="1"/>
  <c r="F14" i="35"/>
  <c r="AA14" i="35" s="1"/>
  <c r="J32" i="35"/>
  <c r="J16" i="35"/>
  <c r="H16" i="35"/>
  <c r="F16" i="35"/>
  <c r="H14" i="35"/>
  <c r="AB14" i="35" s="1"/>
  <c r="J29" i="35"/>
  <c r="W29" i="35" s="1"/>
  <c r="H33" i="35"/>
  <c r="J20" i="35"/>
  <c r="F35" i="37"/>
  <c r="S35" i="37" s="1"/>
  <c r="J34" i="37"/>
  <c r="J33" i="37"/>
  <c r="AC33" i="37" s="1"/>
  <c r="H40" i="34"/>
  <c r="H36" i="34"/>
  <c r="U36" i="34" s="1"/>
  <c r="F37" i="34"/>
  <c r="AA37" i="34" s="1"/>
  <c r="F28" i="34"/>
  <c r="AA28" i="34" s="1"/>
  <c r="F25" i="34"/>
  <c r="S25" i="34" s="1"/>
  <c r="H23" i="34"/>
  <c r="U23" i="34" s="1"/>
  <c r="J23" i="34"/>
  <c r="F19" i="34"/>
  <c r="H17" i="34"/>
  <c r="F15" i="34"/>
  <c r="J15" i="34"/>
  <c r="W15" i="34" s="1"/>
  <c r="H15" i="34"/>
  <c r="AB15" i="34" s="1"/>
  <c r="J28" i="34"/>
  <c r="F41" i="33"/>
  <c r="F32" i="33"/>
  <c r="AA32" i="33" s="1"/>
  <c r="J19" i="33"/>
  <c r="AC19" i="33" s="1"/>
  <c r="J15" i="33"/>
  <c r="AC15" i="33" s="1"/>
  <c r="F11" i="33"/>
  <c r="AA11" i="33" s="1"/>
  <c r="U40" i="33"/>
  <c r="S8" i="33"/>
  <c r="F37" i="40"/>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J17" i="34"/>
  <c r="W17" i="34" s="1"/>
  <c r="H37" i="33"/>
  <c r="AB37" i="33" s="1"/>
  <c r="H15" i="33"/>
  <c r="AB15" i="33" s="1"/>
  <c r="H11" i="33"/>
  <c r="AB11" i="33" s="1"/>
  <c r="F28" i="40"/>
  <c r="AA28" i="40" s="1"/>
  <c r="AA42" i="34"/>
  <c r="J37" i="34"/>
  <c r="J11" i="33"/>
  <c r="W11" i="33" s="1"/>
  <c r="H123" i="21"/>
  <c r="I123" i="21" s="1"/>
  <c r="J123" i="21" s="1"/>
  <c r="K123" i="21" s="1"/>
  <c r="L123" i="21" s="1"/>
  <c r="M123" i="21" s="1"/>
  <c r="J42" i="21"/>
  <c r="AC42" i="21" s="1"/>
  <c r="H42" i="21"/>
  <c r="U42" i="21" s="1"/>
  <c r="J44" i="34"/>
  <c r="F44" i="34"/>
  <c r="J10" i="35"/>
  <c r="W10" i="35"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J13" i="21"/>
  <c r="AC13" i="21" s="1"/>
  <c r="H27" i="21"/>
  <c r="AB27" i="21" s="1"/>
  <c r="F27" i="21"/>
  <c r="AA27" i="21" s="1"/>
  <c r="J31" i="21"/>
  <c r="AC31" i="21" s="1"/>
  <c r="F45" i="21"/>
  <c r="AA45" i="21" s="1"/>
  <c r="J13" i="33"/>
  <c r="H13" i="33"/>
  <c r="U13" i="33" s="1"/>
  <c r="F13" i="33"/>
  <c r="S13" i="33" s="1"/>
  <c r="J29" i="33"/>
  <c r="W29" i="33" s="1"/>
  <c r="H29" i="33"/>
  <c r="U29" i="33" s="1"/>
  <c r="F29" i="33"/>
  <c r="S29" i="33" s="1"/>
  <c r="J31" i="33"/>
  <c r="H31" i="33"/>
  <c r="AB31" i="33" s="1"/>
  <c r="F31" i="33"/>
  <c r="J45" i="33"/>
  <c r="W45" i="33" s="1"/>
  <c r="F45" i="33"/>
  <c r="AA45" i="33" s="1"/>
  <c r="J14" i="34"/>
  <c r="W14" i="34" s="1"/>
  <c r="F14" i="34"/>
  <c r="AA14" i="34" s="1"/>
  <c r="H14" i="34"/>
  <c r="U14" i="34" s="1"/>
  <c r="H30" i="34"/>
  <c r="AB30" i="34" s="1"/>
  <c r="F30" i="34"/>
  <c r="S30" i="34" s="1"/>
  <c r="J30" i="34"/>
  <c r="AC30" i="34" s="1"/>
  <c r="H32" i="34"/>
  <c r="U32" i="34" s="1"/>
  <c r="F32" i="34"/>
  <c r="AA32" i="34" s="1"/>
  <c r="J32" i="34"/>
  <c r="W32" i="34" s="1"/>
  <c r="H46" i="34"/>
  <c r="AB46" i="34" s="1"/>
  <c r="F46" i="34"/>
  <c r="J46" i="34"/>
  <c r="J11" i="35"/>
  <c r="AC11" i="35" s="1"/>
  <c r="F11" i="35"/>
  <c r="J26" i="36"/>
  <c r="W26" i="36"/>
  <c r="H28" i="36"/>
  <c r="U28" i="36" s="1"/>
  <c r="H32" i="36"/>
  <c r="AB32" i="36" s="1"/>
  <c r="J32" i="36"/>
  <c r="W32" i="36" s="1"/>
  <c r="F11" i="36"/>
  <c r="J29" i="37"/>
  <c r="W29" i="37" s="1"/>
  <c r="F29" i="37"/>
  <c r="H36" i="37"/>
  <c r="J37" i="37"/>
  <c r="AC37" i="37" s="1"/>
  <c r="H37" i="37"/>
  <c r="U37" i="37" s="1"/>
  <c r="W12" i="40"/>
  <c r="H13" i="35"/>
  <c r="J25" i="36"/>
  <c r="W25" i="36" s="1"/>
  <c r="F25" i="36"/>
  <c r="H25" i="36"/>
  <c r="AB25" i="36" s="1"/>
  <c r="AB13" i="37"/>
  <c r="J13" i="37"/>
  <c r="W13" i="37" s="1"/>
  <c r="H43" i="39"/>
  <c r="F14" i="39"/>
  <c r="AA14" i="39" s="1"/>
  <c r="F12" i="40"/>
  <c r="H30" i="40"/>
  <c r="AB30" i="40" s="1"/>
  <c r="H33" i="40"/>
  <c r="U33" i="40" s="1"/>
  <c r="J35" i="40"/>
  <c r="AC35" i="40" s="1"/>
  <c r="J37" i="40"/>
  <c r="AC37" i="40" s="1"/>
  <c r="F27" i="37"/>
  <c r="J27" i="37"/>
  <c r="J36" i="37"/>
  <c r="AC36" i="37" s="1"/>
  <c r="J10" i="36"/>
  <c r="AC10" i="36" s="1"/>
  <c r="W11" i="35"/>
  <c r="AB45" i="33"/>
  <c r="U31" i="33"/>
  <c r="F17" i="21"/>
  <c r="AA17" i="21" s="1"/>
  <c r="H17" i="21"/>
  <c r="AB17" i="21" s="1"/>
  <c r="F15" i="21"/>
  <c r="S15" i="21" s="1"/>
  <c r="J41" i="39"/>
  <c r="W41" i="39" s="1"/>
  <c r="G504" i="3"/>
  <c r="BL566" i="3"/>
  <c r="BA544" i="3"/>
  <c r="BA559" i="3"/>
  <c r="G573" i="3"/>
  <c r="AC557" i="3"/>
  <c r="BQ557" i="3"/>
  <c r="BQ583" i="3"/>
  <c r="BQ581" i="3"/>
  <c r="BQ579" i="3"/>
  <c r="BQ577" i="3"/>
  <c r="BQ575" i="3"/>
  <c r="BQ573" i="3"/>
  <c r="BQ571" i="3"/>
  <c r="BQ569" i="3"/>
  <c r="BQ567" i="3"/>
  <c r="BQ565" i="3"/>
  <c r="BQ563" i="3"/>
  <c r="BQ561" i="3"/>
  <c r="BQ559" i="3"/>
  <c r="G541"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F42" i="33"/>
  <c r="H28" i="34"/>
  <c r="F14" i="36"/>
  <c r="F22" i="36"/>
  <c r="F26" i="36"/>
  <c r="H35" i="34"/>
  <c r="U35" i="34" s="1"/>
  <c r="F41" i="34"/>
  <c r="H41" i="34"/>
  <c r="U41" i="34" s="1"/>
  <c r="J41" i="34"/>
  <c r="F10" i="35"/>
  <c r="S10" i="35" s="1"/>
  <c r="F24" i="35"/>
  <c r="H24" i="35"/>
  <c r="AB24" i="35" s="1"/>
  <c r="H23" i="37"/>
  <c r="J32" i="37"/>
  <c r="AC32" i="37" s="1"/>
  <c r="F36" i="37"/>
  <c r="F37" i="37"/>
  <c r="AA37" i="37" s="1"/>
  <c r="F32" i="40"/>
  <c r="J36" i="40"/>
  <c r="W36" i="40" s="1"/>
  <c r="H19" i="37"/>
  <c r="H42" i="33"/>
  <c r="AB42" i="33"/>
  <c r="J43" i="33"/>
  <c r="AC43" i="33" s="1"/>
  <c r="U43" i="33"/>
  <c r="S28" i="31"/>
  <c r="S27" i="31"/>
  <c r="S26" i="31"/>
  <c r="U14" i="40"/>
  <c r="W26" i="37"/>
  <c r="AB37" i="34"/>
  <c r="U11" i="33"/>
  <c r="U19" i="21"/>
  <c r="U26" i="21"/>
  <c r="AB38" i="21"/>
  <c r="F43" i="33"/>
  <c r="AA43" i="33" s="1"/>
  <c r="AC15" i="34"/>
  <c r="H37" i="21"/>
  <c r="U37" i="21" s="1"/>
  <c r="H19" i="34"/>
  <c r="AB19" i="34" s="1"/>
  <c r="F36" i="35"/>
  <c r="S36" i="35" s="1"/>
  <c r="J9" i="37"/>
  <c r="W9" i="37" s="1"/>
  <c r="H9" i="37"/>
  <c r="F9" i="37"/>
  <c r="S9" i="37" s="1"/>
  <c r="F15" i="37"/>
  <c r="F31" i="37"/>
  <c r="S31" i="37" s="1"/>
  <c r="J42" i="39"/>
  <c r="H21" i="40"/>
  <c r="AB21" i="40" s="1"/>
  <c r="H31" i="37"/>
  <c r="U31" i="37" s="1"/>
  <c r="J15" i="37"/>
  <c r="W15" i="37" s="1"/>
  <c r="AT6" i="3"/>
  <c r="C12" i="43"/>
  <c r="H19" i="40"/>
  <c r="F19" i="40"/>
  <c r="S19" i="40" s="1"/>
  <c r="AC43" i="39"/>
  <c r="H25" i="39"/>
  <c r="J25" i="39"/>
  <c r="F25" i="39"/>
  <c r="F15" i="39"/>
  <c r="AA15" i="39" s="1"/>
  <c r="H15" i="39"/>
  <c r="J15" i="39"/>
  <c r="H41" i="39"/>
  <c r="AB41" i="39" s="1"/>
  <c r="S42" i="39"/>
  <c r="W8" i="39"/>
  <c r="J19" i="40"/>
  <c r="AC19" i="40" s="1"/>
  <c r="J50" i="40"/>
  <c r="H103" i="9"/>
  <c r="D8" i="53" s="1"/>
  <c r="B16" i="53"/>
  <c r="B33" i="72" s="1"/>
  <c r="C7" i="37"/>
  <c r="C7" i="34"/>
  <c r="C59" i="34" s="1"/>
  <c r="D59" i="34" s="1"/>
  <c r="E59" i="34" s="1"/>
  <c r="F59" i="34" s="1"/>
  <c r="G59" i="34" s="1"/>
  <c r="H59" i="34" s="1"/>
  <c r="C7" i="36"/>
  <c r="A118" i="9"/>
  <c r="A4" i="52"/>
  <c r="B41" i="72" s="1"/>
  <c r="J11" i="39"/>
  <c r="W11" i="39" s="1"/>
  <c r="F11" i="39"/>
  <c r="AA11" i="39" s="1"/>
  <c r="A12" i="52"/>
  <c r="B56" i="72" s="1"/>
  <c r="G4" i="4"/>
  <c r="I4" i="4"/>
  <c r="A2" i="9"/>
  <c r="F59" i="43"/>
  <c r="H61"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AZ387" i="3" s="1"/>
  <c r="BL388" i="3"/>
  <c r="G389" i="3"/>
  <c r="BA391" i="3"/>
  <c r="BL392" i="3"/>
  <c r="G393" i="3"/>
  <c r="BN5" i="3"/>
  <c r="G17" i="3"/>
  <c r="BA17" i="3"/>
  <c r="BA15" i="3"/>
  <c r="G509" i="3"/>
  <c r="F36" i="43"/>
  <c r="F81" i="43"/>
  <c r="H113" i="43"/>
  <c r="F48" i="43"/>
  <c r="F70" i="43"/>
  <c r="M11" i="43"/>
  <c r="D17" i="43"/>
  <c r="F39" i="43"/>
  <c r="I17" i="43"/>
  <c r="F35" i="43"/>
  <c r="J17" i="43"/>
  <c r="F6" i="1"/>
  <c r="G6" i="1" s="1"/>
  <c r="S14" i="35"/>
  <c r="U35" i="21"/>
  <c r="AC35" i="21"/>
  <c r="G8" i="1"/>
  <c r="G9" i="1"/>
  <c r="G10" i="1"/>
  <c r="AC11" i="39"/>
  <c r="W37" i="37"/>
  <c r="W44" i="34"/>
  <c r="AC44" i="34"/>
  <c r="U13" i="37"/>
  <c r="J37" i="33"/>
  <c r="W37" i="33" s="1"/>
  <c r="J34" i="33"/>
  <c r="W34" i="33" s="1"/>
  <c r="F33" i="34"/>
  <c r="S33" i="34" s="1"/>
  <c r="H20" i="36"/>
  <c r="U20" i="36" s="1"/>
  <c r="J20" i="36"/>
  <c r="J27" i="36"/>
  <c r="F111" i="40"/>
  <c r="G111" i="40" s="1"/>
  <c r="H111" i="40" s="1"/>
  <c r="I111" i="40" s="1"/>
  <c r="J111" i="40" s="1"/>
  <c r="K111" i="40" s="1"/>
  <c r="L111" i="40" s="1"/>
  <c r="M111" i="40" s="1"/>
  <c r="H35" i="40"/>
  <c r="AC29" i="35"/>
  <c r="H35" i="37"/>
  <c r="U35" i="37" s="1"/>
  <c r="AC14" i="35"/>
  <c r="H20" i="35"/>
  <c r="U20" i="35" s="1"/>
  <c r="F20" i="35"/>
  <c r="AA20" i="35" s="1"/>
  <c r="H32" i="37"/>
  <c r="U32" i="37" s="1"/>
  <c r="H27" i="40"/>
  <c r="J30" i="40"/>
  <c r="AC30" i="40" s="1"/>
  <c r="F30" i="40"/>
  <c r="AA30" i="40" s="1"/>
  <c r="S11" i="40"/>
  <c r="F10" i="33"/>
  <c r="S10" i="33" s="1"/>
  <c r="F34" i="33"/>
  <c r="S34" i="33" s="1"/>
  <c r="H34" i="33"/>
  <c r="U34" i="33" s="1"/>
  <c r="F35" i="33"/>
  <c r="S35" i="33" s="1"/>
  <c r="F39" i="34"/>
  <c r="S39" i="34" s="1"/>
  <c r="J39" i="34"/>
  <c r="F40" i="34"/>
  <c r="S40" i="34" s="1"/>
  <c r="F43" i="34"/>
  <c r="AA43" i="34" s="1"/>
  <c r="H44" i="34"/>
  <c r="AB44" i="34" s="1"/>
  <c r="F39" i="39"/>
  <c r="S39" i="39" s="1"/>
  <c r="J39" i="39"/>
  <c r="F97" i="39"/>
  <c r="G97" i="39" s="1"/>
  <c r="C40" i="11"/>
  <c r="H75" i="43"/>
  <c r="I20" i="43"/>
  <c r="F23" i="39"/>
  <c r="AA23" i="39" s="1"/>
  <c r="H27" i="36"/>
  <c r="U27" i="36" s="1"/>
  <c r="F27" i="36"/>
  <c r="H33" i="34"/>
  <c r="U33" i="34" s="1"/>
  <c r="F32" i="37"/>
  <c r="AA32" i="37" s="1"/>
  <c r="F20" i="36"/>
  <c r="AA20" i="36" s="1"/>
  <c r="J33" i="34"/>
  <c r="W33" i="34" s="1"/>
  <c r="H23" i="39"/>
  <c r="D48" i="9"/>
  <c r="M52" i="9" s="1"/>
  <c r="K9" i="1"/>
  <c r="M9" i="1" s="1"/>
  <c r="AE9" i="1"/>
  <c r="D93" i="9"/>
  <c r="K6" i="1"/>
  <c r="M6" i="1" s="1"/>
  <c r="O6" i="1" s="1"/>
  <c r="P6" i="1" s="1"/>
  <c r="AC12" i="39"/>
  <c r="AA32" i="36"/>
  <c r="S32" i="36"/>
  <c r="BL14" i="3"/>
  <c r="S19" i="39"/>
  <c r="H12" i="39"/>
  <c r="S12" i="1"/>
  <c r="AR12" i="1" s="1"/>
  <c r="R12" i="1"/>
  <c r="B12" i="1"/>
  <c r="E12" i="1" s="1"/>
  <c r="S10" i="1"/>
  <c r="AQ10" i="1" s="1"/>
  <c r="R10" i="1"/>
  <c r="B10" i="1"/>
  <c r="E10" i="1" s="1"/>
  <c r="K12" i="1"/>
  <c r="M12" i="1" s="1"/>
  <c r="S13" i="1"/>
  <c r="AR13" i="1" s="1"/>
  <c r="R13" i="1"/>
  <c r="S11" i="1"/>
  <c r="T11" i="1" s="1"/>
  <c r="R11" i="1"/>
  <c r="S9" i="1"/>
  <c r="AQ9" i="1" s="1"/>
  <c r="R9" i="1"/>
  <c r="J51" i="67"/>
  <c r="C42" i="1"/>
  <c r="H100" i="43"/>
  <c r="C30" i="66"/>
  <c r="B41" i="1"/>
  <c r="J100" i="43"/>
  <c r="AB37" i="40"/>
  <c r="AC36" i="40"/>
  <c r="S17" i="40"/>
  <c r="S23" i="40"/>
  <c r="AA19" i="40"/>
  <c r="U21" i="40"/>
  <c r="U35" i="39"/>
  <c r="F32" i="39"/>
  <c r="F107" i="39"/>
  <c r="G107" i="39" s="1"/>
  <c r="H107" i="39" s="1"/>
  <c r="I107" i="39" s="1"/>
  <c r="J107" i="39" s="1"/>
  <c r="K107" i="39" s="1"/>
  <c r="L107" i="39" s="1"/>
  <c r="M107" i="39" s="1"/>
  <c r="J21" i="39"/>
  <c r="W21" i="39" s="1"/>
  <c r="F21" i="39"/>
  <c r="G95" i="39"/>
  <c r="H21" i="39"/>
  <c r="U21" i="39" s="1"/>
  <c r="W19" i="39"/>
  <c r="S17" i="39"/>
  <c r="S9" i="39"/>
  <c r="U26" i="36"/>
  <c r="S29" i="36"/>
  <c r="AC26" i="36"/>
  <c r="W14" i="36"/>
  <c r="U22" i="36"/>
  <c r="S16" i="36"/>
  <c r="U23" i="36"/>
  <c r="AB20" i="36"/>
  <c r="U16" i="36"/>
  <c r="W10" i="36"/>
  <c r="W24" i="35"/>
  <c r="U28" i="35"/>
  <c r="U36" i="35"/>
  <c r="AA33" i="35"/>
  <c r="AC30" i="35"/>
  <c r="AA36" i="35"/>
  <c r="S20" i="35"/>
  <c r="S22" i="35"/>
  <c r="AC10" i="35"/>
  <c r="AA10" i="35"/>
  <c r="S8" i="35"/>
  <c r="AC9" i="35"/>
  <c r="W9" i="35"/>
  <c r="F9" i="35"/>
  <c r="S9" i="35" s="1"/>
  <c r="H9" i="35"/>
  <c r="H26" i="35"/>
  <c r="U26" i="35" s="1"/>
  <c r="AC29" i="37"/>
  <c r="AC35" i="37"/>
  <c r="S37" i="37"/>
  <c r="AC15" i="37"/>
  <c r="J17" i="37"/>
  <c r="W17" i="37" s="1"/>
  <c r="G73" i="37"/>
  <c r="F17" i="37"/>
  <c r="F19" i="37"/>
  <c r="S19" i="37" s="1"/>
  <c r="F23" i="37"/>
  <c r="S23" i="37" s="1"/>
  <c r="AC13" i="37"/>
  <c r="AA9" i="37"/>
  <c r="H10" i="37"/>
  <c r="U10" i="37" s="1"/>
  <c r="F63" i="37"/>
  <c r="F11" i="37"/>
  <c r="S11" i="37" s="1"/>
  <c r="W25" i="34"/>
  <c r="AB8" i="34"/>
  <c r="AA33" i="34"/>
  <c r="AB35" i="34"/>
  <c r="AB41" i="34"/>
  <c r="AA25" i="34"/>
  <c r="S23" i="34"/>
  <c r="U15" i="34"/>
  <c r="H67" i="34"/>
  <c r="I67" i="34" s="1"/>
  <c r="H10" i="34"/>
  <c r="U10" i="34" s="1"/>
  <c r="F11" i="34"/>
  <c r="W42" i="33"/>
  <c r="AA35" i="33"/>
  <c r="AA29" i="33"/>
  <c r="AB29" i="33"/>
  <c r="W38" i="33"/>
  <c r="H41" i="33"/>
  <c r="F121" i="33"/>
  <c r="G121" i="33" s="1"/>
  <c r="H121" i="33" s="1"/>
  <c r="I121" i="33" s="1"/>
  <c r="J121" i="33" s="1"/>
  <c r="K121" i="33" s="1"/>
  <c r="L121" i="33" s="1"/>
  <c r="M121" i="33" s="1"/>
  <c r="U42" i="33"/>
  <c r="F36" i="33"/>
  <c r="G108" i="33"/>
  <c r="H108" i="33" s="1"/>
  <c r="I108" i="33" s="1"/>
  <c r="J108" i="33" s="1"/>
  <c r="K108" i="33" s="1"/>
  <c r="L108" i="33" s="1"/>
  <c r="M108" i="33" s="1"/>
  <c r="J35" i="33"/>
  <c r="AC35" i="33" s="1"/>
  <c r="AA37" i="33"/>
  <c r="J32" i="33"/>
  <c r="H25" i="33"/>
  <c r="U25" i="33" s="1"/>
  <c r="F25" i="33"/>
  <c r="S25" i="33" s="1"/>
  <c r="J23" i="33"/>
  <c r="W23" i="33" s="1"/>
  <c r="H23" i="33"/>
  <c r="F19" i="33"/>
  <c r="W19" i="33"/>
  <c r="J17" i="33"/>
  <c r="AC17" i="33" s="1"/>
  <c r="J10" i="33"/>
  <c r="H10" i="33"/>
  <c r="W43" i="21"/>
  <c r="W36" i="21"/>
  <c r="AB39" i="21"/>
  <c r="S39" i="21"/>
  <c r="AA38" i="21"/>
  <c r="J15" i="21"/>
  <c r="F77" i="21"/>
  <c r="G77"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BL13" i="3"/>
  <c r="J56" i="9"/>
  <c r="J57" i="9" s="1"/>
  <c r="J59" i="9" s="1"/>
  <c r="J61" i="9" s="1"/>
  <c r="A24" i="51"/>
  <c r="B18" i="72" s="1"/>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H81"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C4" i="12"/>
  <c r="H66" i="43"/>
  <c r="H65" i="43"/>
  <c r="H63" i="43"/>
  <c r="H55" i="43"/>
  <c r="H72" i="43"/>
  <c r="L20" i="6"/>
  <c r="B6" i="1"/>
  <c r="E6" i="1" s="1"/>
  <c r="S8" i="1"/>
  <c r="AR8" i="1" s="1"/>
  <c r="K11" i="1"/>
  <c r="M11" i="1" s="1"/>
  <c r="AP6" i="1"/>
  <c r="B9" i="1"/>
  <c r="E9" i="1" s="1"/>
  <c r="K7" i="1"/>
  <c r="M7" i="1" s="1"/>
  <c r="G1" i="15"/>
  <c r="G1" i="69"/>
  <c r="G1" i="67"/>
  <c r="W23" i="40"/>
  <c r="AB28" i="40"/>
  <c r="W34" i="40"/>
  <c r="W19" i="40"/>
  <c r="W27" i="40"/>
  <c r="S36" i="40"/>
  <c r="W37" i="40"/>
  <c r="AA15" i="40"/>
  <c r="U11" i="40"/>
  <c r="U15" i="40"/>
  <c r="U8" i="40"/>
  <c r="S8" i="40"/>
  <c r="AA39" i="39"/>
  <c r="U42" i="39"/>
  <c r="U41" i="39"/>
  <c r="W25" i="39"/>
  <c r="AC25" i="39"/>
  <c r="S14" i="39"/>
  <c r="AB11" i="39"/>
  <c r="AA27" i="39"/>
  <c r="S27" i="39"/>
  <c r="W17" i="39"/>
  <c r="AC17" i="39"/>
  <c r="S23" i="39"/>
  <c r="AB39" i="39"/>
  <c r="U38" i="39"/>
  <c r="S8" i="39"/>
  <c r="S20" i="36"/>
  <c r="W29" i="36"/>
  <c r="U25" i="36"/>
  <c r="AB28" i="36"/>
  <c r="W22" i="36"/>
  <c r="AB20" i="35"/>
  <c r="W33" i="35"/>
  <c r="U24" i="35"/>
  <c r="AA35" i="37"/>
  <c r="W32" i="37"/>
  <c r="S33" i="37"/>
  <c r="AB35" i="37"/>
  <c r="AA11" i="37"/>
  <c r="AA31" i="37"/>
  <c r="U8" i="37"/>
  <c r="U19" i="34"/>
  <c r="W19" i="34"/>
  <c r="AA30" i="34"/>
  <c r="U25" i="34"/>
  <c r="AB36" i="34"/>
  <c r="AC14" i="34"/>
  <c r="AC32" i="34"/>
  <c r="S32" i="34"/>
  <c r="U30" i="34"/>
  <c r="S37" i="34"/>
  <c r="U38" i="34"/>
  <c r="AC40" i="34"/>
  <c r="W40" i="34"/>
  <c r="AA19" i="34"/>
  <c r="S19" i="34"/>
  <c r="AA36" i="34"/>
  <c r="S36" i="34"/>
  <c r="AA8" i="34"/>
  <c r="S8" i="34"/>
  <c r="S46" i="34"/>
  <c r="AA46" i="34"/>
  <c r="AB32" i="34"/>
  <c r="AB14" i="34"/>
  <c r="AC43" i="34"/>
  <c r="W43" i="34"/>
  <c r="W23" i="34"/>
  <c r="AC23" i="34"/>
  <c r="AC35" i="34"/>
  <c r="AC37" i="33"/>
  <c r="U39" i="33"/>
  <c r="U38" i="33"/>
  <c r="S33" i="33"/>
  <c r="AB34" i="33"/>
  <c r="AA30" i="33"/>
  <c r="S31" i="33"/>
  <c r="AA31" i="33"/>
  <c r="W13" i="33"/>
  <c r="AC13" i="33"/>
  <c r="S11" i="33"/>
  <c r="U37" i="33"/>
  <c r="AC28" i="33"/>
  <c r="W8" i="33"/>
  <c r="AB42" i="21"/>
  <c r="AA11" i="21"/>
  <c r="S45" i="21"/>
  <c r="I101" i="21"/>
  <c r="J101" i="21" s="1"/>
  <c r="K101" i="21" s="1"/>
  <c r="L101" i="21" s="1"/>
  <c r="M101" i="21" s="1"/>
  <c r="F33" i="21"/>
  <c r="AA33" i="21" s="1"/>
  <c r="J33" i="21"/>
  <c r="H33" i="21"/>
  <c r="AB33" i="21" s="1"/>
  <c r="F37" i="21"/>
  <c r="AA37" i="21" s="1"/>
  <c r="AA26" i="21"/>
  <c r="AB14" i="21"/>
  <c r="U40" i="21"/>
  <c r="U13" i="21"/>
  <c r="W8" i="21"/>
  <c r="AB37" i="21"/>
  <c r="J37" i="21"/>
  <c r="W37" i="21" s="1"/>
  <c r="H15" i="21"/>
  <c r="U15" i="21" s="1"/>
  <c r="J17" i="21"/>
  <c r="AC17" i="21" s="1"/>
  <c r="AC19" i="21"/>
  <c r="H45" i="21"/>
  <c r="F29" i="21"/>
  <c r="S29" i="21" s="1"/>
  <c r="F13" i="21"/>
  <c r="AA13" i="21" s="1"/>
  <c r="H32" i="21"/>
  <c r="H9" i="21"/>
  <c r="AB9" i="21" s="1"/>
  <c r="J9" i="21"/>
  <c r="J32" i="21"/>
  <c r="W32" i="21" s="1"/>
  <c r="F32" i="21"/>
  <c r="S32" i="21" s="1"/>
  <c r="U17" i="21"/>
  <c r="S19" i="21"/>
  <c r="S9" i="21"/>
  <c r="AA9" i="21"/>
  <c r="K141" i="21"/>
  <c r="K144" i="21"/>
  <c r="K143" i="21"/>
  <c r="U27" i="21"/>
  <c r="AB25" i="21"/>
  <c r="W13" i="21"/>
  <c r="W42" i="21"/>
  <c r="AC45" i="21"/>
  <c r="F10" i="21"/>
  <c r="AA10" i="21" s="1"/>
  <c r="K145" i="21"/>
  <c r="W25" i="21"/>
  <c r="W31" i="21"/>
  <c r="S27" i="21"/>
  <c r="S17" i="21"/>
  <c r="AC27" i="21"/>
  <c r="AC26" i="21"/>
  <c r="AC34" i="21"/>
  <c r="W10"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B26" i="35"/>
  <c r="AC17" i="37"/>
  <c r="J19" i="37"/>
  <c r="W19" i="37" s="1"/>
  <c r="AA23" i="37"/>
  <c r="J23" i="37"/>
  <c r="AC23" i="37" s="1"/>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G91" i="33"/>
  <c r="H91" i="33" s="1"/>
  <c r="I91" i="33" s="1"/>
  <c r="J91" i="33" s="1"/>
  <c r="K91" i="33" s="1"/>
  <c r="L91" i="33" s="1"/>
  <c r="M91" i="33" s="1"/>
  <c r="J27" i="33"/>
  <c r="W27" i="33" s="1"/>
  <c r="G87" i="33"/>
  <c r="H87" i="33" s="1"/>
  <c r="I87" i="33" s="1"/>
  <c r="J87" i="33" s="1"/>
  <c r="K87" i="33" s="1"/>
  <c r="L87" i="33" s="1"/>
  <c r="M87" i="33" s="1"/>
  <c r="J25" i="33"/>
  <c r="W25" i="33" s="1"/>
  <c r="F23" i="33"/>
  <c r="AA23" i="33" s="1"/>
  <c r="AC23" i="33"/>
  <c r="H19" i="33"/>
  <c r="AB19" i="33" s="1"/>
  <c r="H17" i="33"/>
  <c r="F17" i="33"/>
  <c r="AA17" i="33" s="1"/>
  <c r="W17" i="33"/>
  <c r="U10" i="33"/>
  <c r="AB10" i="33"/>
  <c r="AA23" i="21"/>
  <c r="J23" i="21"/>
  <c r="AC23" i="21" s="1"/>
  <c r="H23" i="21"/>
  <c r="S13" i="21"/>
  <c r="AP7" i="1"/>
  <c r="S33" i="21"/>
  <c r="AA32" i="21"/>
  <c r="A18" i="62"/>
  <c r="B64" i="72" s="1"/>
  <c r="AC32" i="39"/>
  <c r="J11" i="37"/>
  <c r="AC11" i="37" s="1"/>
  <c r="J11" i="34"/>
  <c r="AC11" i="34" s="1"/>
  <c r="AC36" i="33"/>
  <c r="W36" i="33"/>
  <c r="S17" i="33"/>
  <c r="M18" i="9"/>
  <c r="B118" i="9" s="1"/>
  <c r="B14" i="74" s="1"/>
  <c r="B1" i="74" s="1"/>
  <c r="R7" i="1"/>
  <c r="F34" i="11"/>
  <c r="F11" i="12"/>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AO13" i="1"/>
  <c r="M28" i="15"/>
  <c r="F7" i="15"/>
  <c r="AO12" i="1"/>
  <c r="B7" i="76"/>
  <c r="D2" i="35"/>
  <c r="AO9" i="1"/>
  <c r="E11" i="76"/>
  <c r="F13" i="67"/>
  <c r="D2" i="36"/>
  <c r="M29" i="15"/>
  <c r="D2" i="33"/>
  <c r="B11" i="76"/>
  <c r="F3" i="73"/>
  <c r="E10" i="76"/>
  <c r="AO11" i="1"/>
  <c r="F20" i="31"/>
  <c r="E7" i="76"/>
  <c r="M26" i="15"/>
  <c r="F5" i="73"/>
  <c r="L48" i="15"/>
  <c r="M23" i="15"/>
  <c r="F36" i="15"/>
  <c r="D2" i="37"/>
  <c r="E2" i="69"/>
  <c r="M9" i="15"/>
  <c r="E2" i="68"/>
  <c r="E12" i="76"/>
  <c r="F6" i="15"/>
  <c r="B12" i="76"/>
  <c r="E13" i="76"/>
  <c r="F38" i="15"/>
  <c r="D3" i="73"/>
  <c r="D9" i="68"/>
  <c r="M6" i="67"/>
  <c r="B10" i="76"/>
  <c r="B9" i="76"/>
  <c r="E9" i="76"/>
  <c r="B13" i="76"/>
  <c r="M8" i="15"/>
  <c r="F42" i="15"/>
  <c r="AO8" i="1"/>
  <c r="F7" i="73"/>
  <c r="D2" i="21"/>
  <c r="AO7" i="1"/>
  <c r="D2" i="34"/>
  <c r="D9" i="69"/>
  <c r="E8" i="76"/>
  <c r="F4" i="73"/>
  <c r="M24" i="15"/>
  <c r="B8" i="76"/>
  <c r="C36" i="69"/>
  <c r="AO10" i="1"/>
  <c r="F13" i="15"/>
  <c r="D7" i="73"/>
  <c r="F6" i="73"/>
  <c r="H82" i="43" l="1"/>
  <c r="H88" i="43"/>
  <c r="W35" i="40"/>
  <c r="AB25" i="39"/>
  <c r="U25" i="39"/>
  <c r="S32" i="40"/>
  <c r="AA32" i="40"/>
  <c r="AA36" i="37"/>
  <c r="S36" i="37"/>
  <c r="S26" i="36"/>
  <c r="AA26" i="36"/>
  <c r="AA14" i="36"/>
  <c r="S14" i="36"/>
  <c r="AA42" i="33"/>
  <c r="S42" i="33"/>
  <c r="AC27" i="37"/>
  <c r="W27" i="37"/>
  <c r="S12" i="40"/>
  <c r="AA12" i="40"/>
  <c r="AB43" i="39"/>
  <c r="U43" i="39"/>
  <c r="S25" i="36"/>
  <c r="AA25" i="36"/>
  <c r="AB36" i="37"/>
  <c r="U36" i="37"/>
  <c r="AA17" i="34"/>
  <c r="S17" i="34"/>
  <c r="W39" i="34"/>
  <c r="AC39" i="34"/>
  <c r="AB9" i="37"/>
  <c r="U9" i="37"/>
  <c r="AA27" i="37"/>
  <c r="S27" i="37"/>
  <c r="S29" i="37"/>
  <c r="AA29" i="37"/>
  <c r="W46" i="34"/>
  <c r="AC46" i="34"/>
  <c r="W31" i="33"/>
  <c r="AC31" i="33"/>
  <c r="AA28" i="36"/>
  <c r="S28" i="36"/>
  <c r="AC37" i="34"/>
  <c r="W37" i="34"/>
  <c r="AB33" i="37"/>
  <c r="U33" i="37"/>
  <c r="AA37" i="40"/>
  <c r="S37" i="40"/>
  <c r="U40" i="34"/>
  <c r="AB40" i="34"/>
  <c r="W34" i="37"/>
  <c r="AC34" i="37"/>
  <c r="W20" i="35"/>
  <c r="AC20" i="35"/>
  <c r="S16" i="35"/>
  <c r="AA16" i="35"/>
  <c r="AC16" i="35"/>
  <c r="W16" i="35"/>
  <c r="U17" i="40"/>
  <c r="AB17" i="40"/>
  <c r="AA35" i="40"/>
  <c r="S35" i="40"/>
  <c r="U11" i="21"/>
  <c r="AB11" i="21"/>
  <c r="AC27" i="39"/>
  <c r="W27" i="39"/>
  <c r="AB17" i="39"/>
  <c r="U17" i="39"/>
  <c r="G174" i="3"/>
  <c r="G176" i="3"/>
  <c r="J51" i="15"/>
  <c r="E59" i="43"/>
  <c r="B57" i="43" s="1"/>
  <c r="AZ17" i="3"/>
  <c r="U15" i="37"/>
  <c r="S28" i="35"/>
  <c r="U19" i="39"/>
  <c r="F27" i="40"/>
  <c r="S27" i="40" s="1"/>
  <c r="BM5" i="3"/>
  <c r="AZ373" i="3"/>
  <c r="AZ371" i="3"/>
  <c r="AZ337" i="3"/>
  <c r="AA41" i="39"/>
  <c r="F12" i="39"/>
  <c r="S12" i="39" s="1"/>
  <c r="G557" i="3"/>
  <c r="W35" i="39"/>
  <c r="J14" i="40"/>
  <c r="W14" i="40" s="1"/>
  <c r="H12" i="40"/>
  <c r="AB12" i="40" s="1"/>
  <c r="H14" i="39"/>
  <c r="F43" i="39"/>
  <c r="AA43" i="39" s="1"/>
  <c r="F13" i="37"/>
  <c r="S13" i="37" s="1"/>
  <c r="S10" i="36"/>
  <c r="W30" i="36"/>
  <c r="F35" i="39"/>
  <c r="S41" i="21"/>
  <c r="AJ10" i="43"/>
  <c r="BL398" i="3"/>
  <c r="G405" i="3"/>
  <c r="BL407" i="3"/>
  <c r="G410" i="3"/>
  <c r="BA411" i="3"/>
  <c r="G412" i="3"/>
  <c r="BA413" i="3"/>
  <c r="BL413" i="3"/>
  <c r="G454" i="3"/>
  <c r="G318" i="3"/>
  <c r="G292" i="3"/>
  <c r="G136" i="3"/>
  <c r="G148" i="3"/>
  <c r="G150" i="3"/>
  <c r="G151" i="3"/>
  <c r="BL151" i="3"/>
  <c r="BL155" i="3"/>
  <c r="AZ155" i="3" s="1"/>
  <c r="G156" i="3"/>
  <c r="BA157" i="3"/>
  <c r="BA160" i="3"/>
  <c r="AZ160" i="3" s="1"/>
  <c r="BA162" i="3"/>
  <c r="G164" i="3"/>
  <c r="G166" i="3"/>
  <c r="G168" i="3"/>
  <c r="G170" i="3"/>
  <c r="G172" i="3"/>
  <c r="BA176" i="3"/>
  <c r="AZ176" i="3" s="1"/>
  <c r="G51" i="3"/>
  <c r="BA54" i="3"/>
  <c r="AZ151" i="3"/>
  <c r="AZ380" i="3"/>
  <c r="G584" i="3"/>
  <c r="G583" i="3"/>
  <c r="BA581" i="3"/>
  <c r="G581" i="3"/>
  <c r="G580" i="3"/>
  <c r="G579" i="3"/>
  <c r="G577" i="3"/>
  <c r="G576" i="3"/>
  <c r="G575" i="3"/>
  <c r="G572" i="3"/>
  <c r="G571" i="3"/>
  <c r="G569" i="3"/>
  <c r="G568" i="3"/>
  <c r="G567" i="3"/>
  <c r="G565" i="3"/>
  <c r="BA564" i="3"/>
  <c r="G564" i="3"/>
  <c r="G563" i="3"/>
  <c r="G562" i="3"/>
  <c r="G561" i="3"/>
  <c r="G560" i="3"/>
  <c r="G559" i="3"/>
  <c r="G555" i="3"/>
  <c r="G554" i="3"/>
  <c r="G553" i="3"/>
  <c r="G550" i="3"/>
  <c r="BL549" i="3"/>
  <c r="G549" i="3"/>
  <c r="G548" i="3"/>
  <c r="G547" i="3"/>
  <c r="G546" i="3"/>
  <c r="G545" i="3"/>
  <c r="G544" i="3"/>
  <c r="G543" i="3"/>
  <c r="G540" i="3"/>
  <c r="G539" i="3"/>
  <c r="G538" i="3"/>
  <c r="G537" i="3"/>
  <c r="G536" i="3"/>
  <c r="BA535" i="3"/>
  <c r="G535" i="3"/>
  <c r="G534" i="3"/>
  <c r="G533" i="3"/>
  <c r="G532" i="3"/>
  <c r="G531" i="3"/>
  <c r="G530" i="3"/>
  <c r="G529" i="3"/>
  <c r="BL528" i="3"/>
  <c r="BA528" i="3"/>
  <c r="G527" i="3"/>
  <c r="G525" i="3"/>
  <c r="G524" i="3"/>
  <c r="G523" i="3"/>
  <c r="G522" i="3"/>
  <c r="G520" i="3"/>
  <c r="G519" i="3"/>
  <c r="G518" i="3"/>
  <c r="G517" i="3"/>
  <c r="BL516" i="3"/>
  <c r="G516" i="3"/>
  <c r="G514" i="3"/>
  <c r="G513" i="3"/>
  <c r="G512" i="3"/>
  <c r="G511" i="3"/>
  <c r="G510" i="3"/>
  <c r="G508" i="3"/>
  <c r="G506" i="3"/>
  <c r="G505" i="3"/>
  <c r="G503" i="3"/>
  <c r="G502" i="3"/>
  <c r="G501" i="3"/>
  <c r="G500" i="3"/>
  <c r="G499" i="3"/>
  <c r="G498" i="3"/>
  <c r="BL497" i="3"/>
  <c r="BA497" i="3"/>
  <c r="G497" i="3"/>
  <c r="G496" i="3"/>
  <c r="BL495" i="3"/>
  <c r="G495" i="3"/>
  <c r="G493" i="3"/>
  <c r="AB10" i="43"/>
  <c r="S30" i="21"/>
  <c r="AA30" i="21"/>
  <c r="AZ528" i="3"/>
  <c r="S8" i="21"/>
  <c r="S27" i="33"/>
  <c r="S10" i="34"/>
  <c r="AB31" i="37"/>
  <c r="F26" i="35"/>
  <c r="S15" i="39"/>
  <c r="U12" i="39"/>
  <c r="AB12" i="39"/>
  <c r="AA27" i="36"/>
  <c r="S27" i="36"/>
  <c r="AC17" i="34"/>
  <c r="AB44" i="39"/>
  <c r="W23" i="39"/>
  <c r="AA12" i="39"/>
  <c r="BL563" i="3"/>
  <c r="BL567" i="3"/>
  <c r="BL571" i="3"/>
  <c r="BL575" i="3"/>
  <c r="BL579" i="3"/>
  <c r="BL583" i="3"/>
  <c r="J35" i="35"/>
  <c r="F31" i="34"/>
  <c r="H30" i="33"/>
  <c r="AB30" i="33" s="1"/>
  <c r="AC40" i="37"/>
  <c r="W40" i="37"/>
  <c r="AB8" i="39"/>
  <c r="AB36" i="40"/>
  <c r="U36" i="40"/>
  <c r="AB32" i="33"/>
  <c r="U32" i="33"/>
  <c r="AA21" i="40"/>
  <c r="S21" i="40"/>
  <c r="AB40" i="39"/>
  <c r="U40" i="39"/>
  <c r="U9" i="21"/>
  <c r="W15" i="39"/>
  <c r="AC15" i="39"/>
  <c r="AC42" i="39"/>
  <c r="W42" i="39"/>
  <c r="AB14" i="39"/>
  <c r="U14" i="39"/>
  <c r="U13" i="35"/>
  <c r="AB13" i="35"/>
  <c r="W13" i="34"/>
  <c r="AC13" i="34"/>
  <c r="S11" i="35"/>
  <c r="AA11" i="35"/>
  <c r="W36" i="34"/>
  <c r="AC36" i="34"/>
  <c r="AA15" i="34"/>
  <c r="S15" i="34"/>
  <c r="U16" i="35"/>
  <c r="AB16" i="35"/>
  <c r="AC32" i="35"/>
  <c r="W32" i="35"/>
  <c r="BA586" i="3"/>
  <c r="J44" i="21"/>
  <c r="H44" i="21"/>
  <c r="W46" i="21"/>
  <c r="AC46" i="21"/>
  <c r="AA42" i="21"/>
  <c r="S42" i="21"/>
  <c r="F46" i="33"/>
  <c r="AA46" i="33" s="1"/>
  <c r="J46" i="33"/>
  <c r="F29" i="34"/>
  <c r="S29" i="34" s="1"/>
  <c r="H29" i="34"/>
  <c r="AB29" i="34" s="1"/>
  <c r="J25" i="35"/>
  <c r="F25" i="35"/>
  <c r="S25" i="35" s="1"/>
  <c r="J38" i="37"/>
  <c r="AC38" i="37" s="1"/>
  <c r="H38" i="37"/>
  <c r="J37" i="39"/>
  <c r="F37" i="39"/>
  <c r="AC8" i="40"/>
  <c r="W8" i="40"/>
  <c r="AB9" i="40"/>
  <c r="U9" i="40"/>
  <c r="AB34" i="40"/>
  <c r="U34" i="40"/>
  <c r="J31" i="40"/>
  <c r="F31" i="40"/>
  <c r="BL584" i="3"/>
  <c r="BA584" i="3"/>
  <c r="BL578" i="3"/>
  <c r="BA578" i="3"/>
  <c r="BA577" i="3"/>
  <c r="BL576" i="3"/>
  <c r="BA574" i="3"/>
  <c r="BA567" i="3"/>
  <c r="BA563" i="3"/>
  <c r="BA560" i="3"/>
  <c r="BL556" i="3"/>
  <c r="BA556" i="3"/>
  <c r="BA553" i="3"/>
  <c r="BA552" i="3"/>
  <c r="BA547" i="3"/>
  <c r="BL542" i="3"/>
  <c r="BA540" i="3"/>
  <c r="BA539" i="3"/>
  <c r="BL536" i="3"/>
  <c r="BA536" i="3"/>
  <c r="BL534" i="3"/>
  <c r="BL532" i="3"/>
  <c r="BA532" i="3"/>
  <c r="BA531" i="3"/>
  <c r="BA527" i="3"/>
  <c r="BL526" i="3"/>
  <c r="BL524" i="3"/>
  <c r="BA524" i="3"/>
  <c r="BA523" i="3"/>
  <c r="BA520" i="3"/>
  <c r="BL514" i="3"/>
  <c r="BA514" i="3"/>
  <c r="BA511" i="3"/>
  <c r="BA509" i="3"/>
  <c r="BA506" i="3"/>
  <c r="BA505" i="3"/>
  <c r="BL504" i="3"/>
  <c r="BL502" i="3"/>
  <c r="BA502" i="3"/>
  <c r="BA501" i="3"/>
  <c r="BA496" i="3"/>
  <c r="BT5" i="3"/>
  <c r="BL494" i="3"/>
  <c r="BH5" i="3"/>
  <c r="BD5" i="3"/>
  <c r="BS5" i="3"/>
  <c r="BL493" i="3"/>
  <c r="BI5" i="3"/>
  <c r="BA493" i="3"/>
  <c r="AZ391" i="3"/>
  <c r="AZ345" i="3"/>
  <c r="AZ322" i="3"/>
  <c r="AZ389" i="3"/>
  <c r="AZ320" i="3"/>
  <c r="AZ378" i="3"/>
  <c r="AZ360" i="3"/>
  <c r="BL521" i="3"/>
  <c r="BL523" i="3"/>
  <c r="BL527" i="3"/>
  <c r="BL531" i="3"/>
  <c r="BL535" i="3"/>
  <c r="C5" i="11"/>
  <c r="G14" i="3"/>
  <c r="BA430" i="3"/>
  <c r="BL454" i="3"/>
  <c r="G463" i="3"/>
  <c r="G465" i="3"/>
  <c r="BL466" i="3"/>
  <c r="BA474" i="3"/>
  <c r="BA476" i="3"/>
  <c r="G477" i="3"/>
  <c r="G479" i="3"/>
  <c r="G485" i="3"/>
  <c r="BA486" i="3"/>
  <c r="BL487" i="3"/>
  <c r="G492" i="3"/>
  <c r="BA315" i="3"/>
  <c r="AZ315" i="3" s="1"/>
  <c r="BA317" i="3"/>
  <c r="G323" i="3"/>
  <c r="G327" i="3"/>
  <c r="BL330" i="3"/>
  <c r="AZ330" i="3" s="1"/>
  <c r="G331" i="3"/>
  <c r="G380" i="3"/>
  <c r="G396" i="3"/>
  <c r="G210" i="3"/>
  <c r="BA221" i="3"/>
  <c r="G222" i="3"/>
  <c r="G240" i="3"/>
  <c r="BA247" i="3"/>
  <c r="G248" i="3"/>
  <c r="BA248" i="3"/>
  <c r="G249" i="3"/>
  <c r="BA249" i="3"/>
  <c r="G250" i="3"/>
  <c r="G251" i="3"/>
  <c r="G252" i="3"/>
  <c r="BL253" i="3"/>
  <c r="BA255" i="3"/>
  <c r="G256" i="3"/>
  <c r="BA256" i="3"/>
  <c r="BA277" i="3"/>
  <c r="G278" i="3"/>
  <c r="BL279" i="3"/>
  <c r="BL281" i="3"/>
  <c r="G284" i="3"/>
  <c r="BL285" i="3"/>
  <c r="G286" i="3"/>
  <c r="BL289" i="3"/>
  <c r="BA291" i="3"/>
  <c r="BA298" i="3"/>
  <c r="BL300" i="3"/>
  <c r="BL302" i="3"/>
  <c r="BL114" i="3"/>
  <c r="G115" i="3"/>
  <c r="G120" i="3"/>
  <c r="BL121" i="3"/>
  <c r="G123" i="3"/>
  <c r="G126" i="3"/>
  <c r="G127" i="3"/>
  <c r="G26" i="3"/>
  <c r="G32" i="3"/>
  <c r="BA33" i="3"/>
  <c r="G52" i="3"/>
  <c r="G84" i="3"/>
  <c r="G94" i="3"/>
  <c r="G98" i="3"/>
  <c r="F3" i="35"/>
  <c r="I20" i="66"/>
  <c r="AF10" i="43"/>
  <c r="AC12" i="43"/>
  <c r="AD12" i="43"/>
  <c r="AB17" i="33"/>
  <c r="U17" i="33"/>
  <c r="W23" i="37"/>
  <c r="U45" i="21"/>
  <c r="AB45" i="21"/>
  <c r="AA23" i="35"/>
  <c r="S23" i="35"/>
  <c r="W25" i="35"/>
  <c r="AC25" i="35"/>
  <c r="AZ532" i="3"/>
  <c r="AZ524" i="3"/>
  <c r="U32" i="21"/>
  <c r="AB32" i="21"/>
  <c r="AZ556" i="3"/>
  <c r="AA11" i="36"/>
  <c r="S11" i="36"/>
  <c r="S44" i="34"/>
  <c r="AA44" i="34"/>
  <c r="F12" i="21"/>
  <c r="J12" i="21"/>
  <c r="J28" i="21"/>
  <c r="H28" i="21"/>
  <c r="AB8" i="33"/>
  <c r="U8" i="33"/>
  <c r="AC39" i="33"/>
  <c r="W39" i="33"/>
  <c r="H14" i="33"/>
  <c r="J14" i="33"/>
  <c r="H44" i="33"/>
  <c r="J44" i="33"/>
  <c r="H13" i="34"/>
  <c r="U13" i="34" s="1"/>
  <c r="F13" i="34"/>
  <c r="AA13" i="34" s="1"/>
  <c r="H45" i="34"/>
  <c r="U45" i="34" s="1"/>
  <c r="F45" i="34"/>
  <c r="H47" i="34"/>
  <c r="J47" i="34"/>
  <c r="AC22" i="35"/>
  <c r="W22" i="35"/>
  <c r="AA8" i="36"/>
  <c r="S8" i="36"/>
  <c r="H13" i="36"/>
  <c r="F13" i="36"/>
  <c r="W16" i="36"/>
  <c r="AC16" i="36"/>
  <c r="AA40" i="39"/>
  <c r="S40" i="39"/>
  <c r="F13" i="39"/>
  <c r="J13" i="39"/>
  <c r="W40" i="40"/>
  <c r="AC40" i="40"/>
  <c r="H13" i="40"/>
  <c r="U13" i="40" s="1"/>
  <c r="F13" i="40"/>
  <c r="J33" i="40"/>
  <c r="F33" i="40"/>
  <c r="AA33" i="40" s="1"/>
  <c r="F38" i="40"/>
  <c r="J38" i="40"/>
  <c r="F40" i="40"/>
  <c r="H40" i="40"/>
  <c r="AB40" i="40" s="1"/>
  <c r="S38" i="34"/>
  <c r="AA38" i="34"/>
  <c r="H36" i="39"/>
  <c r="J36" i="39"/>
  <c r="BL582" i="3"/>
  <c r="BA582" i="3"/>
  <c r="BL580" i="3"/>
  <c r="BA579" i="3"/>
  <c r="BA576" i="3"/>
  <c r="BA573" i="3"/>
  <c r="BL570" i="3"/>
  <c r="BA570" i="3"/>
  <c r="BL568" i="3"/>
  <c r="BA565" i="3"/>
  <c r="BL562" i="3"/>
  <c r="BA562" i="3"/>
  <c r="BA561" i="3"/>
  <c r="BA558" i="3"/>
  <c r="BA557" i="3"/>
  <c r="BA555" i="3"/>
  <c r="BA554" i="3"/>
  <c r="AZ554" i="3" s="1"/>
  <c r="BL552" i="3"/>
  <c r="BA549" i="3"/>
  <c r="BL546" i="3"/>
  <c r="BA546" i="3"/>
  <c r="BA545" i="3"/>
  <c r="BA542" i="3"/>
  <c r="BL538" i="3"/>
  <c r="BA538" i="3"/>
  <c r="BL537" i="3"/>
  <c r="BA537" i="3"/>
  <c r="BA534" i="3"/>
  <c r="AZ534" i="3" s="1"/>
  <c r="BA533" i="3"/>
  <c r="BL530" i="3"/>
  <c r="BA530" i="3"/>
  <c r="BA529" i="3"/>
  <c r="BA526" i="3"/>
  <c r="BA525" i="3"/>
  <c r="BL522" i="3"/>
  <c r="BA522" i="3"/>
  <c r="BL520" i="3"/>
  <c r="AZ520" i="3" s="1"/>
  <c r="BA519" i="3"/>
  <c r="BL518" i="3"/>
  <c r="BA518" i="3"/>
  <c r="BA513" i="3"/>
  <c r="BL512" i="3"/>
  <c r="BA512" i="3"/>
  <c r="BL510" i="3"/>
  <c r="AZ510" i="3" s="1"/>
  <c r="BL508" i="3"/>
  <c r="BA508" i="3"/>
  <c r="BA507" i="3"/>
  <c r="BA504" i="3"/>
  <c r="AZ504" i="3" s="1"/>
  <c r="BA503" i="3"/>
  <c r="BL500" i="3"/>
  <c r="BA500" i="3"/>
  <c r="BA499" i="3"/>
  <c r="BL498" i="3"/>
  <c r="BA495" i="3"/>
  <c r="BA494" i="3"/>
  <c r="AZ494" i="3" s="1"/>
  <c r="C23" i="12"/>
  <c r="U29" i="34"/>
  <c r="AA36" i="21"/>
  <c r="W41" i="21"/>
  <c r="AA10" i="33"/>
  <c r="S15" i="33"/>
  <c r="H27" i="33"/>
  <c r="S43" i="33"/>
  <c r="U39" i="34"/>
  <c r="AC42" i="34"/>
  <c r="AA13" i="37"/>
  <c r="W38" i="37"/>
  <c r="J26" i="35"/>
  <c r="AB10" i="35"/>
  <c r="S32" i="35"/>
  <c r="AB27" i="35"/>
  <c r="U29" i="35"/>
  <c r="AA25" i="35"/>
  <c r="U10" i="36"/>
  <c r="AB14" i="36"/>
  <c r="AA34" i="36"/>
  <c r="U31" i="39"/>
  <c r="AC15" i="40"/>
  <c r="AB29" i="36"/>
  <c r="U10" i="21"/>
  <c r="W9" i="39"/>
  <c r="AB33" i="40"/>
  <c r="AA25" i="21"/>
  <c r="H12" i="37"/>
  <c r="U12" i="37" s="1"/>
  <c r="H31" i="40"/>
  <c r="BL501" i="3"/>
  <c r="AZ501" i="3" s="1"/>
  <c r="BL505" i="3"/>
  <c r="BL509" i="3"/>
  <c r="BL513" i="3"/>
  <c r="BL517" i="3"/>
  <c r="BL541" i="3"/>
  <c r="BL545" i="3"/>
  <c r="AZ545" i="3" s="1"/>
  <c r="W31" i="34"/>
  <c r="AB11" i="36"/>
  <c r="J14" i="37"/>
  <c r="AC14" i="37" s="1"/>
  <c r="H13" i="39"/>
  <c r="J13" i="40"/>
  <c r="F38" i="37"/>
  <c r="S38" i="37" s="1"/>
  <c r="F35" i="35"/>
  <c r="H25" i="35"/>
  <c r="F13" i="35"/>
  <c r="J45" i="34"/>
  <c r="H31" i="34"/>
  <c r="J29" i="34"/>
  <c r="H46" i="33"/>
  <c r="J30" i="33"/>
  <c r="F14" i="33"/>
  <c r="S14" i="33" s="1"/>
  <c r="J13" i="36"/>
  <c r="AC13" i="36" s="1"/>
  <c r="J11" i="36"/>
  <c r="AC11" i="36" s="1"/>
  <c r="F28" i="21"/>
  <c r="AA28" i="21" s="1"/>
  <c r="AC38" i="34"/>
  <c r="W40" i="33"/>
  <c r="W8" i="34"/>
  <c r="S10" i="37"/>
  <c r="U8" i="35"/>
  <c r="J31" i="39"/>
  <c r="F31" i="39"/>
  <c r="AA35" i="39"/>
  <c r="S35" i="39"/>
  <c r="F36" i="39"/>
  <c r="S36" i="39" s="1"/>
  <c r="H12" i="21"/>
  <c r="J29" i="21"/>
  <c r="H29" i="21"/>
  <c r="H31" i="21"/>
  <c r="F31" i="21"/>
  <c r="S31" i="21" s="1"/>
  <c r="B74" i="43"/>
  <c r="C27" i="39"/>
  <c r="BL499" i="3"/>
  <c r="BL503" i="3"/>
  <c r="BL507" i="3"/>
  <c r="BL511" i="3"/>
  <c r="BL515" i="3"/>
  <c r="AZ515" i="3" s="1"/>
  <c r="G521" i="3"/>
  <c r="BL525" i="3"/>
  <c r="BL529" i="3"/>
  <c r="BL533" i="3"/>
  <c r="BL539" i="3"/>
  <c r="AZ539" i="3" s="1"/>
  <c r="BL543" i="3"/>
  <c r="BL547" i="3"/>
  <c r="AZ547" i="3" s="1"/>
  <c r="BL551" i="3"/>
  <c r="BL561" i="3"/>
  <c r="BL565" i="3"/>
  <c r="BL569" i="3"/>
  <c r="BL573" i="3"/>
  <c r="BL581" i="3"/>
  <c r="BL557" i="3"/>
  <c r="S34" i="39"/>
  <c r="AA34" i="39"/>
  <c r="BA416" i="3"/>
  <c r="G417" i="3"/>
  <c r="BA418" i="3"/>
  <c r="BL418" i="3"/>
  <c r="BL420" i="3"/>
  <c r="G421" i="3"/>
  <c r="BA428" i="3"/>
  <c r="G429" i="3"/>
  <c r="BL431" i="3"/>
  <c r="BA433" i="3"/>
  <c r="G434" i="3"/>
  <c r="G436" i="3"/>
  <c r="BL437" i="3"/>
  <c r="G438" i="3"/>
  <c r="BL439" i="3"/>
  <c r="G440" i="3"/>
  <c r="G442" i="3"/>
  <c r="G444" i="3"/>
  <c r="G446" i="3"/>
  <c r="BA446" i="3"/>
  <c r="BA447" i="3"/>
  <c r="G448" i="3"/>
  <c r="BL448" i="3"/>
  <c r="BA449" i="3"/>
  <c r="G450" i="3"/>
  <c r="BA453" i="3"/>
  <c r="BL453" i="3"/>
  <c r="BA455" i="3"/>
  <c r="G456" i="3"/>
  <c r="BL456" i="3"/>
  <c r="BA459" i="3"/>
  <c r="BL459" i="3"/>
  <c r="G460" i="3"/>
  <c r="G313" i="3"/>
  <c r="BA348" i="3"/>
  <c r="BA349" i="3"/>
  <c r="AZ349" i="3" s="1"/>
  <c r="G364" i="3"/>
  <c r="G366" i="3"/>
  <c r="G374" i="3"/>
  <c r="G378" i="3"/>
  <c r="BA384" i="3"/>
  <c r="AZ384" i="3" s="1"/>
  <c r="G392" i="3"/>
  <c r="BA395" i="3"/>
  <c r="BL397" i="3"/>
  <c r="BL210" i="3"/>
  <c r="BA211" i="3"/>
  <c r="BA216" i="3"/>
  <c r="G217" i="3"/>
  <c r="BL217" i="3"/>
  <c r="G231" i="3"/>
  <c r="G132" i="3"/>
  <c r="G134" i="3"/>
  <c r="BL138" i="3"/>
  <c r="BL183" i="3"/>
  <c r="AZ183" i="3" s="1"/>
  <c r="BL189" i="3"/>
  <c r="G190" i="3"/>
  <c r="G202" i="3"/>
  <c r="G204" i="3"/>
  <c r="G206" i="3"/>
  <c r="G18" i="3"/>
  <c r="G20" i="3"/>
  <c r="BL21" i="3"/>
  <c r="G22" i="3"/>
  <c r="G24" i="3"/>
  <c r="BA25" i="3"/>
  <c r="BA26" i="3"/>
  <c r="G31" i="3"/>
  <c r="G33" i="3"/>
  <c r="G43" i="3"/>
  <c r="G47" i="3"/>
  <c r="G48" i="3"/>
  <c r="BA51" i="3"/>
  <c r="BA52" i="3"/>
  <c r="BL53" i="3"/>
  <c r="BA55" i="3"/>
  <c r="BL55" i="3"/>
  <c r="G56" i="3"/>
  <c r="G58" i="3"/>
  <c r="G59" i="3"/>
  <c r="BA59" i="3"/>
  <c r="G60" i="3"/>
  <c r="BL60" i="3"/>
  <c r="G62" i="3"/>
  <c r="G66" i="3"/>
  <c r="G68" i="3"/>
  <c r="BL69" i="3"/>
  <c r="G70" i="3"/>
  <c r="BA70" i="3"/>
  <c r="G72" i="3"/>
  <c r="G78" i="3"/>
  <c r="BL79" i="3"/>
  <c r="G80" i="3"/>
  <c r="BA81" i="3"/>
  <c r="G85" i="3"/>
  <c r="BA94" i="3"/>
  <c r="I15" i="66"/>
  <c r="AC21" i="34"/>
  <c r="B41" i="71"/>
  <c r="W12" i="34"/>
  <c r="AC12" i="34"/>
  <c r="W11" i="37"/>
  <c r="AC25" i="33"/>
  <c r="U11" i="34"/>
  <c r="U11" i="37"/>
  <c r="AZ13" i="3"/>
  <c r="AZ338" i="3"/>
  <c r="AZ382" i="3"/>
  <c r="AZ347" i="3"/>
  <c r="AZ342" i="3"/>
  <c r="AZ329" i="3"/>
  <c r="AZ321" i="3"/>
  <c r="AZ313" i="3"/>
  <c r="AZ523" i="3"/>
  <c r="AZ527" i="3"/>
  <c r="AZ531" i="3"/>
  <c r="AZ535" i="3"/>
  <c r="AZ563" i="3"/>
  <c r="AZ579" i="3"/>
  <c r="AZ500" i="3"/>
  <c r="AZ552" i="3"/>
  <c r="AZ496" i="3"/>
  <c r="H23" i="35"/>
  <c r="J23" i="35"/>
  <c r="AZ343" i="3"/>
  <c r="BA587" i="3"/>
  <c r="BA585" i="3"/>
  <c r="AZ585" i="3" s="1"/>
  <c r="G574" i="3"/>
  <c r="G566" i="3"/>
  <c r="G556" i="3"/>
  <c r="BA541" i="3"/>
  <c r="AZ541" i="3" s="1"/>
  <c r="BL540" i="3"/>
  <c r="AZ540" i="3" s="1"/>
  <c r="G528" i="3"/>
  <c r="BL506" i="3"/>
  <c r="AZ506" i="3" s="1"/>
  <c r="BJ5" i="3"/>
  <c r="BF5" i="3"/>
  <c r="BB5" i="3"/>
  <c r="BO5" i="3"/>
  <c r="BR5" i="3"/>
  <c r="G28" i="6" s="1"/>
  <c r="BA220" i="3"/>
  <c r="BL220" i="3"/>
  <c r="G223" i="3"/>
  <c r="G224" i="3"/>
  <c r="G225" i="3"/>
  <c r="BA226" i="3"/>
  <c r="G229" i="3"/>
  <c r="BA230" i="3"/>
  <c r="BL231" i="3"/>
  <c r="G232" i="3"/>
  <c r="BL233" i="3"/>
  <c r="G234" i="3"/>
  <c r="BL235" i="3"/>
  <c r="G236" i="3"/>
  <c r="G237" i="3"/>
  <c r="BA237" i="3"/>
  <c r="G238" i="3"/>
  <c r="G241" i="3"/>
  <c r="G243" i="3"/>
  <c r="BA244" i="3"/>
  <c r="BA246" i="3"/>
  <c r="BL246" i="3"/>
  <c r="G257" i="3"/>
  <c r="G258" i="3"/>
  <c r="BL259" i="3"/>
  <c r="G261" i="3"/>
  <c r="G263" i="3"/>
  <c r="BL263" i="3"/>
  <c r="BA264" i="3"/>
  <c r="G267" i="3"/>
  <c r="BL268" i="3"/>
  <c r="G269" i="3"/>
  <c r="BA270" i="3"/>
  <c r="BA274" i="3"/>
  <c r="BA276" i="3"/>
  <c r="BL276" i="3"/>
  <c r="G128" i="3"/>
  <c r="G130" i="3"/>
  <c r="G140" i="3"/>
  <c r="BL141" i="3"/>
  <c r="G142" i="3"/>
  <c r="BE5" i="3"/>
  <c r="BA399" i="3"/>
  <c r="BL399" i="3"/>
  <c r="G400" i="3"/>
  <c r="BL401" i="3"/>
  <c r="BL403" i="3"/>
  <c r="G404" i="3"/>
  <c r="BA414" i="3"/>
  <c r="G415" i="3"/>
  <c r="G422" i="3"/>
  <c r="BA423" i="3"/>
  <c r="G424" i="3"/>
  <c r="BA425" i="3"/>
  <c r="BA427" i="3"/>
  <c r="G428" i="3"/>
  <c r="G431" i="3"/>
  <c r="G441" i="3"/>
  <c r="BA450" i="3"/>
  <c r="BL450" i="3"/>
  <c r="G451" i="3"/>
  <c r="BA452" i="3"/>
  <c r="BL452" i="3"/>
  <c r="G453" i="3"/>
  <c r="G461" i="3"/>
  <c r="BL463" i="3"/>
  <c r="G464" i="3"/>
  <c r="BA477" i="3"/>
  <c r="BL477" i="3"/>
  <c r="G478" i="3"/>
  <c r="BL479" i="3"/>
  <c r="G484" i="3"/>
  <c r="BA484" i="3"/>
  <c r="G311" i="3"/>
  <c r="BA316" i="3"/>
  <c r="BL316" i="3"/>
  <c r="G351" i="3"/>
  <c r="BA358" i="3"/>
  <c r="AZ358" i="3" s="1"/>
  <c r="G362" i="3"/>
  <c r="G382" i="3"/>
  <c r="G384" i="3"/>
  <c r="G144" i="3"/>
  <c r="G180" i="3"/>
  <c r="BA181" i="3"/>
  <c r="G182" i="3"/>
  <c r="BL186" i="3"/>
  <c r="G187" i="3"/>
  <c r="BL190" i="3"/>
  <c r="G191" i="3"/>
  <c r="BL194" i="3"/>
  <c r="G195" i="3"/>
  <c r="BA31" i="3"/>
  <c r="BA32" i="3"/>
  <c r="BL34" i="3"/>
  <c r="BL36" i="3"/>
  <c r="BL38" i="3"/>
  <c r="G39" i="3"/>
  <c r="G44" i="3"/>
  <c r="G46" i="3"/>
  <c r="BL56" i="3"/>
  <c r="G57" i="3"/>
  <c r="G63" i="3"/>
  <c r="G65" i="3"/>
  <c r="G71" i="3"/>
  <c r="BA72" i="3"/>
  <c r="G73" i="3"/>
  <c r="BL74" i="3"/>
  <c r="BA76" i="3"/>
  <c r="BL76" i="3"/>
  <c r="G77" i="3"/>
  <c r="G86" i="3"/>
  <c r="BL87" i="3"/>
  <c r="BL89" i="3"/>
  <c r="BL91" i="3"/>
  <c r="BA92" i="3"/>
  <c r="BA93" i="3"/>
  <c r="BL95" i="3"/>
  <c r="BL98" i="3"/>
  <c r="G99" i="3"/>
  <c r="BA99" i="3"/>
  <c r="G100" i="3"/>
  <c r="G105" i="3"/>
  <c r="BL105" i="3"/>
  <c r="G109" i="3"/>
  <c r="G111" i="3"/>
  <c r="BA112" i="3"/>
  <c r="I100" i="43"/>
  <c r="U21" i="34"/>
  <c r="P27" i="6"/>
  <c r="D73" i="71"/>
  <c r="E65" i="71"/>
  <c r="E64" i="71" s="1"/>
  <c r="AA28" i="71"/>
  <c r="B65" i="71"/>
  <c r="B64" i="71" s="1"/>
  <c r="B69" i="71"/>
  <c r="B68" i="71" s="1"/>
  <c r="Z10" i="43"/>
  <c r="T10" i="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S14" i="37" s="1"/>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AZ517" i="3" s="1"/>
  <c r="BA516" i="3"/>
  <c r="AZ516" i="3" s="1"/>
  <c r="BA498" i="3"/>
  <c r="AZ498" i="3" s="1"/>
  <c r="BL410" i="3"/>
  <c r="BL587" i="3"/>
  <c r="AZ587" i="3" s="1"/>
  <c r="BA583" i="3"/>
  <c r="AZ583" i="3" s="1"/>
  <c r="BA580" i="3"/>
  <c r="AZ580" i="3" s="1"/>
  <c r="G578" i="3"/>
  <c r="BA571" i="3"/>
  <c r="AZ571" i="3" s="1"/>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BL417" i="3"/>
  <c r="G418" i="3"/>
  <c r="G420" i="3"/>
  <c r="BA421" i="3"/>
  <c r="BA422" i="3"/>
  <c r="BL422" i="3"/>
  <c r="BL424" i="3"/>
  <c r="G425" i="3"/>
  <c r="G426" i="3"/>
  <c r="BL426" i="3"/>
  <c r="BA429" i="3"/>
  <c r="BL429" i="3"/>
  <c r="G430" i="3"/>
  <c r="BL430" i="3"/>
  <c r="BA432" i="3"/>
  <c r="BL432" i="3"/>
  <c r="G433" i="3"/>
  <c r="BA434" i="3"/>
  <c r="BL434" i="3"/>
  <c r="G435" i="3"/>
  <c r="BL436" i="3"/>
  <c r="G437" i="3"/>
  <c r="G439" i="3"/>
  <c r="BA440" i="3"/>
  <c r="BA441" i="3"/>
  <c r="BA442" i="3"/>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BL446" i="3"/>
  <c r="AZ446" i="3" s="1"/>
  <c r="BA467" i="3"/>
  <c r="BL468" i="3"/>
  <c r="BL470" i="3"/>
  <c r="BL473" i="3"/>
  <c r="BA478" i="3"/>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AZ52" i="3" s="1"/>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A25" i="33"/>
  <c r="AA19" i="37"/>
  <c r="J12" i="35"/>
  <c r="AZ566" i="3"/>
  <c r="W14" i="39"/>
  <c r="AC29" i="33"/>
  <c r="H40" i="37"/>
  <c r="F40" i="37"/>
  <c r="AZ575" i="3"/>
  <c r="AZ572" i="3"/>
  <c r="W11" i="34"/>
  <c r="AC9" i="37"/>
  <c r="AZ364" i="3"/>
  <c r="AZ351" i="3"/>
  <c r="AZ567" i="3"/>
  <c r="AZ526" i="3"/>
  <c r="AA14" i="37"/>
  <c r="U12" i="35"/>
  <c r="AB12" i="35"/>
  <c r="AA38" i="40"/>
  <c r="S38" i="40"/>
  <c r="S31" i="35"/>
  <c r="AA31" i="35"/>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F9" i="34"/>
  <c r="G585" i="3"/>
  <c r="BL548" i="3"/>
  <c r="AZ548" i="3" s="1"/>
  <c r="BL577" i="3"/>
  <c r="AZ577" i="3" s="1"/>
  <c r="AZ495" i="3"/>
  <c r="W28" i="35"/>
  <c r="W40" i="39"/>
  <c r="H25" i="37"/>
  <c r="J25" i="37"/>
  <c r="G408" i="3"/>
  <c r="G409" i="3"/>
  <c r="BL435" i="3"/>
  <c r="BL438" i="3"/>
  <c r="G443" i="3"/>
  <c r="G445" i="3"/>
  <c r="G467" i="3"/>
  <c r="BL482" i="3"/>
  <c r="AZ482" i="3" s="1"/>
  <c r="G488" i="3"/>
  <c r="BA332" i="3"/>
  <c r="AZ332" i="3" s="1"/>
  <c r="BA335" i="3"/>
  <c r="AZ335" i="3" s="1"/>
  <c r="BL348" i="3"/>
  <c r="AZ348" i="3" s="1"/>
  <c r="BL354" i="3"/>
  <c r="AZ354" i="3" s="1"/>
  <c r="BL226" i="3"/>
  <c r="AZ226" i="3" s="1"/>
  <c r="BL227" i="3"/>
  <c r="BL255" i="3"/>
  <c r="BA292" i="3"/>
  <c r="AZ292" i="3" s="1"/>
  <c r="BA294" i="3"/>
  <c r="AZ294" i="3" s="1"/>
  <c r="BA295" i="3"/>
  <c r="AZ295" i="3" s="1"/>
  <c r="BA296" i="3"/>
  <c r="AZ296" i="3" s="1"/>
  <c r="BA297" i="3"/>
  <c r="BL301" i="3"/>
  <c r="AZ301" i="3" s="1"/>
  <c r="BL115" i="3"/>
  <c r="AZ115" i="3" s="1"/>
  <c r="BL123" i="3"/>
  <c r="AZ123" i="3" s="1"/>
  <c r="BA129" i="3"/>
  <c r="BA158" i="3"/>
  <c r="BL195" i="3"/>
  <c r="AZ195" i="3" s="1"/>
  <c r="BL199" i="3"/>
  <c r="AZ199" i="3" s="1"/>
  <c r="G207" i="3"/>
  <c r="BA400" i="3"/>
  <c r="AZ400" i="3" s="1"/>
  <c r="BA401" i="3"/>
  <c r="AZ401" i="3" s="1"/>
  <c r="BA402" i="3"/>
  <c r="BL404" i="3"/>
  <c r="BA419" i="3"/>
  <c r="BL421" i="3"/>
  <c r="BL440" i="3"/>
  <c r="AZ440" i="3" s="1"/>
  <c r="BA456" i="3"/>
  <c r="AZ456" i="3" s="1"/>
  <c r="BA457" i="3"/>
  <c r="AZ457" i="3" s="1"/>
  <c r="BA458" i="3"/>
  <c r="BL460" i="3"/>
  <c r="BL462" i="3"/>
  <c r="G469" i="3"/>
  <c r="G471" i="3"/>
  <c r="BL484" i="3"/>
  <c r="AZ484" i="3" s="1"/>
  <c r="G490" i="3"/>
  <c r="BL350" i="3"/>
  <c r="AZ350" i="3" s="1"/>
  <c r="BA353" i="3"/>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BA436" i="3"/>
  <c r="AZ436" i="3" s="1"/>
  <c r="BA437" i="3"/>
  <c r="AZ437" i="3" s="1"/>
  <c r="BA438" i="3"/>
  <c r="BA439" i="3"/>
  <c r="AZ439" i="3" s="1"/>
  <c r="BL441" i="3"/>
  <c r="AZ441" i="3" s="1"/>
  <c r="G447" i="3"/>
  <c r="BL464" i="3"/>
  <c r="G473" i="3"/>
  <c r="BA483" i="3"/>
  <c r="AZ483" i="3" s="1"/>
  <c r="BL486" i="3"/>
  <c r="BA307" i="3"/>
  <c r="AZ307" i="3" s="1"/>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BA462" i="3"/>
  <c r="BA463" i="3"/>
  <c r="AZ463" i="3" s="1"/>
  <c r="BL465" i="3"/>
  <c r="AZ465" i="3" s="1"/>
  <c r="G476" i="3"/>
  <c r="BA485" i="3"/>
  <c r="AZ485" i="3" s="1"/>
  <c r="G339" i="3"/>
  <c r="BL365" i="3"/>
  <c r="AZ365" i="3" s="1"/>
  <c r="BL208" i="3"/>
  <c r="G218" i="3"/>
  <c r="G219" i="3"/>
  <c r="BA231" i="3"/>
  <c r="AZ231" i="3" s="1"/>
  <c r="BA232" i="3"/>
  <c r="BA233" i="3"/>
  <c r="AZ233" i="3" s="1"/>
  <c r="BA234" i="3"/>
  <c r="BA235" i="3"/>
  <c r="AZ235" i="3" s="1"/>
  <c r="BL237" i="3"/>
  <c r="AZ237" i="3" s="1"/>
  <c r="BL260" i="3"/>
  <c r="AZ260" i="3" s="1"/>
  <c r="BL261" i="3"/>
  <c r="G272" i="3"/>
  <c r="G273" i="3"/>
  <c r="G274" i="3"/>
  <c r="G275" i="3"/>
  <c r="G146" i="3"/>
  <c r="BL173" i="3"/>
  <c r="BA196" i="3"/>
  <c r="AZ196" i="3" s="1"/>
  <c r="BL18" i="3"/>
  <c r="BA22" i="3"/>
  <c r="BA58" i="3"/>
  <c r="BA405" i="3"/>
  <c r="AZ405" i="3" s="1"/>
  <c r="BA406" i="3"/>
  <c r="BL409" i="3"/>
  <c r="AZ409" i="3" s="1"/>
  <c r="G414" i="3"/>
  <c r="BL445" i="3"/>
  <c r="AZ445" i="3" s="1"/>
  <c r="BL467" i="3"/>
  <c r="BL469" i="3"/>
  <c r="BL488" i="3"/>
  <c r="BL363" i="3"/>
  <c r="AZ363" i="3" s="1"/>
  <c r="BL367" i="3"/>
  <c r="AZ367" i="3" s="1"/>
  <c r="BA397" i="3"/>
  <c r="AZ397" i="3" s="1"/>
  <c r="BL209" i="3"/>
  <c r="G221" i="3"/>
  <c r="BL238" i="3"/>
  <c r="BL239" i="3"/>
  <c r="AZ239" i="3" s="1"/>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BL425" i="3"/>
  <c r="AZ425" i="3" s="1"/>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BL15" i="3"/>
  <c r="AZ15" i="3" s="1"/>
  <c r="G399" i="3"/>
  <c r="BL411" i="3"/>
  <c r="BA424" i="3"/>
  <c r="AZ424" i="3" s="1"/>
  <c r="G432" i="3"/>
  <c r="BL447" i="3"/>
  <c r="AZ447" i="3" s="1"/>
  <c r="BA468" i="3"/>
  <c r="AZ468" i="3" s="1"/>
  <c r="BA469" i="3"/>
  <c r="BA470" i="3"/>
  <c r="AZ470" i="3" s="1"/>
  <c r="BL474" i="3"/>
  <c r="AZ474" i="3" s="1"/>
  <c r="G480" i="3"/>
  <c r="BA489" i="3"/>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BA213" i="3"/>
  <c r="AZ213" i="3" s="1"/>
  <c r="BA214" i="3"/>
  <c r="AZ214" i="3" s="1"/>
  <c r="BA215" i="3"/>
  <c r="AZ215" i="3" s="1"/>
  <c r="BL219" i="3"/>
  <c r="AZ219" i="3" s="1"/>
  <c r="BA241" i="3"/>
  <c r="BA242" i="3"/>
  <c r="AZ242" i="3" s="1"/>
  <c r="BA243" i="3"/>
  <c r="AZ243" i="3" s="1"/>
  <c r="BL245" i="3"/>
  <c r="BA267" i="3"/>
  <c r="AZ267" i="3" s="1"/>
  <c r="BA268" i="3"/>
  <c r="AZ268" i="3" s="1"/>
  <c r="BA269" i="3"/>
  <c r="AZ269" i="3" s="1"/>
  <c r="BL271" i="3"/>
  <c r="BL274" i="3"/>
  <c r="AZ274" i="3" s="1"/>
  <c r="BL275" i="3"/>
  <c r="G294" i="3"/>
  <c r="G299" i="3"/>
  <c r="BL143" i="3"/>
  <c r="AZ143" i="3" s="1"/>
  <c r="BA149" i="3"/>
  <c r="BA150" i="3"/>
  <c r="BL166" i="3"/>
  <c r="BA169" i="3"/>
  <c r="BA186" i="3"/>
  <c r="AZ186" i="3" s="1"/>
  <c r="BL27" i="3"/>
  <c r="AZ27" i="3" s="1"/>
  <c r="BA29" i="3"/>
  <c r="D24" i="71"/>
  <c r="C25" i="71"/>
  <c r="G401" i="3"/>
  <c r="G402" i="3"/>
  <c r="BL414" i="3"/>
  <c r="AZ414" i="3" s="1"/>
  <c r="G419" i="3"/>
  <c r="BA426" i="3"/>
  <c r="AZ426" i="3" s="1"/>
  <c r="BL428" i="3"/>
  <c r="AZ428" i="3" s="1"/>
  <c r="BA448" i="3"/>
  <c r="AZ448" i="3" s="1"/>
  <c r="BL451" i="3"/>
  <c r="AZ451" i="3" s="1"/>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AZ277" i="3" s="1"/>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2" i="3"/>
  <c r="BL480" i="3"/>
  <c r="BL223" i="3"/>
  <c r="AZ223" i="3" s="1"/>
  <c r="BL249" i="3"/>
  <c r="AZ249" i="3" s="1"/>
  <c r="BL250" i="3"/>
  <c r="AZ250" i="3" s="1"/>
  <c r="BA282" i="3"/>
  <c r="AZ282" i="3" s="1"/>
  <c r="BL291" i="3"/>
  <c r="AZ291" i="3" s="1"/>
  <c r="BL129" i="3"/>
  <c r="BA140" i="3"/>
  <c r="AZ140" i="3" s="1"/>
  <c r="BL158" i="3"/>
  <c r="BA165" i="3"/>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AZ54" i="3" s="1"/>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11" i="3"/>
  <c r="AZ421" i="3"/>
  <c r="AZ423" i="3"/>
  <c r="AZ430" i="3"/>
  <c r="AZ449" i="3"/>
  <c r="AZ453" i="3"/>
  <c r="AZ460" i="3"/>
  <c r="AZ492" i="3"/>
  <c r="AZ432" i="3"/>
  <c r="AZ464" i="3"/>
  <c r="AZ467" i="3"/>
  <c r="AZ480" i="3"/>
  <c r="AZ486" i="3"/>
  <c r="AZ488" i="3"/>
  <c r="AZ230" i="3"/>
  <c r="AZ255" i="3"/>
  <c r="AZ290" i="3"/>
  <c r="AZ293" i="3"/>
  <c r="AZ185" i="3"/>
  <c r="AZ49" i="3"/>
  <c r="AZ112" i="3"/>
  <c r="AZ22"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36" i="43" s="1"/>
  <c r="E36" i="43" s="1"/>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T9" i="43"/>
  <c r="V9" i="43" s="1"/>
  <c r="C37" i="43"/>
  <c r="E37" i="43" s="1"/>
  <c r="X10" i="71"/>
  <c r="AB10" i="71"/>
  <c r="T15" i="43"/>
  <c r="V15" i="43" s="1"/>
  <c r="Y3" i="71"/>
  <c r="Z3" i="71" s="1"/>
  <c r="F10" i="71"/>
  <c r="F9" i="71" s="1"/>
  <c r="F8" i="71" s="1"/>
  <c r="F7" i="71" s="1"/>
  <c r="F6" i="71" s="1"/>
  <c r="F5" i="71" s="1"/>
  <c r="AF3" i="71"/>
  <c r="P22" i="43" s="1"/>
  <c r="T10" i="43"/>
  <c r="V10" i="43" s="1"/>
  <c r="T16" i="43"/>
  <c r="V16" i="43" s="1"/>
  <c r="T13" i="43"/>
  <c r="V13" i="43" s="1"/>
  <c r="T8" i="43"/>
  <c r="V8" i="43" s="1"/>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F40" i="15"/>
  <c r="J15" i="15"/>
  <c r="J15" i="67"/>
  <c r="F9" i="67"/>
  <c r="C76" i="67"/>
  <c r="D4" i="73"/>
  <c r="F8" i="67"/>
  <c r="F43" i="67"/>
  <c r="M6" i="15"/>
  <c r="M24" i="67"/>
  <c r="F16" i="67"/>
  <c r="M8" i="67"/>
  <c r="F6" i="67"/>
  <c r="F42" i="67"/>
  <c r="M28" i="67"/>
  <c r="M29" i="67"/>
  <c r="M22" i="67"/>
  <c r="F8" i="15"/>
  <c r="F9" i="15"/>
  <c r="M9" i="67"/>
  <c r="F37" i="67"/>
  <c r="F37" i="15"/>
  <c r="M26" i="67"/>
  <c r="C76" i="15"/>
  <c r="M22" i="15"/>
  <c r="F40" i="67"/>
  <c r="L47" i="15"/>
  <c r="F26" i="15"/>
  <c r="F7" i="67"/>
  <c r="F43" i="15"/>
  <c r="F36" i="67"/>
  <c r="F26" i="67"/>
  <c r="L47" i="67"/>
  <c r="L48" i="67"/>
  <c r="F38" i="67"/>
  <c r="D5" i="73"/>
  <c r="D6" i="73"/>
  <c r="M23" i="67"/>
  <c r="S43" i="39" l="1"/>
  <c r="AZ512" i="3"/>
  <c r="AZ530" i="3"/>
  <c r="AZ538" i="3"/>
  <c r="AZ546" i="3"/>
  <c r="AZ514" i="3"/>
  <c r="J7" i="36"/>
  <c r="H7" i="36"/>
  <c r="H7" i="34"/>
  <c r="F7" i="34"/>
  <c r="AZ169" i="3"/>
  <c r="AZ241" i="3"/>
  <c r="AA31" i="40"/>
  <c r="S31" i="40"/>
  <c r="AA37" i="39"/>
  <c r="S37" i="39"/>
  <c r="AB38" i="37"/>
  <c r="U38" i="37"/>
  <c r="AC46" i="33"/>
  <c r="W46" i="33"/>
  <c r="U44" i="21"/>
  <c r="AB44" i="21"/>
  <c r="AC35" i="35"/>
  <c r="W35" i="35"/>
  <c r="AZ493" i="3"/>
  <c r="AZ502" i="3"/>
  <c r="AC37" i="39"/>
  <c r="W37" i="39"/>
  <c r="AC44" i="21"/>
  <c r="W44" i="21"/>
  <c r="S31" i="34"/>
  <c r="AA31" i="34"/>
  <c r="E84" i="82"/>
  <c r="AB31" i="21"/>
  <c r="U31" i="21"/>
  <c r="AC29" i="21"/>
  <c r="W29" i="21"/>
  <c r="AC31" i="39"/>
  <c r="W31" i="39"/>
  <c r="AC30" i="33"/>
  <c r="W30" i="33"/>
  <c r="W29" i="34"/>
  <c r="AC29" i="34"/>
  <c r="W45" i="34"/>
  <c r="AC45" i="34"/>
  <c r="AB25" i="35"/>
  <c r="U25" i="35"/>
  <c r="AB13" i="39"/>
  <c r="U13" i="39"/>
  <c r="W26" i="35"/>
  <c r="AC26" i="35"/>
  <c r="AB27" i="33"/>
  <c r="U27" i="33"/>
  <c r="AZ518" i="3"/>
  <c r="AZ522" i="3"/>
  <c r="AZ562" i="3"/>
  <c r="AZ570" i="3"/>
  <c r="AZ582" i="3"/>
  <c r="AC36" i="39"/>
  <c r="W36" i="39"/>
  <c r="AC38" i="40"/>
  <c r="W38" i="40"/>
  <c r="AA13" i="40"/>
  <c r="S13" i="40"/>
  <c r="W13" i="39"/>
  <c r="AC13" i="39"/>
  <c r="S13" i="36"/>
  <c r="AA13" i="36"/>
  <c r="AC47" i="34"/>
  <c r="W47" i="34"/>
  <c r="S45" i="34"/>
  <c r="AA45" i="34"/>
  <c r="AC44" i="33"/>
  <c r="W44" i="33"/>
  <c r="AC14" i="33"/>
  <c r="W14" i="33"/>
  <c r="AB28" i="21"/>
  <c r="U28" i="21"/>
  <c r="AC12" i="21"/>
  <c r="W12" i="21"/>
  <c r="AZ149" i="3"/>
  <c r="AZ462" i="3"/>
  <c r="AZ435" i="3"/>
  <c r="AZ96" i="3"/>
  <c r="AZ478" i="3"/>
  <c r="AZ442" i="3"/>
  <c r="AZ434" i="3"/>
  <c r="AZ417" i="3"/>
  <c r="AZ55" i="3"/>
  <c r="AZ459" i="3"/>
  <c r="AZ418" i="3"/>
  <c r="U29" i="21"/>
  <c r="AB29" i="21"/>
  <c r="AB12" i="21"/>
  <c r="U12" i="21"/>
  <c r="AA31" i="39"/>
  <c r="S31" i="39"/>
  <c r="U31" i="34"/>
  <c r="AB31" i="34"/>
  <c r="S13" i="35"/>
  <c r="AA13" i="35"/>
  <c r="AA35" i="35"/>
  <c r="S35" i="35"/>
  <c r="W13" i="40"/>
  <c r="AC13" i="40"/>
  <c r="U31" i="40"/>
  <c r="AB31" i="40"/>
  <c r="AB36" i="39"/>
  <c r="U36" i="39"/>
  <c r="AA40" i="40"/>
  <c r="S40" i="40"/>
  <c r="W33" i="40"/>
  <c r="AC33" i="40"/>
  <c r="S13" i="39"/>
  <c r="AA13" i="39"/>
  <c r="AB13" i="36"/>
  <c r="U13" i="36"/>
  <c r="U47" i="34"/>
  <c r="AB47" i="34"/>
  <c r="AB44" i="33"/>
  <c r="U44" i="33"/>
  <c r="U14" i="33"/>
  <c r="AB14" i="33"/>
  <c r="W28" i="21"/>
  <c r="AC28" i="21"/>
  <c r="S12" i="21"/>
  <c r="AA12" i="21"/>
  <c r="AC23" i="35"/>
  <c r="W23" i="35"/>
  <c r="C38" i="43"/>
  <c r="C33" i="43"/>
  <c r="C34" i="43"/>
  <c r="C39" i="43"/>
  <c r="P59" i="71"/>
  <c r="AZ44" i="3"/>
  <c r="AZ20" i="3"/>
  <c r="AZ165" i="3"/>
  <c r="AZ275" i="3"/>
  <c r="AZ271" i="3"/>
  <c r="AZ245" i="3"/>
  <c r="AZ212" i="3"/>
  <c r="AZ489" i="3"/>
  <c r="AZ266" i="3"/>
  <c r="AZ408" i="3"/>
  <c r="AZ238" i="3"/>
  <c r="AZ209" i="3"/>
  <c r="AZ173" i="3"/>
  <c r="AZ234" i="3"/>
  <c r="AZ232" i="3"/>
  <c r="AZ208" i="3"/>
  <c r="AZ461" i="3"/>
  <c r="AZ353" i="3"/>
  <c r="AZ297" i="3"/>
  <c r="AZ227" i="3"/>
  <c r="AA9" i="33"/>
  <c r="AZ76" i="3"/>
  <c r="U23" i="35"/>
  <c r="AB23" i="35"/>
  <c r="E29" i="6"/>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64"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290" i="3"/>
  <c r="E104" i="3"/>
  <c r="E49" i="3"/>
  <c r="E223" i="3"/>
  <c r="E443" i="3"/>
  <c r="E540" i="3"/>
  <c r="E341" i="3"/>
  <c r="N6" i="3"/>
  <c r="E550" i="3"/>
  <c r="E303" i="3"/>
  <c r="E167" i="3"/>
  <c r="E437" i="3"/>
  <c r="E344" i="3"/>
  <c r="E496" i="3"/>
  <c r="E203" i="3"/>
  <c r="E74" i="3"/>
  <c r="E137" i="3"/>
  <c r="E123" i="3"/>
  <c r="E524" i="3"/>
  <c r="E201" i="3"/>
  <c r="E148" i="3"/>
  <c r="E312" i="3"/>
  <c r="E487" i="3"/>
  <c r="E547" i="3"/>
  <c r="E71" i="3"/>
  <c r="E272" i="3"/>
  <c r="AM6" i="3"/>
  <c r="E103" i="3"/>
  <c r="E67" i="3"/>
  <c r="E283" i="3"/>
  <c r="E426" i="3"/>
  <c r="E293" i="3"/>
  <c r="E338" i="3"/>
  <c r="E510" i="3"/>
  <c r="E535" i="3"/>
  <c r="E263" i="3"/>
  <c r="E145" i="3"/>
  <c r="E427" i="3"/>
  <c r="E376" i="3"/>
  <c r="E401" i="3"/>
  <c r="E119" i="3"/>
  <c r="E333" i="3"/>
  <c r="E412" i="3"/>
  <c r="E342" i="3"/>
  <c r="E80" i="3"/>
  <c r="E503" i="3"/>
  <c r="E306" i="3"/>
  <c r="E238" i="3"/>
  <c r="E515" i="3"/>
  <c r="E477" i="3"/>
  <c r="E491" i="3"/>
  <c r="E152" i="3"/>
  <c r="E363" i="3"/>
  <c r="E462" i="3"/>
  <c r="E307" i="3"/>
  <c r="Y6" i="3"/>
  <c r="E388" i="3"/>
  <c r="E301" i="3"/>
  <c r="E199" i="3"/>
  <c r="E458" i="3"/>
  <c r="E562" i="3"/>
  <c r="E433" i="3"/>
  <c r="E150" i="3"/>
  <c r="E318" i="3"/>
  <c r="E455" i="3"/>
  <c r="E392" i="3"/>
  <c r="E62" i="3"/>
  <c r="E397" i="3"/>
  <c r="E269" i="3"/>
  <c r="E575" i="3"/>
  <c r="E541" i="3"/>
  <c r="E581" i="3"/>
  <c r="E88" i="3"/>
  <c r="E295" i="3"/>
  <c r="E30" i="3"/>
  <c r="E160" i="3"/>
  <c r="E33" i="3"/>
  <c r="E309" i="3"/>
  <c r="E508" i="3"/>
  <c r="E270" i="3"/>
  <c r="E380" i="3"/>
  <c r="E69" i="3"/>
  <c r="E518" i="3"/>
  <c r="E117" i="3"/>
  <c r="E534" i="3"/>
  <c r="E408" i="3"/>
  <c r="E494" i="3"/>
  <c r="E41" i="3"/>
  <c r="E243" i="3"/>
  <c r="E94" i="3"/>
  <c r="E220" i="3"/>
  <c r="E232" i="3"/>
  <c r="E83" i="3"/>
  <c r="E314" i="3"/>
  <c r="E181" i="3"/>
  <c r="E576" i="3"/>
  <c r="P6" i="3"/>
  <c r="E582" i="3"/>
  <c r="E90" i="3"/>
  <c r="E378" i="3"/>
  <c r="E521" i="3"/>
  <c r="E386" i="3"/>
  <c r="E51" i="3"/>
  <c r="E526" i="3"/>
  <c r="E461" i="3"/>
  <c r="M6" i="3"/>
  <c r="E114" i="3"/>
  <c r="AN6" i="3"/>
  <c r="E141" i="3"/>
  <c r="E472" i="3"/>
  <c r="E587" i="3"/>
  <c r="E454" i="3"/>
  <c r="E171" i="3"/>
  <c r="E32" i="3"/>
  <c r="E234" i="3"/>
  <c r="E289" i="3"/>
  <c r="E237" i="3"/>
  <c r="E568" i="3"/>
  <c r="E122" i="3"/>
  <c r="AD6" i="3"/>
  <c r="E398" i="3"/>
  <c r="AS6" i="3"/>
  <c r="E27" i="3"/>
  <c r="E210" i="3"/>
  <c r="E44" i="3"/>
  <c r="E142" i="3"/>
  <c r="E144" i="3"/>
  <c r="E513" i="3"/>
  <c r="E328" i="3"/>
  <c r="E390" i="3"/>
  <c r="E321" i="3"/>
  <c r="E574" i="3"/>
  <c r="E191" i="3"/>
  <c r="E107" i="3"/>
  <c r="E486" i="3"/>
  <c r="AH6" i="3"/>
  <c r="E108" i="3"/>
  <c r="E276" i="3"/>
  <c r="E43" i="3"/>
  <c r="E158" i="3"/>
  <c r="E516" i="3"/>
  <c r="E262" i="3"/>
  <c r="E116" i="3"/>
  <c r="E367" i="3"/>
  <c r="E417" i="3"/>
  <c r="E132" i="3"/>
  <c r="E349" i="3"/>
  <c r="E163" i="3"/>
  <c r="E127" i="3"/>
  <c r="E82" i="3"/>
  <c r="E329" i="3"/>
  <c r="E358" i="3"/>
  <c r="E294" i="3"/>
  <c r="E410" i="3"/>
  <c r="E134" i="3"/>
  <c r="E31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8"/>
  <c r="F27" i="69"/>
  <c r="G1" i="73"/>
  <c r="C16" i="67"/>
  <c r="E131" i="3" l="1"/>
  <c r="AG6" i="3"/>
  <c r="E229" i="3"/>
  <c r="E42" i="3"/>
  <c r="E512" i="3"/>
  <c r="E387" i="3"/>
  <c r="E326" i="3"/>
  <c r="E190" i="3"/>
  <c r="E281" i="3"/>
  <c r="E13" i="3"/>
  <c r="E525" i="3"/>
  <c r="E97" i="3"/>
  <c r="E350" i="3"/>
  <c r="E286" i="3"/>
  <c r="AR6" i="3"/>
  <c r="E445" i="3"/>
  <c r="E382" i="3"/>
  <c r="E204" i="3"/>
  <c r="E405" i="3"/>
  <c r="E360" i="3"/>
  <c r="E470" i="3"/>
  <c r="E198" i="3"/>
  <c r="E391" i="3"/>
  <c r="E482" i="3"/>
  <c r="E383" i="3"/>
  <c r="E102" i="3"/>
  <c r="E361" i="3"/>
  <c r="E434" i="3"/>
  <c r="E327" i="3"/>
  <c r="E485" i="3"/>
  <c r="E460" i="3"/>
  <c r="E348" i="3"/>
  <c r="E266" i="3"/>
  <c r="E570" i="3"/>
  <c r="E128" i="3"/>
  <c r="E353" i="3"/>
  <c r="E221" i="3"/>
  <c r="K6" i="3"/>
  <c r="E406" i="3"/>
  <c r="E577" i="3"/>
  <c r="E106" i="3"/>
  <c r="E394" i="3"/>
  <c r="E15" i="3"/>
  <c r="E325" i="3"/>
  <c r="E20" i="3"/>
  <c r="E17" i="3"/>
  <c r="E453" i="3"/>
  <c r="E277" i="3"/>
  <c r="E552" i="3"/>
  <c r="E459" i="3"/>
  <c r="E476" i="3"/>
  <c r="E162" i="3"/>
  <c r="E331" i="3"/>
  <c r="E441" i="3"/>
  <c r="E300" i="3"/>
  <c r="E381" i="3"/>
  <c r="E319" i="3"/>
  <c r="X6" i="3"/>
  <c r="E523" i="3"/>
  <c r="E169" i="3"/>
  <c r="E130" i="3"/>
  <c r="E385" i="3"/>
  <c r="E161" i="3"/>
  <c r="E493" i="3"/>
  <c r="E422" i="3"/>
  <c r="E498" i="3"/>
  <c r="E25" i="3"/>
  <c r="E226" i="3"/>
  <c r="E60" i="3"/>
  <c r="E174" i="3"/>
  <c r="E206" i="3"/>
  <c r="E22" i="3"/>
  <c r="E151" i="3"/>
  <c r="E228" i="3"/>
  <c r="E379" i="3"/>
  <c r="E548" i="3"/>
  <c r="E554" i="3"/>
  <c r="E56" i="3"/>
  <c r="E258" i="3"/>
  <c r="E544" i="3"/>
  <c r="E138" i="3"/>
  <c r="E48" i="3"/>
  <c r="E323" i="3"/>
  <c r="E495" i="3"/>
  <c r="E180" i="3"/>
  <c r="E532" i="3"/>
  <c r="E438" i="3"/>
  <c r="E537" i="3"/>
  <c r="E54" i="3"/>
  <c r="E257" i="3"/>
  <c r="E93" i="3"/>
  <c r="E194" i="3"/>
  <c r="E147" i="3"/>
  <c r="E302" i="3"/>
  <c r="E368" i="3"/>
  <c r="E224" i="3"/>
  <c r="E502" i="3"/>
  <c r="E255" i="3"/>
  <c r="E489" i="3"/>
  <c r="E182" i="3"/>
  <c r="E377" i="3"/>
  <c r="E484" i="3"/>
  <c r="E371" i="3"/>
  <c r="E68" i="3"/>
  <c r="E530" i="3"/>
  <c r="E399" i="3"/>
  <c r="E561" i="3"/>
  <c r="E185" i="3"/>
  <c r="O6" i="3"/>
  <c r="E245" i="3"/>
  <c r="E164" i="3"/>
  <c r="E456" i="3"/>
  <c r="E556" i="3"/>
  <c r="E420" i="3"/>
  <c r="E139" i="3"/>
  <c r="E356" i="3"/>
  <c r="E18" i="3"/>
  <c r="E522" i="3"/>
  <c r="E113" i="3"/>
  <c r="E239" i="3"/>
  <c r="E296" i="3"/>
  <c r="E197" i="3"/>
  <c r="AO6" i="3"/>
  <c r="E345" i="3"/>
  <c r="E520" i="3"/>
  <c r="E187" i="3"/>
  <c r="E58" i="3"/>
  <c r="E195" i="3"/>
  <c r="E87" i="3"/>
  <c r="E373" i="3"/>
  <c r="AJ6" i="3"/>
  <c r="E311" i="3"/>
  <c r="E335" i="3"/>
  <c r="E555" i="3"/>
  <c r="E149" i="3"/>
  <c r="Q6" i="3"/>
  <c r="E424" i="3"/>
  <c r="E429" i="3"/>
  <c r="E73" i="3"/>
  <c r="E362" i="3"/>
  <c r="E79" i="3"/>
  <c r="AQ6" i="3"/>
  <c r="E176" i="3"/>
  <c r="E509" i="3"/>
  <c r="E244" i="3"/>
  <c r="E177" i="3"/>
  <c r="E421" i="3"/>
  <c r="E374" i="3"/>
  <c r="E546" i="3"/>
  <c r="E126" i="3"/>
  <c r="E317" i="3"/>
  <c r="E425" i="3"/>
  <c r="E310" i="3"/>
  <c r="E63" i="3"/>
  <c r="E501" i="3"/>
  <c r="E336" i="3"/>
  <c r="E506" i="3"/>
  <c r="E278" i="3"/>
  <c r="AI6" i="3"/>
  <c r="E207" i="3"/>
  <c r="E564" i="3"/>
  <c r="E440" i="3"/>
  <c r="E463" i="3"/>
  <c r="E202" i="3"/>
  <c r="E372" i="3"/>
  <c r="E251" i="3"/>
  <c r="E261" i="3"/>
  <c r="E511" i="3"/>
  <c r="E157" i="3"/>
  <c r="E411" i="3"/>
  <c r="E517" i="3"/>
  <c r="E37" i="3"/>
  <c r="E241" i="3"/>
  <c r="E446" i="3"/>
  <c r="E354" i="3"/>
  <c r="E19" i="3"/>
  <c r="E553" i="3"/>
  <c r="E352" i="3"/>
  <c r="V6" i="3"/>
  <c r="E415" i="3"/>
  <c r="E586" i="3"/>
  <c r="E77" i="3"/>
  <c r="E573" i="3"/>
  <c r="E216" i="3"/>
  <c r="AA6" i="3"/>
  <c r="H6" i="3" s="1"/>
  <c r="E316" i="3"/>
  <c r="E339" i="3"/>
  <c r="E551" i="3"/>
  <c r="E217" i="3"/>
  <c r="E439" i="3"/>
  <c r="E124" i="3"/>
  <c r="E305" i="3"/>
  <c r="E249" i="3"/>
  <c r="E444" i="3"/>
  <c r="E213" i="3"/>
  <c r="E275" i="3"/>
  <c r="B4" i="83"/>
  <c r="K25" i="6"/>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C34" i="69"/>
  <c r="F41" i="15"/>
  <c r="C17" i="67"/>
  <c r="D10" i="68"/>
  <c r="C14" i="67"/>
  <c r="D10" i="69"/>
  <c r="AE6" i="1"/>
  <c r="D36" i="82" l="1"/>
  <c r="F36" i="83"/>
  <c r="C36" i="82"/>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C14" i="15"/>
  <c r="M27" i="67"/>
  <c r="E6" i="76"/>
  <c r="M27" i="15"/>
  <c r="B6" i="76"/>
  <c r="C34" i="68"/>
  <c r="F41" i="67"/>
  <c r="E36" i="82" l="1"/>
  <c r="C14" i="12"/>
  <c r="C16" i="12" s="1"/>
  <c r="C20" i="1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D21" i="6"/>
  <c r="C18" i="4"/>
  <c r="D36" i="68" s="1"/>
  <c r="C36" i="68" s="1"/>
  <c r="C16" i="15" s="1"/>
  <c r="D24" i="6"/>
  <c r="D8" i="6"/>
  <c r="H68" i="39"/>
  <c r="G70" i="39"/>
  <c r="C23" i="68"/>
  <c r="C26" i="68"/>
  <c r="D22" i="68" s="1"/>
  <c r="C44" i="11"/>
  <c r="D41" i="11" s="1"/>
  <c r="C25" i="11"/>
  <c r="C24" i="11"/>
  <c r="C26" i="11"/>
  <c r="D22" i="11" s="1"/>
  <c r="C19" i="67"/>
  <c r="C20" i="67" s="1"/>
  <c r="C38" i="68"/>
  <c r="C35" i="68"/>
  <c r="C15" i="15"/>
  <c r="C18" i="15"/>
  <c r="C19" i="68"/>
  <c r="C37" i="68"/>
  <c r="C17" i="15" s="1"/>
  <c r="C19" i="69"/>
  <c r="D37" i="69"/>
  <c r="C37" i="69" s="1"/>
  <c r="C33" i="69" s="1"/>
  <c r="L18" i="9"/>
  <c r="I27" i="6"/>
  <c r="S19" i="6"/>
  <c r="S27" i="6" s="1"/>
  <c r="H19" i="6"/>
  <c r="C14" i="71"/>
  <c r="D15" i="71"/>
  <c r="T16" i="1"/>
  <c r="B5" i="71"/>
  <c r="S6" i="71"/>
  <c r="C18" i="12"/>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69"/>
  <c r="J59" i="67"/>
  <c r="J60" i="67" s="1"/>
  <c r="B5" i="82" l="1"/>
  <c r="B5" i="83"/>
  <c r="C21" i="12"/>
  <c r="C22" i="12" s="1"/>
  <c r="C27" i="12" s="1"/>
  <c r="C25" i="12" s="1"/>
  <c r="R21" i="6"/>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J48" i="35"/>
  <c r="Q48" i="15"/>
  <c r="Q48" i="67"/>
  <c r="F7" i="21" l="1"/>
  <c r="C41" i="1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D13" i="82" s="1"/>
  <c r="D13" i="83" s="1"/>
  <c r="U7" i="21"/>
  <c r="AB7" i="21"/>
  <c r="T48" i="21" s="1"/>
  <c r="G48" i="21" s="1"/>
  <c r="S7" i="21"/>
  <c r="AA7" i="21"/>
  <c r="R48" i="21" s="1"/>
  <c r="J63" i="40"/>
  <c r="I65" i="40"/>
  <c r="K48" i="35"/>
  <c r="L48" i="35" s="1"/>
  <c r="M48" i="35" s="1"/>
  <c r="N48" i="35" s="1"/>
  <c r="O48" i="35" s="1"/>
  <c r="H7" i="35" s="1"/>
  <c r="M21" i="67"/>
  <c r="M21" i="15"/>
  <c r="F35" i="15"/>
  <c r="F35" i="67"/>
  <c r="J7" i="35" l="1"/>
  <c r="C33" i="15"/>
  <c r="D83" i="82"/>
  <c r="D14" i="83"/>
  <c r="D14" i="82"/>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F63" i="15"/>
  <c r="C62" i="15" s="1"/>
  <c r="J20" i="15"/>
  <c r="C34" i="67"/>
  <c r="F63" i="67"/>
  <c r="C62" i="67" s="1"/>
  <c r="J20" i="67"/>
  <c r="J14" i="15"/>
  <c r="C36" i="15"/>
  <c r="F62" i="82" s="1"/>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31" i="15" l="1"/>
  <c r="F65" i="82"/>
  <c r="F64" i="82"/>
  <c r="D12" i="83"/>
  <c r="D11" i="83" s="1"/>
  <c r="C52" i="68"/>
  <c r="B2" i="68" s="1"/>
  <c r="F35" i="9"/>
  <c r="C31" i="67"/>
  <c r="C30" i="67" s="1"/>
  <c r="C39" i="67" s="1"/>
  <c r="L68" i="39"/>
  <c r="K70" i="39"/>
  <c r="J17" i="67"/>
  <c r="J22" i="67"/>
  <c r="C64" i="67"/>
  <c r="C59" i="67"/>
  <c r="C10" i="71"/>
  <c r="D11" i="71"/>
  <c r="C61" i="15"/>
  <c r="C59" i="15" s="1"/>
  <c r="C64" i="15"/>
  <c r="C75" i="15"/>
  <c r="C56" i="15"/>
  <c r="C65" i="15" s="1"/>
  <c r="C37" i="15"/>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L51" i="67"/>
  <c r="C19" i="9"/>
  <c r="B3" i="68"/>
  <c r="D12" i="82" l="1"/>
  <c r="D86" i="82" s="1"/>
  <c r="D87" i="82"/>
  <c r="C30" i="15"/>
  <c r="F63" i="82"/>
  <c r="B46" i="83"/>
  <c r="E11" i="83"/>
  <c r="E7" i="83" s="1"/>
  <c r="C27" i="83" s="1"/>
  <c r="D7" i="83"/>
  <c r="C26" i="83" s="1"/>
  <c r="B46" i="82"/>
  <c r="C57" i="68"/>
  <c r="C56" i="68" s="1"/>
  <c r="C102" i="9"/>
  <c r="C21" i="9"/>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9" i="71"/>
  <c r="T10" i="71"/>
  <c r="D10" i="71"/>
  <c r="U10" i="71" s="1"/>
  <c r="R39" i="35"/>
  <c r="E38" i="35"/>
  <c r="M63" i="40"/>
  <c r="L65" i="40"/>
  <c r="C20" i="9"/>
  <c r="C39" i="15" l="1"/>
  <c r="Q69" i="15" s="1"/>
  <c r="Q68" i="15" s="1"/>
  <c r="D11" i="82"/>
  <c r="D7" i="82" s="1"/>
  <c r="C26" i="82" s="1"/>
  <c r="C40" i="15"/>
  <c r="C47" i="82" s="1"/>
  <c r="C80" i="15"/>
  <c r="C79" i="15" s="1"/>
  <c r="D85" i="82"/>
  <c r="E85" i="82" s="1"/>
  <c r="E11" i="82"/>
  <c r="E7" i="82" s="1"/>
  <c r="C27" i="82" s="1"/>
  <c r="F60" i="82"/>
  <c r="F67" i="82" s="1"/>
  <c r="F69" i="82" s="1"/>
  <c r="D84" i="82"/>
  <c r="Q47" i="67"/>
  <c r="Q53" i="67" s="1"/>
  <c r="C43" i="67"/>
  <c r="Q65" i="67"/>
  <c r="Q75" i="67" s="1"/>
  <c r="C45" i="67"/>
  <c r="C46" i="67" s="1"/>
  <c r="N68" i="39"/>
  <c r="M70" i="39"/>
  <c r="D2" i="67"/>
  <c r="B2" i="67" s="1"/>
  <c r="Q56" i="67"/>
  <c r="Q62" i="67" s="1"/>
  <c r="C103" i="9"/>
  <c r="C8" i="71"/>
  <c r="D9" i="71"/>
  <c r="C39" i="35"/>
  <c r="B2" i="35" s="1"/>
  <c r="B3" i="35" s="1"/>
  <c r="C38" i="35"/>
  <c r="N63" i="40"/>
  <c r="M65" i="40"/>
  <c r="E43" i="35"/>
  <c r="F43" i="35" s="1"/>
  <c r="E42" i="35"/>
  <c r="F42" i="35" s="1"/>
  <c r="I43" i="35"/>
  <c r="J43" i="35" s="1"/>
  <c r="L51" i="15"/>
  <c r="AO6" i="1"/>
  <c r="Q56" i="15" l="1"/>
  <c r="Q62" i="15" s="1"/>
  <c r="Q67" i="15"/>
  <c r="Q47" i="15"/>
  <c r="Q53" i="15" s="1"/>
  <c r="C46" i="15"/>
  <c r="C83" i="15"/>
  <c r="C82" i="15" s="1"/>
  <c r="B2" i="15"/>
  <c r="Q65" i="15"/>
  <c r="Q75" i="15" s="1"/>
  <c r="C43" i="15"/>
  <c r="D81" i="82"/>
  <c r="D89" i="82" s="1"/>
  <c r="N70" i="39"/>
  <c r="O68" i="39"/>
  <c r="O70" i="39" s="1"/>
  <c r="B3" i="67"/>
  <c r="B6" i="70"/>
  <c r="B2" i="70" s="1"/>
  <c r="B3" i="70" s="1"/>
  <c r="C7" i="71"/>
  <c r="D8" i="71"/>
  <c r="B3" i="15"/>
  <c r="O63" i="40"/>
  <c r="O65" i="40" s="1"/>
  <c r="N65" i="40"/>
  <c r="D35" i="9"/>
  <c r="D90" i="82" l="1"/>
  <c r="D91" i="82" s="1"/>
  <c r="F7" i="39"/>
  <c r="H7" i="39"/>
  <c r="U7" i="39" s="1"/>
  <c r="J7" i="39"/>
  <c r="AC7" i="39" s="1"/>
  <c r="V47" i="39" s="1"/>
  <c r="I47" i="39" s="1"/>
  <c r="S7" i="39"/>
  <c r="AA7" i="39"/>
  <c r="R47" i="39" s="1"/>
  <c r="AB7" i="39"/>
  <c r="T47" i="39" s="1"/>
  <c r="G47" i="39" s="1"/>
  <c r="W7" i="39"/>
  <c r="C6" i="71"/>
  <c r="D7" i="71"/>
  <c r="J7" i="40"/>
  <c r="F7" i="40"/>
  <c r="H7" i="40"/>
  <c r="D48" i="82" l="1"/>
  <c r="D93" i="82"/>
  <c r="C32" i="83"/>
  <c r="C38" i="83" s="1"/>
  <c r="C39" i="83" s="1"/>
  <c r="C40" i="83" s="1"/>
  <c r="C41" i="83" s="1"/>
  <c r="C32" i="82"/>
  <c r="R48" i="39"/>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B2" i="83" l="1"/>
  <c r="B3" i="83" s="1"/>
  <c r="C38" i="82"/>
  <c r="D32" i="82"/>
  <c r="E52" i="39"/>
  <c r="F52" i="39" s="1"/>
  <c r="E51" i="39"/>
  <c r="F51" i="39" s="1"/>
  <c r="C47" i="39"/>
  <c r="C48" i="39"/>
  <c r="D5" i="71"/>
  <c r="M20" i="43"/>
  <c r="I46" i="40"/>
  <c r="J46" i="40" s="1"/>
  <c r="R43" i="40"/>
  <c r="E42" i="40"/>
  <c r="G47" i="40"/>
  <c r="H47" i="40" s="1"/>
  <c r="G46" i="40"/>
  <c r="H46" i="40" s="1"/>
  <c r="D38" i="82" l="1"/>
  <c r="E32" i="82"/>
  <c r="E38" i="82" s="1"/>
  <c r="E39" i="82" s="1"/>
  <c r="E40" i="82" s="1"/>
  <c r="C46" i="82"/>
  <c r="C48" i="82" s="1"/>
  <c r="C49" i="82" s="1"/>
  <c r="C39" i="82"/>
  <c r="B64" i="39"/>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D39" i="82" l="1"/>
  <c r="D40" i="82" s="1"/>
  <c r="D46" i="8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40" i="82" l="1"/>
  <c r="C41" i="82" s="1"/>
  <c r="H107" i="9"/>
  <c r="D122" i="9" s="1"/>
  <c r="B2" i="82" l="1"/>
  <c r="B3" i="82" s="1"/>
  <c r="D19" i="9"/>
  <c r="D102" i="9" s="1"/>
  <c r="G14" i="74"/>
  <c r="B6" i="74" s="1"/>
  <c r="D8" i="52"/>
  <c r="D123" i="9"/>
  <c r="D9" i="52" s="1"/>
  <c r="D13" i="53"/>
  <c r="H108" i="9"/>
  <c r="D15" i="53" s="1"/>
  <c r="B31" i="72" s="1"/>
  <c r="D21" i="9" l="1"/>
  <c r="D20" i="9"/>
  <c r="G20" i="9" s="1"/>
  <c r="C32" i="9" s="1"/>
  <c r="C35" i="9" s="1"/>
  <c r="G118" i="9" s="1"/>
  <c r="F118" i="9" s="1"/>
  <c r="F119" i="9" s="1"/>
  <c r="F5" i="52" s="1"/>
  <c r="B53" i="72" s="1"/>
  <c r="D22" i="9"/>
  <c r="G19" i="9"/>
  <c r="G21" i="9" s="1"/>
  <c r="D14" i="53"/>
  <c r="B32" i="72" s="1"/>
  <c r="B30" i="72"/>
  <c r="C6" i="74"/>
  <c r="D6" i="74"/>
  <c r="I118" i="9" l="1"/>
  <c r="H118" i="9" s="1"/>
  <c r="H119" i="9" s="1"/>
  <c r="H5" i="52" s="1"/>
  <c r="D103" i="9"/>
  <c r="G4" i="52"/>
  <c r="B52" i="72" s="1"/>
  <c r="F4" i="52"/>
  <c r="B51" i="72" s="1"/>
  <c r="C104" i="9" l="1"/>
  <c r="H4" i="52"/>
  <c r="H101" i="9"/>
  <c r="D45" i="9" s="1"/>
  <c r="H102" i="9"/>
  <c r="D7" i="53" s="1"/>
  <c r="B21" i="72" s="1"/>
  <c r="I4" i="52"/>
  <c r="D14" i="74"/>
  <c r="F14" i="74" s="1"/>
  <c r="C105" i="9"/>
  <c r="B5" i="74"/>
  <c r="H109" i="9"/>
  <c r="E14" i="74" l="1"/>
  <c r="D5" i="53"/>
  <c r="B20" i="72" s="1"/>
  <c r="M48" i="9"/>
  <c r="D6" i="53"/>
  <c r="B22" i="72" s="1"/>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<sst xmlns="http://schemas.openxmlformats.org/spreadsheetml/2006/main" count="8571" uniqueCount="3619">
  <si>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</si>
  <si>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</si>
  <si>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</si>
  <si>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</si>
  <si>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</si>
  <si>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</si>
  <si>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</si>
  <si>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</si>
  <si>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</si>
  <si>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</si>
  <si>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</si>
  <si>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</si>
  <si>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</si>
  <si>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</si>
  <si>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</si>
  <si>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</si>
  <si>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</si>
  <si>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</si>
  <si>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</si>
  <si>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</si>
  <si>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</si>
  <si>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</si>
  <si>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</si>
  <si>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</si>
  <si>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</si>
  <si>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</si>
  <si>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</si>
  <si>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</si>
  <si>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</si>
  <si>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</si>
  <si>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</si>
  <si>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</si>
  <si>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</si>
  <si>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</si>
  <si>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</si>
  <si>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</si>
  <si>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</si>
  <si>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</si>
  <si>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</si>
  <si>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</si>
  <si>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</si>
  <si>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</si>
  <si>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</si>
  <si>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</si>
  <si>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</si>
  <si>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</si>
  <si>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</si>
  <si>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</si>
  <si>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</si>
  <si>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</si>
  <si>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</si>
  <si>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</si>
  <si>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</si>
  <si>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</si>
  <si>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</si>
  <si>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</si>
  <si>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</si>
  <si>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</si>
  <si>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</si>
  <si>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</si>
  <si>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</si>
  <si>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</si>
  <si>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</si>
  <si>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</si>
  <si>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</si>
  <si>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</si>
  <si>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</si>
  <si>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</si>
  <si>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</si>
  <si>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</si>
  <si>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</si>
  <si>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</si>
  <si>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</si>
  <si>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</si>
  <si>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</si>
  <si>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</si>
  <si>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</si>
  <si>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</si>
  <si>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</si>
  <si>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</si>
  <si>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</si>
  <si>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</si>
  <si>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</si>
  <si>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</si>
  <si>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</si>
  <si>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</si>
  <si>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</si>
  <si>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</si>
  <si>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</si>
  <si>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</si>
  <si>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</si>
  <si>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</si>
  <si>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</si>
  <si>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</si>
  <si>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</si>
  <si>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</si>
  <si>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</si>
  <si>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</si>
  <si>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</si>
  <si>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</si>
  <si>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</si>
  <si>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</si>
  <si>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</si>
  <si>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</si>
  <si>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</si>
  <si>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</si>
  <si>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</si>
  <si>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</si>
  <si>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</si>
  <si>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</si>
  <si>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</si>
  <si>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</si>
  <si>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</si>
  <si>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</si>
  <si>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</si>
  <si>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</si>
  <si>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</si>
  <si>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</si>
  <si>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</si>
  <si>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</si>
  <si>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</si>
  <si>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</si>
  <si>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</si>
  <si>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</si>
  <si>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</si>
  <si>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</si>
  <si>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</si>
  <si>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</si>
  <si>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</si>
  <si>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</si>
  <si>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</si>
  <si>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</si>
  <si>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</si>
  <si>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</si>
  <si>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</si>
  <si>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</si>
  <si>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</si>
  <si>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</si>
  <si>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</si>
  <si>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</si>
  <si>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</si>
  <si>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</si>
  <si>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</si>
  <si>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</si>
  <si>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</si>
  <si>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</si>
  <si>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</si>
  <si>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</si>
  <si>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</si>
  <si>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</si>
  <si>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</si>
  <si>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</si>
  <si>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</si>
  <si>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</si>
  <si>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</si>
  <si>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</si>
  <si>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</si>
  <si>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</si>
  <si>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</si>
  <si>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</si>
  <si>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</si>
  <si>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</si>
  <si>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</si>
  <si>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</si>
  <si>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</si>
  <si>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</si>
  <si>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</si>
  <si>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</si>
  <si>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</si>
  <si>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</si>
  <si>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</si>
  <si>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</si>
  <si>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</si>
  <si>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</si>
  <si>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</si>
  <si>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</si>
  <si>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</si>
  <si>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</si>
  <si>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</si>
  <si>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</si>
  <si>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</si>
  <si>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</si>
  <si>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</si>
  <si>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</si>
  <si>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</si>
  <si>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</si>
  <si>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</si>
  <si>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</si>
  <si>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</si>
  <si>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</si>
  <si>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</si>
  <si>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</si>
  <si>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</si>
  <si>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</si>
  <si>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</si>
  <si>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</si>
  <si>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</si>
  <si>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</si>
  <si>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</si>
  <si>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</si>
  <si>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</si>
  <si>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</si>
  <si>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</si>
  <si>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</si>
  <si>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</si>
  <si>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</si>
  <si>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</si>
  <si>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</si>
  <si>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</si>
  <si>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</si>
  <si>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</si>
  <si>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</si>
  <si>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</si>
  <si>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</si>
  <si>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</si>
  <si>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</si>
  <si>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</si>
  <si>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</si>
  <si>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</si>
  <si>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</si>
  <si>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</si>
  <si>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</si>
  <si>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</si>
  <si>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</si>
  <si>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</si>
  <si>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</si>
  <si>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</si>
  <si>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</si>
  <si>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</si>
  <si>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</si>
  <si>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</si>
  <si>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</si>
  <si>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</si>
  <si>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</si>
  <si>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</si>
  <si>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</si>
  <si>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</si>
  <si>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</si>
  <si>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</si>
  <si>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</si>
  <si>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</si>
  <si>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</si>
  <si>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</si>
  <si>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</si>
  <si>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</si>
  <si>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</si>
  <si>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</si>
  <si>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</si>
  <si>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</si>
  <si>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</si>
  <si>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</si>
  <si>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</si>
  <si>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</si>
  <si>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</si>
  <si>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</si>
  <si>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</si>
  <si>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</si>
  <si>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</si>
  <si>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</si>
  <si>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</si>
  <si>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</si>
  <si>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</si>
  <si>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</si>
  <si>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</si>
  <si>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</si>
  <si>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</si>
  <si>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</si>
  <si>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</si>
  <si>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</si>
  <si>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</si>
  <si>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</si>
  <si>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</si>
  <si>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</si>
  <si>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</si>
  <si>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</si>
  <si>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</si>
  <si>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</si>
  <si>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</si>
  <si>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</si>
  <si>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</si>
  <si>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</si>
  <si>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</si>
  <si>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</si>
  <si>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</si>
  <si>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</si>
  <si>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</si>
  <si>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</si>
  <si>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</si>
  <si>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</si>
  <si>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</si>
  <si>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</si>
  <si>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</si>
  <si>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</si>
  <si>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</si>
  <si>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</si>
  <si>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</si>
  <si>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</si>
  <si>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</si>
  <si>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</si>
  <si>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</si>
  <si>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</si>
  <si>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</si>
  <si>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</si>
  <si>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</si>
  <si>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</si>
  <si>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</si>
  <si>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</si>
  <si>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</si>
  <si>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</si>
  <si>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</si>
  <si>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</si>
  <si>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</si>
  <si>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</si>
  <si>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</si>
  <si>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</si>
  <si>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</si>
  <si>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</si>
  <si>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</si>
  <si>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</si>
  <si>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</si>
  <si>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</si>
  <si>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</si>
  <si>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</si>
  <si>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</si>
  <si>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</si>
  <si>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</si>
  <si>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</si>
  <si>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</si>
  <si>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</si>
  <si>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</si>
  <si>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</si>
  <si>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</si>
  <si>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</si>
  <si>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</si>
  <si>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</si>
  <si>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</si>
  <si>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</si>
  <si>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</si>
  <si>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</si>
  <si>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</si>
  <si>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</si>
  <si>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</si>
  <si>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</si>
  <si>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</si>
  <si>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</si>
  <si>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</si>
  <si>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</si>
  <si>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</si>
  <si>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</si>
  <si>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</si>
  <si>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</si>
  <si>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</si>
  <si>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</si>
  <si>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</si>
  <si>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</si>
  <si>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</si>
  <si>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</si>
  <si>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</si>
  <si>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</si>
  <si>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</si>
  <si>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</si>
  <si>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</si>
  <si>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</si>
  <si>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</si>
  <si>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</si>
  <si>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</si>
  <si>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</si>
  <si>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</si>
  <si>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</si>
  <si>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</si>
  <si>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</si>
  <si>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</si>
  <si>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</si>
  <si>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</si>
  <si>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</si>
  <si>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</si>
  <si>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</si>
  <si>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</si>
  <si>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</si>
  <si>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</si>
  <si>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</si>
  <si>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</si>
  <si>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</si>
  <si>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</si>
  <si>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</si>
  <si>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</si>
  <si>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</si>
  <si>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</si>
  <si>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</si>
  <si>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</si>
  <si>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</si>
  <si>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</si>
  <si>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</si>
  <si>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</si>
  <si>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</si>
  <si>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</si>
  <si>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</si>
  <si>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</si>
  <si>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</si>
  <si>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</si>
  <si>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</si>
  <si>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</si>
  <si>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</si>
  <si>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</si>
  <si>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</si>
  <si>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</si>
  <si>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</si>
  <si>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</si>
  <si>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</si>
  <si>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</si>
  <si>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</si>
  <si>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</si>
  <si>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</si>
  <si>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</si>
  <si>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</si>
  <si>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</si>
  <si>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</si>
  <si>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</si>
  <si>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</si>
  <si>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</si>
  <si>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</si>
  <si>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</si>
  <si>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</si>
  <si>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</si>
  <si>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</si>
  <si>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</si>
  <si>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</si>
  <si>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</si>
  <si>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</si>
  <si>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</si>
  <si>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</si>
  <si>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</si>
  <si>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</si>
  <si>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</si>
  <si>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</si>
  <si>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</si>
  <si>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</si>
  <si>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</si>
  <si>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</si>
  <si>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</si>
  <si>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</si>
  <si>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</si>
  <si>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</si>
  <si>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</si>
  <si>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</si>
  <si>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</si>
  <si>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</si>
  <si>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</si>
  <si>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</si>
  <si>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</si>
  <si>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</si>
  <si>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</si>
  <si>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</si>
  <si>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</si>
  <si>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</si>
  <si>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</si>
  <si>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</si>
  <si>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</si>
  <si>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</si>
  <si>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</si>
  <si>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</si>
  <si>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</si>
  <si>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</si>
  <si>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</si>
  <si>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</si>
  <si>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</si>
  <si>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</si>
  <si>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</si>
  <si>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</si>
  <si>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</si>
  <si>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</si>
  <si>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</si>
  <si>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</si>
  <si>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</si>
  <si>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</si>
  <si>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</si>
  <si>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</si>
  <si>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</si>
  <si>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</si>
  <si>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</si>
  <si>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</si>
  <si>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</si>
  <si>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</si>
  <si>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</si>
  <si>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</si>
  <si>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</si>
  <si>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</si>
  <si>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</si>
  <si>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</si>
  <si>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</si>
  <si>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</si>
  <si>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</si>
  <si>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</si>
  <si>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</si>
  <si>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</si>
  <si>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</si>
  <si>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</si>
  <si>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</si>
  <si>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</si>
  <si>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</si>
  <si>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</si>
  <si>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</si>
  <si>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</si>
  <si>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</si>
  <si>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</si>
  <si>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</si>
  <si>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</si>
  <si>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</si>
  <si>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</si>
  <si>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</si>
  <si>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</si>
  <si>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</si>
  <si>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</si>
  <si>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</si>
  <si>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</si>
  <si>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</si>
  <si>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</si>
  <si>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</si>
  <si>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</si>
  <si>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</si>
  <si>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</si>
  <si>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</si>
  <si>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</si>
  <si>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</si>
  <si>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</si>
  <si>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</si>
  <si>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</si>
  <si>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</si>
  <si>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</si>
  <si>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</si>
  <si>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</si>
  <si>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</si>
  <si>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</si>
  <si>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</si>
  <si>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</si>
  <si>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</si>
  <si>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</si>
  <si>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</si>
  <si>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</si>
  <si>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</si>
  <si>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</si>
  <si>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</si>
  <si>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</si>
  <si>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</si>
  <si>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</si>
  <si>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</si>
  <si>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</si>
  <si>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</si>
  <si>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</si>
  <si>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</si>
  <si>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</si>
  <si>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</si>
  <si>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</si>
  <si>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</si>
  <si>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</si>
  <si>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</si>
  <si>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</si>
  <si>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</si>
  <si>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</si>
  <si>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</si>
  <si>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</si>
  <si>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</si>
  <si>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</si>
  <si>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</si>
  <si>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</si>
  <si>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</si>
  <si>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</si>
  <si>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</si>
  <si>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</si>
  <si>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</si>
  <si>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</si>
  <si>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</si>
  <si>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</si>
  <si>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</si>
  <si>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</si>
  <si>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</si>
  <si>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</si>
  <si>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</si>
  <si>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</si>
  <si>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</si>
  <si>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</si>
  <si>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</si>
  <si>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</si>
  <si>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</si>
  <si>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</si>
  <si>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</si>
  <si>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</si>
  <si>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</si>
  <si>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</si>
  <si>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</si>
  <si>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</si>
  <si>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</si>
  <si>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</si>
  <si>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</si>
  <si>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</si>
  <si>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</si>
  <si>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</si>
  <si>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</si>
  <si>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</si>
  <si>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</si>
  <si>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</si>
  <si>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</si>
  <si>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</si>
  <si>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</si>
  <si>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</si>
  <si>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</si>
  <si>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</si>
  <si>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</si>
  <si>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</si>
  <si>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</si>
  <si>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</si>
  <si>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</si>
  <si>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</si>
  <si>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</si>
  <si>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</si>
  <si>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</si>
  <si>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</si>
  <si>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</si>
  <si>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</si>
  <si>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</si>
  <si>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</si>
  <si>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</si>
  <si>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</si>
  <si>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</si>
  <si>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</si>
  <si>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</si>
  <si>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</si>
  <si>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</si>
  <si>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</si>
  <si>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</si>
  <si>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</si>
  <si>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</si>
  <si>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</si>
  <si>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</si>
  <si>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</si>
  <si>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</si>
  <si>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</si>
  <si>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</si>
  <si>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</si>
  <si>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</si>
  <si>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</si>
  <si>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</si>
  <si>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</si>
  <si>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</si>
  <si>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</si>
  <si>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</si>
  <si>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</si>
  <si>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</si>
  <si>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</si>
  <si>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</si>
  <si>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</si>
  <si>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</si>
  <si>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</si>
  <si>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</si>
  <si>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</si>
  <si>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</si>
  <si>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</si>
  <si>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</si>
  <si>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</si>
  <si>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</si>
  <si>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</si>
  <si>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</si>
  <si>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</si>
  <si>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</si>
  <si>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</si>
  <si>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</si>
  <si>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</si>
  <si>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</si>
  <si>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</si>
  <si>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</si>
  <si>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</si>
  <si>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</si>
  <si>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</si>
  <si>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</si>
  <si>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</si>
  <si>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</si>
  <si>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</si>
  <si>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</si>
  <si>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</si>
  <si>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</si>
  <si>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</si>
  <si>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</si>
  <si>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</si>
  <si>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</si>
  <si>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</si>
  <si>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</si>
  <si>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</si>
  <si>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</si>
  <si>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</si>
  <si>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</si>
  <si>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</si>
  <si>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</si>
  <si>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</si>
  <si>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</si>
  <si>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</si>
  <si>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</si>
  <si>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</si>
  <si>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</si>
  <si>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</si>
  <si>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</si>
  <si>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</si>
  <si>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</si>
  <si>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</si>
  <si>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</si>
  <si>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</si>
  <si>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</si>
  <si>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</si>
  <si>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</si>
  <si>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</si>
  <si>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</si>
  <si>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</si>
  <si>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</si>
  <si>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</si>
  <si>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</si>
  <si>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</si>
  <si>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</si>
  <si>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</si>
  <si>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</si>
  <si>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</si>
  <si>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</si>
  <si>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</si>
  <si>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</si>
  <si>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</si>
  <si>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</si>
  <si>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</si>
  <si>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</si>
  <si>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</si>
  <si>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</si>
  <si>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</si>
  <si>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</si>
  <si>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</si>
  <si>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</si>
  <si>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</si>
  <si>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</si>
  <si>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</si>
  <si>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</si>
  <si>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</si>
  <si>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</si>
  <si>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</si>
  <si>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</si>
  <si>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</si>
  <si>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</si>
  <si>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</si>
  <si>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</si>
  <si>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</si>
  <si>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</si>
  <si>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</si>
  <si>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</si>
  <si>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</si>
  <si>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</si>
  <si>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</si>
  <si>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</si>
  <si>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</si>
  <si>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</si>
  <si>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</si>
  <si>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</si>
  <si>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</si>
  <si>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</si>
  <si>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</si>
  <si>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</si>
  <si>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</si>
  <si>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</si>
  <si>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</si>
  <si>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</si>
  <si>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</si>
  <si>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</si>
  <si>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</si>
  <si>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</si>
  <si>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</si>
  <si>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</si>
  <si>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</si>
  <si>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</si>
  <si>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</si>
  <si>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</si>
  <si>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</si>
  <si>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</si>
  <si>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</si>
  <si>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</si>
  <si>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</si>
  <si>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</si>
  <si>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</si>
  <si>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</si>
  <si>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</si>
  <si>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</si>
  <si>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</si>
  <si>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</si>
  <si>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</si>
  <si>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</si>
  <si>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</si>
  <si>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</si>
  <si>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</si>
  <si>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</si>
  <si>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</si>
  <si>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</si>
  <si>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</si>
  <si>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</si>
  <si>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</si>
  <si>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</si>
  <si>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</si>
  <si>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</si>
  <si>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</si>
  <si>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</si>
  <si>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</si>
  <si>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</si>
  <si>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</si>
  <si>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</si>
  <si>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</si>
  <si>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</si>
  <si>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</si>
  <si>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</si>
  <si>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</si>
  <si>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</si>
  <si>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</si>
  <si>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</si>
  <si>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</si>
  <si>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</si>
  <si>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</si>
  <si>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</si>
  <si>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</si>
  <si>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</si>
  <si>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</si>
  <si>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</si>
  <si>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</si>
  <si>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</si>
  <si>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</si>
  <si>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</si>
  <si>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</si>
  <si>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</si>
  <si>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</si>
  <si>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</si>
  <si>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</si>
  <si>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</si>
  <si>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</si>
  <si>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</si>
  <si>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</si>
  <si>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</si>
  <si>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</si>
  <si>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</si>
  <si>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</si>
  <si>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</si>
  <si>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</si>
  <si>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</si>
  <si>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</si>
  <si>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</si>
  <si>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</si>
  <si>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</si>
  <si>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</si>
  <si>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</si>
  <si>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</si>
  <si>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</si>
  <si>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</si>
  <si>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</si>
  <si>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</si>
  <si>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</si>
  <si>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</si>
  <si>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</si>
  <si>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</si>
  <si>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</si>
  <si>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</si>
  <si>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</si>
  <si>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</si>
  <si>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</si>
  <si>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</si>
  <si>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</si>
  <si>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</si>
  <si>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</si>
  <si>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</si>
  <si>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</si>
  <si>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</si>
  <si>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</si>
  <si>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</si>
  <si>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</si>
  <si>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</si>
  <si>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</si>
  <si>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</si>
  <si>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</si>
  <si>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</si>
  <si>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</si>
  <si>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</si>
  <si>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</si>
  <si>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</si>
  <si>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</si>
  <si>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</si>
  <si>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</si>
  <si>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</si>
  <si>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</si>
  <si>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</si>
  <si>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</si>
  <si>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</si>
  <si>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</si>
  <si>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</si>
  <si>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</si>
  <si>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</si>
  <si>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</si>
  <si>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</si>
  <si>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</si>
  <si>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</si>
  <si>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</si>
  <si>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</si>
  <si>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</si>
  <si>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</si>
  <si>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</si>
  <si>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</si>
  <si>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</si>
  <si>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</si>
  <si>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</si>
  <si>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</si>
  <si>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</si>
  <si>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</si>
  <si>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</si>
  <si>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</si>
  <si>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</si>
  <si>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</si>
  <si>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</si>
  <si>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</si>
  <si>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</si>
  <si>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</si>
  <si>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</si>
  <si>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</si>
  <si>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</si>
  <si>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</si>
  <si>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</si>
  <si>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</si>
  <si>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</si>
  <si>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</si>
  <si>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</si>
  <si>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</si>
  <si>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</si>
  <si>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</si>
  <si>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</si>
  <si>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</si>
  <si>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</si>
  <si>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</si>
  <si>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</si>
  <si>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</si>
  <si>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</si>
  <si>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</si>
  <si>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</si>
  <si>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</si>
  <si>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</si>
  <si>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</si>
  <si>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</si>
  <si>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</si>
  <si>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</si>
  <si>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</si>
  <si>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</si>
  <si>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</si>
  <si>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</si>
  <si>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</si>
  <si>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</si>
  <si>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</si>
  <si>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</si>
  <si>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</si>
  <si>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</si>
  <si>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</si>
  <si>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</si>
  <si>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</si>
  <si>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</si>
  <si>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</si>
  <si>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</si>
  <si>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</si>
  <si>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</si>
  <si>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</si>
  <si>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</si>
  <si>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</si>
  <si>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</si>
  <si>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</si>
  <si>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</si>
  <si>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</si>
  <si>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</si>
  <si>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</si>
  <si>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</si>
  <si>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</si>
  <si>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</si>
  <si>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</si>
  <si>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</si>
  <si>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</si>
  <si>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</si>
  <si>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</si>
  <si>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</si>
  <si>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</si>
  <si>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</si>
  <si>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</si>
  <si>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</si>
  <si>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</si>
  <si>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</si>
  <si>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</si>
  <si>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</si>
  <si>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</si>
  <si>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</si>
  <si>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</si>
  <si>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</si>
  <si>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</si>
  <si>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</si>
  <si>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</si>
  <si>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</si>
  <si>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</si>
  <si>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</si>
  <si>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</si>
  <si>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</si>
  <si>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</si>
  <si>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</si>
  <si>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</si>
  <si>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</si>
  <si>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</si>
  <si>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</si>
  <si>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</si>
  <si>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</si>
  <si>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</si>
  <si>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</si>
  <si>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</si>
  <si>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</si>
  <si>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</si>
  <si>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</si>
  <si>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</si>
  <si>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</si>
  <si>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</si>
  <si>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</si>
  <si>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</si>
  <si>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</si>
  <si>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</si>
  <si>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</si>
  <si>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</si>
  <si>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</si>
  <si>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</si>
  <si>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</si>
  <si>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</si>
  <si>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</si>
  <si>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</si>
  <si>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</si>
  <si>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</si>
  <si>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</si>
  <si>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</si>
  <si>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</si>
  <si>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</si>
  <si>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</si>
  <si>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</si>
  <si>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</si>
  <si>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</si>
  <si>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</si>
  <si>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</si>
  <si>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</si>
  <si>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</si>
  <si>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</si>
  <si>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</si>
  <si>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</si>
  <si>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</si>
  <si>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</si>
  <si>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</si>
  <si>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</si>
  <si>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</si>
  <si>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</si>
  <si>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</si>
  <si>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</si>
  <si>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</si>
  <si>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</si>
  <si>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</si>
  <si>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</si>
  <si>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</si>
  <si>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</si>
  <si>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</si>
  <si>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</si>
  <si>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</si>
  <si>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</si>
  <si>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</si>
  <si>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</si>
  <si>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</si>
  <si>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</si>
  <si>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</si>
  <si>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</si>
  <si>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</si>
  <si>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</si>
  <si>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</si>
  <si>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</si>
  <si>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</si>
  <si>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</si>
  <si>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</si>
  <si>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</si>
  <si>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</si>
  <si>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</si>
  <si>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</si>
  <si>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</si>
  <si>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</si>
  <si>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</si>
  <si>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</si>
  <si>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</si>
  <si>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</si>
  <si>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</si>
  <si>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</si>
  <si>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</si>
  <si>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</si>
  <si>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</si>
  <si>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</si>
  <si>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</si>
  <si>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</si>
  <si>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</si>
  <si>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</si>
  <si>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</si>
  <si>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</si>
  <si>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</si>
  <si>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</si>
  <si>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</si>
  <si>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</si>
  <si>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</si>
  <si>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</si>
  <si>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</si>
  <si>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</si>
  <si>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</si>
  <si>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</si>
  <si>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</si>
  <si>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</si>
  <si>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</si>
  <si>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</si>
  <si>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</si>
  <si>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</si>
  <si>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</si>
  <si>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</si>
  <si>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</si>
  <si>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</si>
  <si>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</si>
  <si>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</si>
  <si>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</si>
  <si>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</si>
  <si>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</si>
  <si>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</si>
  <si>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</si>
  <si>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</si>
  <si>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</si>
  <si>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</si>
  <si>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</si>
  <si>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</si>
  <si>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</si>
  <si>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</si>
  <si>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</si>
  <si>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</si>
  <si>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</si>
  <si>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</si>
  <si>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</si>
  <si>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</si>
  <si>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</si>
  <si>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</si>
  <si>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</si>
  <si>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</si>
  <si>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</si>
  <si>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</si>
  <si>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</si>
  <si>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</si>
  <si>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</si>
  <si>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</si>
  <si>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</si>
  <si>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</si>
  <si>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</si>
  <si>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</si>
  <si>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</si>
  <si>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</si>
  <si>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</si>
  <si>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</si>
  <si>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</si>
  <si>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</si>
  <si>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</si>
  <si>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</si>
  <si>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</si>
  <si>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</si>
  <si>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</si>
  <si>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</si>
  <si>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</si>
  <si>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</si>
  <si>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</si>
  <si>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</si>
  <si>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</si>
  <si>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</si>
  <si>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</si>
  <si>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</si>
  <si>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</si>
  <si>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</si>
  <si>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</si>
  <si>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</si>
  <si>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</si>
  <si>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</si>
  <si>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</si>
  <si>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</si>
  <si>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</si>
  <si>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</si>
  <si>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</si>
  <si>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</si>
  <si>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</si>
  <si>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</si>
  <si>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</si>
  <si>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</si>
  <si>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</si>
  <si>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</si>
  <si>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</si>
  <si>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</si>
  <si>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</si>
  <si>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</si>
  <si>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</si>
  <si>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</si>
  <si>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</si>
  <si>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</si>
  <si>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</si>
  <si>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</si>
  <si>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</si>
  <si>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</si>
  <si>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</si>
  <si>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</si>
  <si>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</si>
  <si>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</si>
  <si>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</si>
  <si>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</si>
  <si>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</si>
  <si>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</si>
  <si>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</si>
  <si>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</si>
  <si>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</si>
  <si>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</si>
  <si>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</si>
  <si>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</si>
  <si>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</si>
  <si>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</si>
  <si>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</si>
  <si>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</si>
  <si>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</si>
  <si>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</si>
  <si>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</si>
  <si>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</si>
  <si>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</si>
  <si>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</si>
  <si>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</si>
  <si>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</si>
  <si>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</si>
  <si>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</si>
  <si>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</si>
  <si>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</si>
  <si>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</si>
  <si>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</si>
  <si>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</si>
  <si>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</si>
  <si>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</si>
  <si>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</si>
  <si>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</si>
  <si>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</si>
  <si>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</si>
  <si>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</si>
  <si>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</si>
  <si>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</si>
  <si>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</si>
  <si>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</si>
  <si>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</si>
  <si>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</si>
  <si>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</si>
  <si>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</si>
  <si>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</si>
  <si>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</si>
  <si>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</si>
  <si>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</si>
  <si>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</si>
  <si>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</si>
  <si>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</si>
  <si>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</si>
  <si>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</si>
  <si>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</si>
  <si>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</si>
  <si>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</si>
  <si>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</si>
  <si>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</si>
  <si>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</si>
  <si>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</si>
  <si>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</si>
  <si>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</si>
  <si>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</si>
  <si>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</si>
  <si>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</si>
  <si>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</si>
  <si>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</si>
  <si>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</si>
  <si>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</si>
  <si>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</si>
  <si>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</si>
  <si>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</si>
  <si>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</si>
  <si>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</si>
  <si>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</si>
  <si>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</si>
  <si>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</si>
  <si>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</si>
  <si>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</si>
  <si>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</si>
  <si>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</si>
  <si>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</si>
  <si>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</si>
  <si>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</si>
  <si>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</si>
  <si>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</si>
  <si>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</si>
  <si>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</si>
  <si>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</si>
  <si>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</si>
  <si>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</si>
  <si>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</si>
  <si>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</si>
  <si>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</si>
  <si>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</si>
  <si>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</si>
  <si>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</si>
  <si>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</si>
  <si>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</si>
  <si>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</si>
  <si>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</si>
  <si>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</si>
  <si>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</si>
  <si>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</si>
  <si>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</si>
  <si>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</si>
  <si>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</si>
  <si>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</si>
  <si>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</si>
  <si>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</si>
  <si>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</si>
  <si>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</si>
  <si>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</si>
  <si>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</si>
  <si>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</si>
  <si>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</si>
  <si>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</si>
  <si>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</si>
  <si>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</si>
  <si>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</si>
  <si>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</si>
  <si>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</si>
  <si>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</si>
  <si>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</si>
  <si>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</si>
  <si>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</si>
  <si>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</si>
  <si>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</si>
  <si>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</si>
  <si>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</si>
  <si>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</si>
  <si>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</si>
  <si>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</si>
  <si>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</si>
  <si>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</si>
  <si>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</si>
  <si>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</si>
  <si>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</si>
  <si>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</si>
  <si>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</si>
  <si>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</si>
  <si>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</si>
  <si>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</si>
  <si>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</si>
  <si>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</si>
  <si>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</si>
  <si>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</si>
  <si>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</si>
  <si>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</si>
  <si>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</si>
  <si>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</si>
  <si>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</si>
  <si>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</si>
  <si>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</si>
  <si>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</si>
  <si>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</si>
  <si>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</si>
  <si>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</si>
  <si>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</si>
  <si>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</si>
  <si>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</si>
  <si>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</si>
  <si>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</si>
  <si>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</si>
  <si>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</si>
  <si>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</si>
  <si>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</si>
  <si>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</si>
  <si>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</si>
  <si>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</si>
  <si>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</si>
  <si>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</si>
  <si>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</si>
  <si>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</si>
  <si>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</si>
  <si>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</si>
  <si>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</si>
  <si>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</si>
  <si>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</si>
  <si>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</si>
  <si>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</si>
  <si>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</si>
  <si>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</si>
  <si>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</si>
  <si>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</si>
  <si>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</si>
  <si>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</si>
  <si>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</si>
  <si>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</si>
  <si>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</si>
  <si>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</si>
  <si>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</si>
  <si>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</si>
  <si>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</si>
  <si>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</si>
  <si>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</si>
  <si>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</si>
  <si>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</si>
  <si>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</si>
  <si>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</si>
  <si>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</si>
  <si>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</si>
  <si>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</si>
  <si>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</si>
  <si>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</si>
  <si>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</si>
  <si>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</si>
  <si>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</si>
  <si>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</si>
  <si>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</si>
  <si>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</si>
  <si>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</si>
  <si>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</si>
  <si>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</si>
  <si>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</si>
  <si>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</si>
  <si>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</si>
  <si>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</si>
  <si>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</si>
  <si>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</si>
  <si>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</si>
  <si>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</si>
  <si>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</si>
  <si>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</si>
  <si>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</si>
  <si>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</si>
  <si>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</si>
  <si>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</si>
  <si>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</si>
  <si>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</si>
  <si>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</si>
  <si>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</si>
  <si>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</si>
  <si>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</si>
  <si>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</si>
  <si>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</si>
  <si>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</si>
  <si>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</si>
  <si>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</si>
  <si>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</si>
  <si>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</si>
  <si>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</si>
  <si>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</si>
  <si>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</si>
  <si>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</si>
  <si>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</si>
  <si>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</si>
  <si>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</si>
  <si>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</si>
  <si>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</si>
  <si>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</si>
  <si>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</si>
  <si>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</si>
  <si>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</si>
  <si>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</si>
  <si>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</si>
  <si>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</si>
  <si>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</si>
  <si>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</si>
  <si>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</si>
  <si>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</si>
  <si>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</si>
  <si>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</si>
  <si>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</si>
  <si>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</si>
  <si>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</si>
  <si>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</si>
  <si>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</si>
  <si>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</si>
  <si>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</si>
  <si>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</si>
  <si>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</si>
  <si>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</si>
  <si>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</si>
  <si>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</si>
  <si>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</si>
  <si>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</si>
  <si>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</si>
  <si>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</si>
  <si>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</si>
  <si>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</si>
  <si>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</si>
  <si>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</si>
  <si>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</si>
  <si>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</si>
  <si>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</si>
  <si>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</si>
  <si>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</si>
  <si>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</si>
  <si>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</si>
  <si>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</si>
  <si>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</si>
  <si>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</si>
  <si>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</si>
  <si>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</si>
  <si>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</si>
  <si>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</si>
  <si>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</si>
  <si>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</si>
  <si>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</si>
  <si>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</si>
  <si>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</si>
  <si>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</si>
  <si>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</si>
  <si>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</si>
  <si>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</si>
  <si>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</si>
  <si>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</si>
  <si>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</si>
  <si>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</si>
  <si>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</si>
  <si>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</si>
  <si>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</si>
  <si>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</si>
  <si>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</si>
  <si>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</si>
  <si>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</si>
  <si>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</si>
  <si>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</si>
  <si>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</si>
  <si>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</si>
  <si>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</si>
  <si>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</si>
  <si>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</si>
  <si>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</si>
  <si>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</si>
  <si>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</si>
  <si>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</si>
  <si>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</si>
  <si>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</si>
  <si>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</si>
  <si>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</si>
  <si>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</si>
  <si>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</si>
  <si>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</si>
  <si>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</si>
  <si>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</si>
  <si>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</si>
  <si>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</si>
  <si>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</si>
  <si>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</si>
  <si>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</si>
  <si>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</si>
  <si>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</si>
  <si>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</si>
  <si>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</si>
  <si>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</si>
  <si>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</si>
  <si>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</si>
  <si>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</si>
  <si>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</si>
  <si>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</si>
  <si>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</si>
  <si>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</si>
  <si>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</si>
  <si>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</si>
  <si>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</si>
  <si>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</si>
  <si>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</si>
  <si>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</si>
  <si>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</si>
  <si>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</si>
  <si>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</si>
  <si>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</si>
  <si>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</si>
  <si>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</si>
  <si>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</si>
  <si>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</si>
  <si>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</si>
  <si>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</si>
  <si>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</si>
  <si>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</si>
  <si>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</si>
  <si>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</si>
  <si>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</si>
  <si>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</si>
  <si>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</si>
  <si>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</si>
  <si>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</si>
  <si>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</si>
  <si>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</si>
  <si>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</si>
  <si>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</si>
  <si>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</si>
  <si>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</si>
  <si>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</si>
  <si>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</si>
  <si>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</si>
  <si>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</si>
  <si>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</si>
  <si>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</si>
  <si>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</si>
  <si>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</si>
  <si>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</si>
  <si>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</si>
  <si>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</si>
  <si>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</si>
  <si>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</si>
  <si>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</si>
  <si>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</si>
  <si>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</si>
  <si>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</si>
  <si>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</si>
  <si>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</si>
  <si>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</si>
  <si>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</si>
  <si>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</si>
  <si>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</si>
  <si>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</si>
  <si>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</si>
  <si>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</si>
  <si>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</si>
  <si>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</si>
  <si>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</si>
  <si>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</si>
  <si>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</si>
  <si>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</si>
  <si>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</si>
  <si>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</si>
  <si>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</si>
  <si>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</si>
  <si>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</si>
  <si>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</si>
  <si>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</si>
  <si>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</si>
  <si>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</si>
  <si>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</si>
  <si>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</si>
  <si>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</si>
  <si>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</si>
  <si>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</si>
  <si>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</si>
  <si>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</si>
  <si>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</si>
  <si>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</si>
  <si>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</si>
  <si>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</si>
  <si>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</si>
  <si>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</si>
  <si>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</si>
  <si>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</si>
  <si>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</si>
  <si>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</si>
  <si>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</si>
  <si>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</si>
  <si>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</si>
  <si>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</si>
  <si>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</si>
  <si>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</si>
  <si>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</si>
  <si>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</si>
  <si>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</si>
  <si>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</si>
  <si>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</si>
  <si>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</si>
  <si>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</si>
  <si>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</si>
  <si>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</si>
  <si>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</si>
  <si>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</si>
  <si>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</si>
  <si>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</si>
  <si>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</si>
  <si>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</si>
  <si>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</si>
  <si>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</si>
  <si>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</si>
  <si>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</si>
  <si>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</si>
  <si>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</si>
  <si>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</si>
  <si>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</si>
  <si>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</si>
  <si>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</si>
  <si>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</si>
  <si>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</si>
  <si>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</si>
  <si>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</si>
  <si>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</si>
  <si>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</si>
  <si>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</si>
  <si>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</si>
  <si>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</si>
  <si>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</si>
  <si>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</si>
  <si>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</si>
  <si>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</si>
  <si>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</si>
  <si>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</si>
  <si>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</si>
  <si>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</si>
  <si>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</si>
  <si>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</si>
  <si>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</si>
  <si>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</si>
  <si>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</si>
  <si>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</si>
  <si>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</si>
  <si>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</si>
  <si>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</si>
  <si>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</si>
  <si>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</si>
  <si>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</si>
  <si>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</si>
  <si>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</si>
  <si>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</si>
  <si>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</si>
  <si>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</si>
  <si>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</si>
  <si>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</si>
  <si>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</si>
  <si>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</si>
  <si>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</si>
  <si>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</si>
  <si>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</si>
  <si>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</si>
  <si>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</si>
  <si>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</si>
  <si>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</si>
  <si>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</si>
  <si>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</si>
  <si>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</si>
  <si>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</si>
  <si>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</si>
  <si>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</si>
  <si>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</si>
  <si>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</si>
  <si>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</si>
  <si>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</si>
  <si>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</si>
  <si>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</si>
  <si>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</si>
  <si>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</si>
  <si>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</si>
  <si>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</si>
  <si>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</si>
  <si>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</si>
  <si>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</si>
  <si>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</si>
  <si>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</si>
  <si>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</si>
  <si>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</si>
  <si>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</si>
  <si>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</si>
  <si>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</si>
  <si>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</si>
  <si>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</si>
  <si>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</si>
  <si>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</si>
  <si>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</si>
  <si>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</si>
  <si>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</si>
  <si>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</si>
  <si>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</si>
  <si>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</si>
  <si>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</si>
  <si>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</si>
  <si>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</si>
  <si>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</si>
  <si>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</si>
  <si>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</si>
  <si>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</si>
  <si>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</si>
  <si>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</si>
  <si>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</si>
  <si>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</si>
  <si>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</si>
  <si>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</si>
  <si>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</si>
  <si>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</si>
  <si>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</si>
  <si>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</si>
  <si>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</si>
  <si>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</si>
  <si>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</si>
  <si>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</si>
  <si>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</si>
  <si>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</si>
  <si>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</si>
  <si>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</si>
  <si>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</si>
  <si>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</si>
  <si>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</si>
  <si>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</si>
  <si>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</si>
  <si>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</si>
  <si>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</si>
  <si>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</si>
  <si>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</si>
  <si>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</si>
  <si>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</si>
  <si>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</si>
  <si>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</si>
  <si>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</si>
  <si>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</si>
  <si>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</si>
  <si>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</si>
  <si>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</si>
  <si>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</si>
  <si>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</si>
  <si>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</si>
  <si>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</si>
  <si>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</si>
  <si>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</si>
  <si>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</si>
  <si>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</si>
  <si>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</si>
  <si>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</si>
  <si>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</si>
  <si>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</si>
  <si>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</si>
  <si>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</si>
  <si>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</si>
  <si>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</si>
  <si>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</si>
  <si>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</si>
  <si>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</si>
  <si>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</si>
  <si>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</si>
  <si>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</si>
  <si>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</si>
  <si>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</si>
  <si>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</si>
  <si>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</si>
  <si>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</si>
  <si>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</si>
  <si>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</si>
  <si>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</si>
  <si>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</si>
  <si>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</si>
  <si>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</si>
  <si>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</si>
  <si>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</si>
  <si>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</si>
  <si>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</si>
  <si>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</si>
  <si>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</si>
  <si>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</si>
  <si>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</si>
  <si>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</si>
  <si>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</si>
  <si>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</si>
  <si>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</si>
  <si>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</si>
  <si>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</si>
  <si>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</si>
  <si>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</si>
  <si>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</si>
  <si>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</si>
  <si>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</si>
  <si>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</si>
  <si>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</si>
  <si>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</si>
  <si>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</si>
  <si>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</si>
  <si>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</si>
  <si>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</si>
  <si>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</si>
  <si>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</si>
  <si>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</si>
  <si>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</si>
  <si>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</si>
  <si>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</si>
  <si>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</si>
  <si>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</si>
  <si>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</si>
  <si>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</si>
  <si>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</si>
  <si>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</si>
  <si>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</si>
  <si>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</si>
  <si>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</si>
  <si>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</si>
  <si>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</si>
  <si>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</si>
  <si>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</si>
  <si>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</si>
  <si>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</si>
  <si>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</si>
  <si>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</si>
  <si>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</si>
  <si>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</si>
  <si>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</si>
  <si>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</si>
  <si>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</si>
  <si>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</si>
  <si>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</si>
  <si>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</si>
  <si>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</si>
  <si>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</si>
  <si>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</si>
  <si>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</si>
  <si>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</si>
  <si>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</si>
  <si>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</si>
  <si>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</si>
  <si>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</si>
  <si>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</si>
  <si>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</si>
  <si>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</si>
  <si>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</si>
  <si>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</si>
  <si>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</si>
  <si>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</si>
  <si>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</si>
  <si>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</si>
  <si>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</si>
  <si>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</si>
  <si>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</si>
  <si>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</si>
  <si>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</si>
  <si>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</si>
  <si>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</si>
  <si>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</si>
  <si>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</si>
  <si>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</si>
  <si>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</si>
  <si>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</si>
  <si>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</si>
  <si>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</si>
  <si>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</si>
  <si>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</si>
  <si>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</si>
  <si>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</si>
  <si>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</si>
  <si>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</si>
  <si>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</si>
  <si>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</si>
  <si>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</si>
  <si>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</si>
  <si>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</si>
  <si>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</si>
  <si>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</si>
  <si>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</si>
  <si>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</si>
  <si>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</si>
  <si>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</si>
  <si>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</si>
  <si>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</si>
  <si>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</si>
  <si>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</si>
  <si>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</si>
  <si>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</si>
  <si>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</si>
  <si>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</si>
  <si>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</si>
  <si>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</si>
  <si>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</si>
  <si>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</si>
  <si>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</si>
  <si>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</si>
  <si>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</si>
  <si>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</si>
  <si>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</si>
  <si>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</si>
  <si>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</si>
  <si>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</si>
  <si>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</si>
  <si>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</si>
  <si>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</si>
  <si>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</si>
  <si>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</si>
  <si>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</si>
  <si>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</si>
  <si>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</si>
  <si>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</si>
  <si>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</si>
  <si>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</si>
  <si>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</si>
  <si>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</si>
  <si>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</si>
  <si>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</si>
  <si>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</si>
  <si>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</si>
  <si>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</si>
  <si>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</si>
  <si>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</si>
  <si>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</si>
  <si>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</si>
  <si>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</si>
  <si>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</si>
  <si>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</si>
  <si>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</si>
  <si>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</si>
  <si>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</si>
  <si>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</si>
  <si>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</si>
  <si>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</si>
  <si>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</si>
  <si>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</si>
  <si>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</si>
  <si>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</si>
  <si>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</si>
  <si>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</si>
  <si>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</si>
  <si>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</si>
  <si>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</si>
  <si>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</si>
  <si>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</si>
  <si>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</si>
  <si>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</si>
  <si>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</si>
  <si>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</si>
  <si>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</si>
  <si>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</si>
  <si>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</si>
  <si>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</si>
  <si>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</si>
  <si>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</si>
  <si>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</si>
  <si>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</si>
  <si>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</si>
  <si>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</si>
  <si>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</si>
  <si>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</si>
  <si>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</si>
  <si>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</si>
  <si>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</si>
  <si>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</si>
  <si>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</si>
  <si>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</si>
  <si>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</si>
  <si>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</si>
  <si>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</si>
  <si>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</si>
  <si>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</si>
  <si>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</si>
  <si>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</si>
  <si>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</si>
  <si>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</si>
  <si>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</si>
  <si>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</si>
  <si>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</si>
  <si>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</si>
  <si>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</si>
  <si>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</si>
  <si>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</si>
  <si>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</si>
  <si>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</si>
  <si>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</si>
  <si>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</si>
  <si>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</si>
  <si>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</si>
  <si>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</si>
  <si>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</si>
  <si>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</si>
  <si>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</si>
  <si>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</si>
  <si>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</si>
  <si>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</si>
  <si>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</si>
  <si>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</si>
  <si>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</si>
  <si>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</si>
  <si>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</si>
  <si>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</si>
  <si>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</si>
  <si>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</si>
  <si>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</si>
  <si>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</si>
  <si>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</si>
  <si>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</si>
  <si>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</si>
  <si>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</si>
  <si>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</si>
  <si>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</si>
  <si>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</si>
  <si>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</si>
  <si>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</si>
  <si>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</si>
  <si>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</si>
  <si>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</si>
  <si>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</si>
  <si>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</si>
  <si>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</si>
  <si>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</si>
  <si>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</si>
  <si>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</si>
  <si>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</si>
  <si>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</si>
  <si>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</si>
  <si>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</si>
  <si>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</si>
  <si>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</si>
  <si>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</si>
  <si>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</si>
  <si>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</si>
  <si>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</si>
  <si>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</si>
  <si>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</si>
  <si>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</si>
  <si>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</si>
  <si>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</si>
  <si>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</si>
  <si>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</si>
  <si>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</si>
  <si>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</si>
  <si>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</si>
  <si>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</si>
  <si>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</si>
  <si>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</si>
  <si>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</si>
  <si>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</si>
  <si>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</si>
  <si>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</si>
  <si>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</si>
  <si>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</si>
  <si>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</si>
  <si>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</si>
  <si>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</si>
  <si>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</si>
  <si>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</si>
  <si>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</si>
  <si>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</si>
  <si>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</si>
  <si>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</si>
  <si>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</si>
  <si>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</si>
  <si>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</si>
  <si>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</si>
  <si>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</si>
  <si>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</si>
  <si>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</si>
  <si>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</si>
  <si>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</si>
  <si>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</si>
  <si>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</si>
  <si>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</si>
  <si>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</si>
  <si>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</si>
  <si>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</si>
  <si>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</si>
  <si>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</si>
  <si>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</si>
  <si>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</si>
  <si>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</si>
  <si>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</si>
  <si>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</si>
  <si>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</si>
  <si>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</si>
  <si>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</si>
  <si>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</si>
  <si>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</si>
  <si>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</si>
  <si>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</si>
  <si>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</si>
  <si>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</si>
  <si>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</si>
  <si>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</si>
  <si>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</si>
  <si>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</si>
  <si>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</si>
  <si>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</si>
  <si>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</si>
  <si>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</si>
  <si>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</si>
  <si>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</si>
  <si>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</si>
  <si>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</si>
  <si>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</si>
  <si>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</si>
  <si>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</si>
  <si>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</si>
  <si>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</si>
  <si>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</si>
  <si>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</si>
  <si>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</si>
  <si>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</si>
  <si>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</si>
  <si>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</si>
  <si>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</si>
  <si>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</si>
  <si>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</si>
  <si>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</si>
  <si>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</si>
  <si>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</si>
  <si>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</si>
  <si>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</si>
  <si>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</si>
  <si>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</si>
  <si>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</si>
  <si>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</si>
  <si>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</si>
  <si>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</si>
  <si>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</si>
  <si>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</si>
  <si>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</si>
  <si>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</si>
  <si>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</si>
  <si>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</si>
  <si>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</si>
  <si>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</si>
  <si>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</si>
  <si>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</si>
  <si>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</si>
  <si>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</si>
  <si>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</si>
  <si>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</si>
  <si>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</si>
  <si>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</si>
  <si>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</si>
  <si>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</si>
  <si>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</si>
  <si>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</si>
  <si>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</si>
  <si>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</si>
  <si>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</si>
  <si>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</si>
  <si>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</si>
  <si>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</si>
  <si>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</si>
  <si>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</si>
  <si>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</si>
  <si>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</si>
  <si>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</si>
  <si>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</si>
  <si>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</si>
  <si>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</si>
  <si>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</si>
  <si>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</si>
  <si>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</si>
  <si>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</si>
  <si>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</si>
  <si>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</si>
  <si>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</si>
  <si>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</si>
  <si>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</si>
  <si>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</si>
  <si>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</si>
  <si>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</si>
  <si>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</si>
  <si>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</si>
  <si>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</si>
  <si>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</si>
  <si>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</si>
  <si>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</si>
  <si>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</si>
  <si>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</si>
  <si>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</si>
  <si>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</si>
  <si>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</si>
  <si>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</si>
  <si>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</si>
  <si>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</si>
  <si>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</si>
  <si>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</si>
  <si>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</si>
  <si>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</si>
  <si>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</si>
  <si>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</si>
  <si>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</si>
  <si>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</si>
  <si>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</si>
  <si>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</si>
  <si>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</si>
  <si>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</si>
  <si>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</si>
  <si>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</si>
  <si>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</si>
  <si>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</si>
  <si>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</si>
  <si>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</si>
  <si>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</si>
  <si>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</si>
  <si>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</si>
  <si>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</si>
  <si>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</si>
  <si>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</si>
  <si>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</si>
  <si>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</si>
  <si>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</si>
  <si>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</si>
  <si>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</si>
  <si>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</si>
  <si>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</si>
  <si>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</si>
  <si>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</si>
  <si>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</si>
  <si>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</si>
  <si>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</si>
  <si>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</si>
  <si>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</si>
  <si>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</si>
  <si>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</si>
  <si>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</si>
  <si>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</si>
  <si>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</si>
  <si>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</si>
  <si>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</si>
  <si>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</si>
  <si>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</si>
  <si>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</si>
  <si>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</si>
  <si>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</si>
  <si>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</si>
  <si>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</si>
  <si>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</si>
  <si>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</si>
  <si>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</si>
  <si>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</si>
  <si>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</si>
  <si>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</si>
  <si>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</si>
  <si>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</si>
  <si>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</si>
  <si>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</si>
  <si>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</si>
  <si>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</si>
  <si>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</si>
  <si>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</si>
  <si>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</si>
  <si>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</si>
  <si>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</si>
  <si>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</si>
  <si>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</si>
  <si>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</si>
  <si>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</si>
  <si>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</si>
  <si>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</si>
  <si>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</si>
  <si>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</si>
  <si>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</si>
  <si>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</si>
  <si>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</si>
  <si>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</si>
  <si>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</si>
  <si>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</si>
  <si>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</si>
  <si>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</si>
  <si>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</si>
  <si>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</si>
  <si>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</si>
  <si>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</si>
  <si>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</si>
  <si>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</si>
  <si>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</si>
  <si>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</si>
  <si>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</si>
  <si>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</si>
  <si>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</si>
  <si>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</si>
  <si>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</si>
  <si>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</si>
  <si>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</si>
  <si>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</si>
  <si>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</si>
  <si>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</si>
  <si>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</si>
  <si>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</si>
  <si>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</si>
  <si>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</si>
  <si>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</si>
  <si>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</si>
  <si>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</si>
  <si>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</si>
  <si>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</si>
  <si>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</si>
  <si>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</si>
  <si>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</si>
  <si>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</si>
  <si>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</si>
  <si>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</si>
  <si>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</si>
  <si>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</si>
  <si>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</si>
  <si>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</si>
  <si>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</si>
  <si>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</si>
  <si>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</si>
  <si>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</si>
  <si>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</si>
  <si>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</si>
  <si>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</si>
  <si>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</si>
  <si>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</si>
  <si>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</si>
  <si>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</si>
  <si>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</si>
  <si>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</si>
  <si>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</si>
  <si>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</si>
  <si>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</si>
  <si>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</si>
  <si>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</si>
  <si>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</si>
  <si>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</si>
  <si>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</si>
  <si>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</si>
  <si>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</si>
  <si>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</si>
  <si>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</si>
  <si>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</si>
  <si>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</si>
  <si>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</si>
  <si>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</si>
  <si>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</si>
  <si>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</si>
  <si>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</si>
  <si>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</si>
  <si>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</si>
  <si>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</si>
  <si>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</si>
  <si>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</si>
  <si>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</si>
  <si>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</si>
  <si>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</si>
  <si>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</si>
  <si>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</si>
  <si>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</si>
  <si>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</si>
  <si>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</si>
  <si>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</si>
  <si>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</si>
  <si>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</si>
  <si>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</si>
  <si>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</si>
  <si>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</si>
  <si>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</si>
  <si>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</si>
  <si>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</si>
  <si>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</si>
  <si>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</si>
  <si>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</si>
  <si>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</si>
  <si>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</si>
  <si>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</si>
  <si>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</si>
  <si>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</si>
  <si>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</si>
  <si>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</si>
  <si>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</si>
  <si>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</si>
  <si>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</si>
  <si>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</si>
  <si>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</si>
  <si>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</si>
  <si>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</si>
  <si>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</si>
  <si>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</si>
  <si>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</si>
  <si>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</si>
  <si>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</si>
  <si>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</si>
  <si>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</si>
  <si>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</si>
  <si>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</si>
  <si>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</si>
  <si>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</si>
  <si>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</si>
  <si>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</si>
  <si>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</si>
  <si>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</si>
  <si>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</si>
  <si>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</si>
  <si>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</si>
  <si>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</si>
  <si>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</si>
  <si>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</si>
  <si>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</si>
  <si>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</si>
  <si>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</si>
  <si>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</si>
  <si>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</si>
  <si>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</si>
  <si>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</si>
  <si>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</si>
  <si>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</si>
  <si>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</si>
  <si>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</si>
  <si>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</si>
  <si>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</si>
  <si>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</si>
  <si>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</si>
  <si>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</si>
  <si>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</si>
  <si>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</si>
  <si>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</si>
  <si>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</si>
  <si>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</si>
  <si>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</si>
  <si>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</si>
  <si>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</si>
  <si>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</si>
  <si>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</si>
  <si>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</si>
  <si>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</si>
  <si>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</si>
  <si>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</si>
  <si>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</si>
  <si>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</si>
  <si>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</si>
  <si>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</si>
  <si>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</si>
  <si>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</si>
  <si>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</si>
  <si>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</si>
  <si>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</si>
  <si>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</si>
  <si>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</si>
  <si>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</si>
  <si>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</si>
  <si>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</si>
  <si>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</si>
  <si>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</si>
  <si>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</si>
  <si>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</si>
  <si>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</si>
  <si>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</si>
  <si>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</si>
  <si>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</si>
  <si>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</si>
  <si>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</si>
  <si>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</si>
  <si>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</si>
  <si>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</si>
  <si>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</si>
  <si>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</si>
  <si>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</si>
  <si>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</si>
  <si>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</si>
  <si>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</si>
  <si>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</si>
  <si>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</si>
  <si>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</si>
  <si>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</si>
  <si>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</si>
  <si>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</si>
  <si>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</si>
  <si>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</si>
  <si>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</si>
  <si>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</si>
  <si>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</si>
  <si>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</si>
  <si>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</si>
  <si>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</si>
  <si>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</si>
  <si>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</si>
  <si>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</si>
  <si>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</si>
  <si>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</si>
  <si>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</si>
  <si>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</si>
  <si>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</si>
  <si>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</si>
  <si>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</si>
  <si>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</si>
  <si>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</si>
  <si>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</si>
  <si>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</si>
  <si>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</si>
  <si>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</si>
  <si>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</si>
  <si>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</si>
  <si>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</si>
  <si>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</si>
  <si>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</si>
  <si>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</si>
  <si>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</si>
  <si>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</si>
  <si>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</si>
  <si>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</si>
  <si>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</si>
  <si>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</si>
  <si>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</si>
  <si>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</si>
  <si>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</si>
  <si>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</si>
  <si>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</si>
  <si>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</si>
  <si>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</si>
  <si>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</si>
  <si>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</si>
  <si>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</si>
  <si>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</si>
  <si>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</si>
  <si>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</si>
  <si>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</si>
  <si>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</si>
  <si>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</si>
  <si>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</si>
  <si>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</si>
  <si>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</si>
  <si>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</si>
  <si>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</si>
  <si>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</si>
  <si>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</si>
  <si>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</si>
  <si>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</si>
  <si>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</si>
  <si>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</si>
  <si>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</si>
  <si>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</si>
  <si>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</si>
  <si>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</si>
  <si>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</si>
  <si>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</si>
  <si>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</si>
  <si>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</si>
  <si>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</si>
  <si>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</si>
  <si>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</si>
  <si>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</si>
  <si>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</si>
  <si>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</si>
  <si>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</si>
  <si>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</si>
  <si>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</si>
  <si>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</si>
  <si>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</si>
  <si>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</si>
  <si>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</si>
  <si>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</si>
  <si>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</si>
  <si>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</si>
  <si>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</si>
  <si>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</si>
  <si>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</si>
  <si>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</si>
  <si>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</si>
  <si>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</si>
  <si>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</si>
  <si>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</si>
  <si>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</si>
  <si>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</si>
  <si>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</si>
  <si>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</si>
  <si>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</si>
  <si>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</si>
  <si>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</si>
  <si>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</si>
  <si>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</si>
  <si>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</si>
  <si>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</si>
  <si>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</si>
  <si>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</si>
  <si>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</si>
  <si>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</si>
  <si>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</si>
  <si>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</si>
  <si>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</si>
  <si>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</si>
  <si>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</si>
  <si>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</si>
  <si>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</si>
  <si>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</si>
  <si>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</si>
  <si>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</si>
  <si>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</si>
  <si>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</si>
  <si>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</si>
  <si>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</si>
  <si>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</si>
  <si>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</si>
  <si>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</si>
  <si>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</si>
  <si>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</si>
  <si>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</si>
  <si>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</si>
  <si>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</si>
  <si>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</si>
  <si>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</si>
  <si>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</si>
  <si>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</si>
  <si>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</si>
  <si>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</si>
  <si>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</si>
  <si>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</si>
  <si>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</si>
  <si>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</si>
  <si>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</si>
  <si>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</si>
  <si>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</si>
  <si>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</si>
  <si>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</si>
  <si>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</si>
  <si>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</si>
  <si>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</si>
  <si>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</si>
  <si>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</si>
  <si>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</si>
  <si>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</si>
  <si>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</si>
  <si>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</si>
  <si>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</si>
  <si>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</si>
  <si>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</si>
  <si>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</si>
  <si>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</si>
  <si>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</si>
  <si>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</si>
  <si>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</si>
  <si>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</si>
  <si>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</si>
  <si>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</si>
  <si>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</si>
  <si>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</si>
  <si>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</si>
  <si>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</si>
  <si>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</si>
  <si>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</si>
  <si>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</si>
  <si>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</si>
  <si>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</si>
  <si>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</si>
  <si>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</si>
  <si>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</si>
  <si>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</si>
  <si>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</si>
  <si>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</si>
  <si>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</si>
  <si>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</si>
  <si>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</si>
  <si>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</si>
  <si>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</si>
  <si>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</si>
  <si>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</si>
  <si>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</si>
  <si>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</si>
  <si>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</si>
  <si>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</si>
  <si>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</si>
  <si>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</si>
  <si>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</si>
  <si>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</si>
  <si>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</si>
  <si>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</si>
  <si>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</si>
  <si>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</si>
  <si>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</si>
  <si>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</si>
  <si>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</si>
  <si>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</si>
  <si>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</si>
  <si>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</si>
  <si>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</si>
  <si>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</si>
  <si>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</si>
  <si>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</si>
  <si>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</si>
  <si>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</si>
  <si>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</si>
  <si>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</si>
  <si>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</si>
  <si>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</si>
  <si>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</si>
  <si>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</si>
  <si>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</si>
  <si>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</si>
  <si>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</si>
  <si>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</si>
  <si>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</si>
  <si>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</si>
  <si>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</si>
  <si>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</si>
  <si>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</si>
  <si>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</si>
  <si>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</si>
  <si>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</si>
  <si>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</si>
  <si>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</si>
  <si>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</si>
  <si>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</si>
  <si>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</si>
  <si>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</si>
  <si>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</si>
  <si>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</si>
  <si>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</si>
  <si>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</si>
  <si>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</si>
  <si>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</si>
  <si>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</si>
  <si>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</si>
  <si>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</si>
  <si>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</si>
  <si>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</si>
  <si>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</si>
  <si>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</si>
  <si>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</si>
  <si>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</si>
  <si>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</si>
  <si>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</si>
  <si>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</si>
  <si>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</si>
  <si>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</si>
  <si>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</si>
  <si>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</si>
  <si>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</si>
  <si>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</si>
  <si>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</si>
  <si>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</si>
  <si>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</si>
  <si>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</si>
  <si>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</si>
  <si>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</si>
  <si>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</si>
  <si>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</si>
  <si>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</si>
  <si>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</si>
  <si>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</si>
  <si>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</si>
  <si>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</si>
  <si>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</si>
  <si>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</si>
  <si>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</si>
  <si>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</si>
  <si>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</si>
  <si>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</si>
  <si>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</si>
  <si>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</si>
  <si>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</si>
  <si>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</si>
  <si>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</si>
  <si>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</si>
  <si>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</si>
  <si>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</si>
  <si>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</si>
  <si>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</si>
  <si>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</si>
  <si>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</si>
  <si>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</si>
  <si>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</si>
  <si>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</si>
  <si>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</si>
  <si>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</si>
  <si>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</si>
  <si>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</si>
  <si>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</si>
  <si>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</si>
  <si>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</si>
  <si>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</si>
  <si>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</si>
  <si>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</si>
  <si>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</si>
  <si>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</si>
  <si>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</si>
  <si>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</si>
  <si>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</si>
  <si>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</si>
  <si>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</si>
  <si>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</si>
  <si>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</si>
  <si>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</si>
  <si>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</si>
  <si>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</si>
  <si>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</si>
  <si>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</si>
  <si>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</si>
  <si>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</si>
  <si>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</si>
  <si>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</si>
  <si>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</si>
  <si>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</si>
  <si>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</si>
  <si>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</si>
  <si>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</si>
  <si>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</si>
  <si>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</si>
  <si>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</si>
  <si>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</si>
  <si>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</si>
  <si>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</si>
  <si>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</si>
  <si>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</si>
  <si>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</si>
  <si>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</si>
  <si>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</si>
  <si>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</si>
  <si>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</si>
  <si>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</si>
  <si>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</si>
  <si>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</si>
  <si>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</si>
  <si>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</si>
  <si>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</si>
  <si>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</si>
  <si>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</si>
  <si>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</si>
  <si>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</si>
  <si>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</si>
  <si>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</si>
  <si>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</si>
  <si>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</si>
  <si>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</si>
  <si>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</si>
  <si>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</si>
  <si>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</si>
  <si>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</si>
  <si>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</si>
  <si>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</si>
  <si>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</si>
  <si>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</si>
  <si>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</si>
  <si>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</si>
  <si>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</si>
  <si>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</si>
  <si>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</si>
  <si>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</si>
  <si>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</si>
  <si>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</si>
  <si>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</si>
  <si>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</si>
  <si>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</si>
  <si>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</si>
  <si>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</si>
  <si>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</si>
  <si>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</si>
  <si>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</si>
  <si>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</si>
  <si>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</si>
  <si>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</si>
  <si>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</si>
  <si>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</si>
  <si>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</si>
  <si>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</si>
  <si>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</si>
  <si>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</si>
  <si>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</si>
  <si>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</si>
  <si>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</si>
  <si>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</si>
  <si>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</si>
  <si>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</si>
  <si>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</si>
  <si>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</si>
  <si>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</si>
  <si>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</si>
  <si>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</si>
  <si>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</si>
  <si>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</si>
  <si>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</si>
  <si>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</si>
  <si>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</si>
  <si>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</si>
  <si>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</si>
  <si>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</si>
  <si>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</si>
  <si>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</si>
  <si>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</si>
  <si>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</si>
  <si>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</si>
  <si>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</si>
  <si>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</si>
  <si>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</si>
  <si>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</si>
  <si>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</si>
  <si>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</si>
  <si>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</si>
  <si>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</si>
  <si>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</si>
  <si>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</si>
  <si>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</si>
  <si>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</si>
  <si>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</si>
  <si>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</si>
  <si>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</si>
  <si>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</si>
  <si>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</si>
  <si>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</si>
  <si>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</si>
  <si>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</si>
  <si>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</si>
  <si>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</si>
  <si>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</si>
  <si>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</si>
  <si>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</si>
  <si>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</si>
  <si>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</si>
  <si>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</si>
  <si>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</si>
  <si>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</si>
  <si>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</si>
  <si>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</si>
  <si>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</si>
  <si>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</si>
  <si>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</si>
  <si>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</si>
  <si>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</si>
  <si>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</si>
  <si>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</si>
  <si>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</si>
  <si>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</si>
  <si>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</si>
  <si>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</si>
  <si>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</si>
  <si>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</si>
  <si>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</si>
  <si>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</si>
  <si>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</si>
  <si>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</si>
  <si>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</si>
  <si>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</si>
  <si>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</si>
  <si>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</si>
  <si>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</si>
  <si>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</si>
  <si>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</si>
  <si>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</si>
  <si>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</si>
  <si>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</si>
  <si>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</si>
  <si>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</si>
  <si>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</si>
  <si>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</si>
  <si>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</si>
  <si>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</si>
  <si>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</si>
  <si>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</si>
  <si>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</si>
  <si>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</si>
  <si>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</si>
  <si>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</si>
  <si>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</si>
  <si>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</si>
  <si>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</si>
  <si>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</si>
  <si>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</si>
  <si>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</si>
  <si>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</si>
  <si>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</si>
  <si>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</si>
  <si>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</si>
  <si>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</si>
  <si>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</si>
  <si>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</si>
  <si>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</si>
  <si>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</si>
  <si>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</si>
  <si>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</si>
  <si>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</si>
  <si>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</si>
  <si>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</si>
  <si>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</si>
  <si>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</si>
  <si>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</si>
  <si>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</si>
  <si>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</si>
  <si>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</si>
  <si>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</si>
  <si>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</si>
  <si>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</si>
  <si>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</si>
  <si>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</si>
  <si>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</si>
  <si>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</si>
  <si>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</si>
  <si>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</si>
  <si>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</si>
  <si>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</si>
  <si>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</si>
  <si>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</si>
  <si>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</si>
  <si>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</si>
  <si>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</si>
  <si>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</si>
  <si>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</si>
  <si>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</si>
  <si>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</si>
  <si>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</si>
  <si>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</si>
  <si>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</si>
  <si>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</si>
  <si>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</si>
  <si>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</si>
  <si>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</si>
  <si>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</si>
  <si>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</si>
  <si>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</si>
  <si>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</si>
  <si>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</si>
  <si>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</si>
  <si>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</si>
  <si>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</si>
  <si>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</si>
  <si>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</si>
  <si>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</si>
  <si>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</si>
  <si>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</si>
  <si>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成本法</t>
  </si>
  <si>
    <t>收益法</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</si>
  <si>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</si>
  <si>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</si>
  <si>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</si>
  <si>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</si>
  <si>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</si>
  <si>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</si>
  <si>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</si>
  <si>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</si>
  <si>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</si>
  <si>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</si>
  <si>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</si>
  <si>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</si>
  <si>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</si>
  <si>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</si>
  <si>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</si>
  <si>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</si>
  <si>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</si>
  <si>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</si>
  <si>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</si>
  <si>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</si>
  <si>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</si>
  <si>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</si>
  <si>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</si>
  <si>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</si>
  <si>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</si>
  <si>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</si>
  <si>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</si>
  <si>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</si>
  <si>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</si>
  <si>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</si>
  <si>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</si>
  <si>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</si>
  <si>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</si>
  <si>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</si>
  <si>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</si>
  <si>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</si>
  <si>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</si>
  <si>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</si>
  <si>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</si>
  <si>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</si>
  <si>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</si>
  <si>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</si>
  <si>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</si>
  <si>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</si>
  <si>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</si>
  <si>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</si>
  <si>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</si>
  <si>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</si>
  <si>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</si>
  <si>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</si>
  <si>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</si>
  <si>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</si>
  <si>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</si>
  <si>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</si>
  <si>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</si>
  <si>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</si>
  <si>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</si>
  <si>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</si>
  <si>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</si>
  <si>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</si>
  <si>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</si>
  <si>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</si>
  <si>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</si>
  <si>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</si>
  <si>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</si>
  <si>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</si>
  <si>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</si>
  <si>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</si>
  <si>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</si>
  <si>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</si>
  <si>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</si>
  <si>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</si>
  <si>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</si>
  <si>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</si>
  <si>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</si>
  <si>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</si>
  <si>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</si>
  <si>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</si>
  <si>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</si>
  <si>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</si>
  <si>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</si>
  <si>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</si>
  <si>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</si>
  <si>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</si>
  <si>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</si>
  <si>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</si>
  <si>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</si>
  <si>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</si>
  <si>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</si>
  <si>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</si>
  <si>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</si>
  <si>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</si>
  <si>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</si>
  <si>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</si>
  <si>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</si>
  <si>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</si>
  <si>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</si>
  <si>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</si>
  <si>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</si>
  <si>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</si>
  <si>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</si>
  <si>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</si>
  <si>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</si>
  <si>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</si>
  <si>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</si>
  <si>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</si>
  <si>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</si>
  <si>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</si>
  <si>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</si>
  <si>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</si>
  <si>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</si>
  <si>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</si>
  <si>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</si>
  <si>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</si>
  <si>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</si>
  <si>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</si>
  <si>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</si>
  <si>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</si>
  <si>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</si>
  <si>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</si>
  <si>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</si>
  <si>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</si>
  <si>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</si>
  <si>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</si>
  <si>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</si>
  <si>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</si>
  <si>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</si>
  <si>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</si>
  <si>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</si>
  <si>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</si>
  <si>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</si>
  <si>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</si>
  <si>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</si>
  <si>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</si>
  <si>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</si>
  <si>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</si>
  <si>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</si>
  <si>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</si>
  <si>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</si>
  <si>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</si>
  <si>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</si>
  <si>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</si>
  <si>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</si>
  <si>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</si>
  <si>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</si>
  <si>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</si>
  <si>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</si>
  <si>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</si>
  <si>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</si>
  <si>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</si>
  <si>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</si>
  <si>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</si>
  <si>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</si>
  <si>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</si>
  <si>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</si>
  <si>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</si>
  <si>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</si>
  <si>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</si>
  <si>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</si>
  <si>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</si>
  <si>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</si>
  <si>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</si>
  <si>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</si>
  <si>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</si>
  <si>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</si>
  <si>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</si>
  <si>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</si>
  <si>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</si>
  <si>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</si>
  <si>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</si>
  <si>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</si>
  <si>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</si>
  <si>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</si>
  <si>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</si>
  <si>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</si>
  <si>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</si>
  <si>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</si>
  <si>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</si>
  <si>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</si>
  <si>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</si>
  <si>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</si>
  <si>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</si>
  <si>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</si>
  <si>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</si>
  <si>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</si>
  <si>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</si>
  <si>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</si>
  <si>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</si>
  <si>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</si>
  <si>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</si>
  <si>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</si>
  <si>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</si>
  <si>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</si>
  <si>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</si>
  <si>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</si>
  <si>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</si>
  <si>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</si>
  <si>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</si>
  <si>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</si>
  <si>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</si>
  <si>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</si>
  <si>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</si>
  <si>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</si>
  <si>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</si>
  <si>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</si>
  <si>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</si>
  <si>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</si>
  <si>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</si>
  <si>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</si>
  <si>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</si>
  <si>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</si>
  <si>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</si>
  <si>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</si>
  <si>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</si>
  <si>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</si>
  <si>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</si>
  <si>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</si>
  <si>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</si>
  <si>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</si>
  <si>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</si>
  <si>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</si>
  <si>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</si>
  <si>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</si>
  <si>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</si>
  <si>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</si>
  <si>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</si>
  <si>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</si>
  <si>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</si>
  <si>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</si>
  <si>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</si>
  <si>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</si>
  <si>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</si>
  <si>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</si>
  <si>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</si>
  <si>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</si>
  <si>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</si>
  <si>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</si>
  <si>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</si>
  <si>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</si>
  <si>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</si>
  <si>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</si>
  <si>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</si>
  <si>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</si>
  <si>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</si>
  <si>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</si>
  <si>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</si>
  <si>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</si>
  <si>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</si>
  <si>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</si>
  <si>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</si>
  <si>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</si>
  <si>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</si>
  <si>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</si>
  <si>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</si>
  <si>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</si>
  <si>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</si>
  <si>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</si>
  <si>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</si>
  <si>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</si>
  <si>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</si>
  <si>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</si>
  <si>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</si>
  <si>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</si>
  <si>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</si>
  <si>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</si>
  <si>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</si>
  <si>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</si>
  <si>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</si>
  <si>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</si>
  <si>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</si>
  <si>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</si>
  <si>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</si>
  <si>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</si>
  <si>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</si>
  <si>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</si>
  <si>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</si>
  <si>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</si>
  <si>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</si>
  <si>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</si>
  <si>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</si>
  <si>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</si>
  <si>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</si>
  <si>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</si>
  <si>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</si>
  <si>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</si>
  <si>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</si>
  <si>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</si>
  <si>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</si>
  <si>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</si>
  <si>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</si>
  <si>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</si>
  <si>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</si>
  <si>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</si>
  <si>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</si>
  <si>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</si>
  <si>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</si>
  <si>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</si>
  <si>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</si>
  <si>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</si>
  <si>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</si>
  <si>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</si>
  <si>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</si>
  <si>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</si>
  <si>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</si>
  <si>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</si>
  <si>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</si>
  <si>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</si>
  <si>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</si>
  <si>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</si>
  <si>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</si>
  <si>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</si>
  <si>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</si>
  <si>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</si>
  <si>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</si>
  <si>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</si>
  <si>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</si>
  <si>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</si>
  <si>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</si>
  <si>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</si>
  <si>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</si>
  <si>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</si>
  <si>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</si>
  <si>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</si>
  <si>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</si>
  <si>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</si>
  <si>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</si>
  <si>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</si>
  <si>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</si>
  <si>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</si>
  <si>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</si>
  <si>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</si>
  <si>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</si>
  <si>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</si>
  <si>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</si>
  <si>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</si>
  <si>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</si>
  <si>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</si>
  <si>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</si>
  <si>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</si>
  <si>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</si>
  <si>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</si>
  <si>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</si>
  <si>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</si>
  <si>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</si>
  <si>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</si>
  <si>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</si>
  <si>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</si>
  <si>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</si>
  <si>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</si>
  <si>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</si>
  <si>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</si>
  <si>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</si>
  <si>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</si>
  <si>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</si>
  <si>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</si>
  <si>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</si>
  <si>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</si>
  <si>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</si>
  <si>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</si>
  <si>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</si>
  <si>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</si>
  <si>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</si>
  <si>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</si>
  <si>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</si>
  <si>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</si>
  <si>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</si>
  <si>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</si>
  <si>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</si>
  <si>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</si>
  <si>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</si>
  <si>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</si>
  <si>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</si>
  <si>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</si>
  <si>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</si>
  <si>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</si>
  <si>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</si>
  <si>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</si>
  <si>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</si>
  <si>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</si>
  <si>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</si>
  <si>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</si>
  <si>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</si>
  <si>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</si>
  <si>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</si>
  <si>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</si>
  <si>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</si>
  <si>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</si>
  <si>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</si>
  <si>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</si>
  <si>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</si>
  <si>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</si>
  <si>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</si>
  <si>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</si>
  <si>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</si>
  <si>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</si>
  <si>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</si>
  <si>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</si>
  <si>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</si>
  <si>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</si>
  <si>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</si>
  <si>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</si>
  <si>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</si>
  <si>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</si>
  <si>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</si>
  <si>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</si>
  <si>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</si>
  <si>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</si>
  <si>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</si>
  <si>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</si>
  <si>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</si>
  <si>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</si>
  <si>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</si>
  <si>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</si>
  <si>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</si>
  <si>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</si>
  <si>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</si>
  <si>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</si>
  <si>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</si>
  <si>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</si>
  <si>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</si>
  <si>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</si>
  <si>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</si>
  <si>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</si>
  <si>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</si>
  <si>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</si>
  <si>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</si>
  <si>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</si>
  <si>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</si>
  <si>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</si>
  <si>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</si>
  <si>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</si>
  <si>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</si>
  <si>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</si>
  <si>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</si>
  <si>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</si>
  <si>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</si>
  <si>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</si>
  <si>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</si>
  <si>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</si>
  <si>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</si>
  <si>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</si>
  <si>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</si>
  <si>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</si>
  <si>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</si>
  <si>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</si>
  <si>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</si>
  <si>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</si>
  <si>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</si>
  <si>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</si>
  <si>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</si>
  <si>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</si>
  <si>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</si>
  <si>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</si>
  <si>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</si>
  <si>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</si>
  <si>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</si>
  <si>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</si>
  <si>
    <t>成本法</t>
    <phoneticPr fontId="140" type="noConversion"/>
  </si>
  <si>
    <t>总价</t>
    <phoneticPr fontId="140" type="noConversion"/>
  </si>
  <si>
    <t>单价</t>
    <phoneticPr fontId="140" type="noConversion"/>
  </si>
  <si>
    <t>收益法</t>
    <phoneticPr fontId="140" type="noConversion"/>
  </si>
  <si>
    <t>估价结果一览表</t>
    <phoneticPr fontId="140" type="noConversion"/>
  </si>
  <si>
    <t>币种：人民币</t>
    <phoneticPr fontId="140" type="noConversion"/>
  </si>
  <si>
    <t>项目</t>
    <phoneticPr fontId="140" type="noConversion"/>
  </si>
  <si>
    <t>评估结果</t>
  </si>
  <si>
    <r>
      <t>1</t>
    </r>
    <r>
      <rPr>
        <sz val="11"/>
        <color theme="1"/>
        <rFont val="宋体"/>
        <family val="3"/>
        <charset val="134"/>
        <scheme val="minor"/>
      </rPr>
      <t>.不考虑租约影响的房地产市场价值总额（万元）</t>
    </r>
    <phoneticPr fontId="140" type="noConversion"/>
  </si>
  <si>
    <t>大写金额</t>
    <phoneticPr fontId="140" type="noConversion"/>
  </si>
  <si>
    <t>单位建筑面积单价（元/平方米）</t>
    <phoneticPr fontId="140" type="noConversion"/>
  </si>
  <si>
    <t>其中：</t>
    <phoneticPr fontId="140" type="noConversion"/>
  </si>
  <si>
    <t>土地使用权价值（万元）</t>
    <phoneticPr fontId="140" type="noConversion"/>
  </si>
  <si>
    <t>建筑物价值（万元）</t>
    <phoneticPr fontId="140" type="noConversion"/>
  </si>
  <si>
    <r>
      <t>3</t>
    </r>
    <r>
      <rPr>
        <sz val="11"/>
        <color theme="1"/>
        <rFont val="宋体"/>
        <family val="3"/>
        <charset val="134"/>
        <scheme val="minor"/>
      </rPr>
      <t>.考虑租约影响的房地产市场价值（万元）</t>
    </r>
    <phoneticPr fontId="140" type="noConversion"/>
  </si>
  <si>
    <t>柒佰零柒万</t>
    <phoneticPr fontId="140" type="noConversion"/>
  </si>
  <si>
    <t>2.租约增值额（万元）</t>
    <phoneticPr fontId="140" type="noConversion"/>
  </si>
  <si>
    <t>捌佰壹拾柒万</t>
    <phoneticPr fontId="140" type="noConversion"/>
  </si>
  <si>
    <t>https://www.icauto.com.cn/baike/70/704051.html</t>
    <phoneticPr fontId="140" type="noConversion"/>
  </si>
  <si>
    <t>汽油</t>
    <phoneticPr fontId="140" type="noConversion"/>
  </si>
  <si>
    <t>柴油</t>
    <phoneticPr fontId="140" type="noConversion"/>
  </si>
  <si>
    <t>中华人民共和国中央人民政府</t>
    <phoneticPr fontId="140" type="noConversion"/>
  </si>
  <si>
    <t>http://www.gov.cn/shuju/2020-12/03/content_5566877.htm</t>
    <phoneticPr fontId="140" type="noConversion"/>
  </si>
  <si>
    <r>
      <t>2</t>
    </r>
    <r>
      <rPr>
        <sz val="11"/>
        <color theme="1"/>
        <rFont val="宋体"/>
        <family val="3"/>
        <charset val="134"/>
        <scheme val="minor"/>
      </rPr>
      <t>020年</t>
    </r>
    <phoneticPr fontId="140" type="noConversion"/>
  </si>
  <si>
    <t>2019年</t>
    <phoneticPr fontId="140" type="noConversion"/>
  </si>
  <si>
    <t>2021年售价</t>
  </si>
  <si>
    <t>2021年售价</t>
    <phoneticPr fontId="140" type="noConversion"/>
  </si>
  <si>
    <r>
      <t>2</t>
    </r>
    <r>
      <rPr>
        <sz val="11"/>
        <color theme="1"/>
        <rFont val="宋体"/>
        <family val="3"/>
        <charset val="134"/>
        <scheme val="minor"/>
      </rPr>
      <t>021年销量</t>
    </r>
    <phoneticPr fontId="140" type="noConversion"/>
  </si>
  <si>
    <r>
      <t>2</t>
    </r>
    <r>
      <rPr>
        <sz val="11"/>
        <color theme="1"/>
        <rFont val="宋体"/>
        <family val="3"/>
        <charset val="134"/>
        <scheme val="minor"/>
      </rPr>
      <t>019-2020平均销量</t>
    </r>
    <phoneticPr fontId="140" type="noConversion"/>
  </si>
  <si>
    <t>2019-2020平均进价</t>
    <phoneticPr fontId="140" type="noConversion"/>
  </si>
  <si>
    <t>利润</t>
    <phoneticPr fontId="140" type="noConversion"/>
  </si>
  <si>
    <t>成品油零售</t>
    <phoneticPr fontId="140" type="noConversion"/>
  </si>
  <si>
    <t>其他收入</t>
    <phoneticPr fontId="140" type="noConversion"/>
  </si>
  <si>
    <t>总收入</t>
    <phoneticPr fontId="140" type="noConversion"/>
  </si>
  <si>
    <t>一</t>
    <phoneticPr fontId="140" type="noConversion"/>
  </si>
  <si>
    <t>二</t>
    <phoneticPr fontId="140" type="noConversion"/>
  </si>
  <si>
    <t>购入成本</t>
    <phoneticPr fontId="140" type="noConversion"/>
  </si>
  <si>
    <t>三</t>
    <phoneticPr fontId="140" type="noConversion"/>
  </si>
  <si>
    <t>经营费</t>
    <phoneticPr fontId="140" type="noConversion"/>
  </si>
  <si>
    <t>管理费</t>
    <phoneticPr fontId="140" type="noConversion"/>
  </si>
  <si>
    <t>维修费</t>
    <phoneticPr fontId="140" type="noConversion"/>
  </si>
  <si>
    <t>保险费</t>
    <phoneticPr fontId="140" type="noConversion"/>
  </si>
  <si>
    <t>房产税</t>
    <phoneticPr fontId="140" type="noConversion"/>
  </si>
  <si>
    <t>土地使用税</t>
    <phoneticPr fontId="140" type="noConversion"/>
  </si>
  <si>
    <t>增值税及附加</t>
    <phoneticPr fontId="140" type="noConversion"/>
  </si>
  <si>
    <t>四</t>
    <phoneticPr fontId="140" type="noConversion"/>
  </si>
  <si>
    <t>利润额</t>
    <phoneticPr fontId="140" type="noConversion"/>
  </si>
  <si>
    <t>五</t>
    <phoneticPr fontId="140" type="noConversion"/>
  </si>
  <si>
    <t>商业利润</t>
    <phoneticPr fontId="140" type="noConversion"/>
  </si>
  <si>
    <t>六</t>
    <phoneticPr fontId="140" type="noConversion"/>
  </si>
  <si>
    <t>房地产收益</t>
    <phoneticPr fontId="140" type="noConversion"/>
  </si>
  <si>
    <t>（二）购入成本</t>
    <phoneticPr fontId="140" type="noConversion"/>
  </si>
  <si>
    <t>（三）年经营费用</t>
    <phoneticPr fontId="3" type="noConversion"/>
  </si>
  <si>
    <t>油品销售</t>
    <phoneticPr fontId="3" type="noConversion"/>
  </si>
  <si>
    <t>其他收入</t>
    <phoneticPr fontId="3" type="noConversion"/>
  </si>
  <si>
    <t>油品购入</t>
    <phoneticPr fontId="140" type="noConversion"/>
  </si>
  <si>
    <t>商品购入</t>
    <phoneticPr fontId="140" type="noConversion"/>
  </si>
  <si>
    <t>管理费用</t>
    <phoneticPr fontId="3" type="noConversion"/>
  </si>
  <si>
    <t>维修费</t>
    <phoneticPr fontId="3" type="noConversion"/>
  </si>
  <si>
    <t>工资、水电费、保险费、宣传费、差旅费等</t>
    <phoneticPr fontId="3" type="noConversion"/>
  </si>
  <si>
    <t>按照房屋重置成本×费率</t>
    <phoneticPr fontId="140" type="noConversion"/>
  </si>
  <si>
    <t>（三）利润额</t>
    <phoneticPr fontId="3" type="noConversion"/>
  </si>
  <si>
    <t>（四）商业利润</t>
    <phoneticPr fontId="3" type="noConversion"/>
  </si>
  <si>
    <t>（五）房地产年净收益</t>
    <phoneticPr fontId="3" type="noConversion"/>
  </si>
  <si>
    <t>增值税及附加</t>
    <phoneticPr fontId="3" type="noConversion"/>
  </si>
  <si>
    <r>
      <rPr>
        <b/>
        <sz val="9"/>
        <rFont val="宋体"/>
        <family val="3"/>
        <charset val="134"/>
      </rPr>
      <t>（年经营收入-购入成本）</t>
    </r>
    <r>
      <rPr>
        <b/>
        <sz val="9"/>
        <rFont val="Arial"/>
        <family val="2"/>
      </rPr>
      <t>×</t>
    </r>
    <r>
      <rPr>
        <b/>
        <sz val="9"/>
        <rFont val="宋体"/>
        <family val="3"/>
        <charset val="134"/>
      </rPr>
      <t>费率</t>
    </r>
    <phoneticPr fontId="3" type="noConversion"/>
  </si>
  <si>
    <t>按租金收入计税</t>
  </si>
  <si>
    <t>收益法(租约）</t>
    <phoneticPr fontId="140" type="noConversion"/>
  </si>
  <si>
    <t>地面硬化</t>
    <phoneticPr fontId="140" type="noConversion"/>
  </si>
  <si>
    <t>钢棚</t>
    <phoneticPr fontId="140" type="noConversion"/>
  </si>
  <si>
    <r>
      <t>5</t>
    </r>
    <r>
      <rPr>
        <b/>
        <sz val="9"/>
        <rFont val="宋体"/>
        <family val="3"/>
        <charset val="134"/>
      </rPr>
      <t>万</t>
    </r>
    <r>
      <rPr>
        <b/>
        <sz val="9"/>
        <rFont val="Arial"/>
        <family val="2"/>
      </rPr>
      <t>/</t>
    </r>
    <r>
      <rPr>
        <b/>
        <sz val="9"/>
        <rFont val="宋体"/>
        <family val="3"/>
        <charset val="134"/>
      </rPr>
      <t>月</t>
    </r>
    <phoneticPr fontId="140" type="noConversion"/>
  </si>
  <si>
    <t>租约价值减损</t>
    <phoneticPr fontId="140" type="noConversion"/>
  </si>
  <si>
    <t>租约外</t>
    <phoneticPr fontId="3" type="noConversion"/>
  </si>
  <si>
    <t>租约内经营收益</t>
    <phoneticPr fontId="3" type="noConversion"/>
  </si>
  <si>
    <t>不考虑租约</t>
    <phoneticPr fontId="3" type="noConversion"/>
  </si>
  <si>
    <t>估价对象为加油站用途，房地产及附属物是主要资产，且比重较大，本次评估确定应归属于商服经营者的利润为30%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</si>
</sst>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
      <u/>
      <sz val="11"/>
      <color theme="1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80" fillId="0" borderId="0" applyNumberFormat="0" applyFill="0" applyBorder="0" applyAlignment="0" applyProtection="0">
      <alignment vertical="center"/>
    </xf>
  </cellStyleXfs>
  <cellXfs count="41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56" fillId="6" borderId="23" xfId="4" applyFont="1" applyFill="1" applyBorder="1" applyAlignment="1">
      <alignment horizontal="left" vertical="center" wrapText="1"/>
    </xf>
    <xf numFmtId="0" fontId="273" fillId="6" borderId="5"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0" fillId="0" borderId="1" xfId="0" applyBorder="1">
      <alignment vertical="center"/>
    </xf>
    <xf numFmtId="0" fontId="98" fillId="0" borderId="1" xfId="0" applyFont="1" applyBorder="1" applyAlignment="1">
      <alignment horizontal="left" vertical="center"/>
    </xf>
    <xf numFmtId="0" fontId="98" fillId="0" borderId="1" xfId="0" applyFont="1" applyBorder="1" applyAlignment="1">
      <alignment horizontal="right" vertical="center"/>
    </xf>
    <xf numFmtId="0" fontId="280" fillId="0" borderId="0" xfId="18">
      <alignment vertical="center"/>
    </xf>
    <xf numFmtId="0" fontId="280" fillId="0" borderId="0" xfId="18" applyAlignment="1">
      <alignment horizontal="center" vertical="center"/>
    </xf>
    <xf numFmtId="0" fontId="98" fillId="0" borderId="0" xfId="0" applyFont="1" applyBorder="1" applyAlignment="1">
      <alignment horizontal="center" vertical="center" wrapText="1"/>
    </xf>
    <xf numFmtId="0" fontId="0" fillId="0" borderId="0" xfId="0" applyBorder="1" applyAlignment="1">
      <alignment horizontal="center" vertical="center"/>
    </xf>
    <xf numFmtId="0" fontId="281" fillId="0" borderId="0" xfId="0" applyFont="1" applyAlignment="1">
      <alignment horizontal="center" vertical="center"/>
    </xf>
    <xf numFmtId="58" fontId="0" fillId="0" borderId="0" xfId="0" applyNumberFormat="1">
      <alignment vertical="center"/>
    </xf>
    <xf numFmtId="0" fontId="0" fillId="5" borderId="1" xfId="0" applyFill="1" applyBorder="1" applyAlignment="1">
      <alignment horizontal="center" vertical="center"/>
    </xf>
    <xf numFmtId="0" fontId="98" fillId="0" borderId="0" xfId="0" applyFont="1">
      <alignment vertical="center"/>
    </xf>
    <xf numFmtId="2" fontId="3" fillId="0" borderId="0" xfId="4" applyNumberFormat="1" applyFont="1" applyAlignment="1">
      <alignment horizontal="left"/>
    </xf>
    <xf numFmtId="197" fontId="3" fillId="0" borderId="0" xfId="4" applyNumberFormat="1" applyFont="1" applyAlignment="1">
      <alignment horizontal="left"/>
    </xf>
    <xf numFmtId="1" fontId="3" fillId="0" borderId="0" xfId="4" applyNumberFormat="1" applyFont="1" applyAlignment="1">
      <alignment horizontal="left"/>
    </xf>
    <xf numFmtId="0" fontId="3" fillId="5" borderId="0" xfId="4" applyFont="1" applyFill="1" applyAlignment="1">
      <alignment horizontal="left"/>
    </xf>
    <xf numFmtId="0" fontId="3" fillId="0" borderId="0" xfId="4" applyFont="1" applyAlignment="1">
      <alignment horizontal="right"/>
    </xf>
    <xf numFmtId="197" fontId="3" fillId="5" borderId="0" xfId="4" applyNumberFormat="1" applyFont="1" applyFill="1" applyAlignment="1">
      <alignment horizontal="right"/>
    </xf>
    <xf numFmtId="0" fontId="3" fillId="5" borderId="0" xfId="4" applyFont="1" applyFill="1" applyAlignment="1">
      <alignment horizontal="right"/>
    </xf>
    <xf numFmtId="1" fontId="3" fillId="0" borderId="0" xfId="4" applyNumberFormat="1" applyFont="1" applyAlignment="1">
      <alignment horizontal="right"/>
    </xf>
    <xf numFmtId="9" fontId="3" fillId="0" borderId="0" xfId="4" applyNumberFormat="1" applyFont="1" applyAlignment="1">
      <alignment horizontal="left"/>
    </xf>
    <xf numFmtId="0" fontId="56" fillId="7" borderId="1" xfId="4" applyFont="1" applyFill="1" applyBorder="1" applyAlignment="1">
      <alignment vertical="center"/>
    </xf>
    <xf numFmtId="0" fontId="106"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83" fillId="7" borderId="1" xfId="4" applyFont="1" applyFill="1" applyBorder="1" applyAlignment="1">
      <alignment horizontal="left" vertical="center"/>
    </xf>
    <xf numFmtId="0" fontId="56" fillId="7" borderId="5" xfId="4" applyFont="1" applyFill="1" applyBorder="1" applyAlignment="1">
      <alignment horizontal="left" vertical="center"/>
    </xf>
    <xf numFmtId="0" fontId="56" fillId="7" borderId="3" xfId="4" applyFont="1" applyFill="1" applyBorder="1" applyAlignment="1">
      <alignment horizontal="left" vertical="center"/>
    </xf>
    <xf numFmtId="186" fontId="56" fillId="7" borderId="1" xfId="4" applyNumberFormat="1" applyFont="1" applyFill="1" applyBorder="1" applyAlignment="1">
      <alignment horizontal="left" vertical="center"/>
    </xf>
    <xf numFmtId="10" fontId="56" fillId="7" borderId="1" xfId="4" applyNumberFormat="1" applyFont="1" applyFill="1" applyBorder="1" applyAlignment="1">
      <alignment horizontal="left" vertical="center"/>
    </xf>
    <xf numFmtId="0" fontId="274" fillId="7" borderId="1" xfId="4" applyFont="1" applyFill="1" applyBorder="1" applyAlignment="1">
      <alignment horizontal="left" vertical="center"/>
    </xf>
    <xf numFmtId="181" fontId="274" fillId="7" borderId="1" xfId="4" applyNumberFormat="1" applyFont="1" applyFill="1" applyBorder="1" applyAlignment="1">
      <alignment horizontal="left" vertical="center"/>
    </xf>
    <xf numFmtId="0" fontId="275" fillId="7" borderId="1" xfId="4" applyFont="1" applyFill="1" applyBorder="1" applyAlignment="1">
      <alignment vertical="center"/>
    </xf>
    <xf numFmtId="189" fontId="274" fillId="7" borderId="1" xfId="4" applyNumberFormat="1" applyFont="1" applyFill="1" applyBorder="1" applyAlignment="1">
      <alignment horizontal="left" vertical="center"/>
    </xf>
    <xf numFmtId="0" fontId="274" fillId="7" borderId="1" xfId="4" applyFont="1" applyFill="1" applyBorder="1" applyAlignment="1">
      <alignment vertical="center"/>
    </xf>
    <xf numFmtId="49" fontId="273" fillId="7" borderId="1" xfId="4" applyNumberFormat="1" applyFont="1" applyFill="1" applyBorder="1" applyAlignment="1">
      <alignment horizontal="left" vertical="center"/>
    </xf>
    <xf numFmtId="189" fontId="273" fillId="7" borderId="1" xfId="4" applyNumberFormat="1" applyFont="1" applyFill="1" applyBorder="1" applyAlignment="1">
      <alignment horizontal="right" vertical="center"/>
    </xf>
    <xf numFmtId="181" fontId="273" fillId="7" borderId="1" xfId="4" applyNumberFormat="1" applyFont="1" applyFill="1" applyBorder="1" applyAlignment="1">
      <alignment horizontal="left" vertical="center"/>
    </xf>
    <xf numFmtId="177" fontId="273" fillId="7" borderId="1" xfId="4" applyNumberFormat="1" applyFont="1" applyFill="1" applyBorder="1" applyAlignment="1">
      <alignment horizontal="left" vertical="center"/>
    </xf>
    <xf numFmtId="0" fontId="275" fillId="7" borderId="1" xfId="4" applyFont="1" applyFill="1" applyBorder="1" applyAlignment="1">
      <alignment horizontal="left" vertical="center"/>
    </xf>
    <xf numFmtId="0" fontId="274" fillId="7" borderId="5" xfId="4" applyFont="1" applyFill="1" applyBorder="1" applyAlignment="1">
      <alignment horizontal="left" vertical="center"/>
    </xf>
    <xf numFmtId="0" fontId="274" fillId="7" borderId="3" xfId="4" applyFont="1" applyFill="1" applyBorder="1" applyAlignment="1">
      <alignment horizontal="left" vertical="center"/>
    </xf>
    <xf numFmtId="176" fontId="274" fillId="7" borderId="1" xfId="4" applyNumberFormat="1" applyFont="1" applyFill="1" applyBorder="1" applyAlignment="1">
      <alignment horizontal="left" vertical="center"/>
    </xf>
    <xf numFmtId="197" fontId="56" fillId="7" borderId="1" xfId="4" applyNumberFormat="1" applyFont="1" applyFill="1" applyBorder="1" applyAlignment="1">
      <alignment horizontal="right" vertical="center"/>
    </xf>
    <xf numFmtId="197" fontId="56" fillId="7" borderId="1" xfId="4" applyNumberFormat="1" applyFont="1" applyFill="1" applyBorder="1" applyAlignment="1">
      <alignment horizontal="left" vertical="center"/>
    </xf>
    <xf numFmtId="189" fontId="56" fillId="7" borderId="1" xfId="4" applyNumberFormat="1" applyFont="1" applyFill="1" applyBorder="1" applyAlignment="1">
      <alignment horizontal="left" vertical="center"/>
    </xf>
    <xf numFmtId="179" fontId="55" fillId="5" borderId="1" xfId="1" applyNumberFormat="1" applyFont="1" applyFill="1" applyBorder="1" applyAlignment="1" applyProtection="1">
      <alignment horizontal="center"/>
    </xf>
    <xf numFmtId="0" fontId="19" fillId="3" borderId="0" xfId="0" applyFont="1" applyFill="1" applyAlignment="1" applyProtection="1">
      <alignment vertical="center"/>
      <protection locked="0"/>
    </xf>
    <xf numFmtId="0" fontId="279" fillId="0" borderId="5" xfId="4" applyFont="1" applyBorder="1" applyAlignment="1">
      <alignment horizontal="left" vertical="center"/>
    </xf>
    <xf numFmtId="0" fontId="279" fillId="0" borderId="158" xfId="4" applyFont="1" applyBorder="1" applyAlignment="1">
      <alignment horizontal="left" vertical="center"/>
    </xf>
    <xf numFmtId="0" fontId="279" fillId="0" borderId="3" xfId="4" applyFont="1" applyBorder="1" applyAlignment="1">
      <alignment horizontal="left" vertical="center"/>
    </xf>
    <xf numFmtId="197" fontId="54" fillId="6" borderId="2"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73" fillId="7" borderId="1" xfId="4" applyFont="1" applyFill="1" applyBorder="1" applyAlignment="1">
      <alignment horizontal="left" vertical="center"/>
    </xf>
    <xf numFmtId="0" fontId="3" fillId="7" borderId="1" xfId="4" applyFont="1" applyFill="1" applyBorder="1" applyAlignment="1">
      <alignment horizontal="left" vertical="center"/>
    </xf>
    <xf numFmtId="0" fontId="106" fillId="7" borderId="1" xfId="4" applyFont="1" applyFill="1" applyBorder="1" applyAlignment="1">
      <alignment horizontal="left" vertical="center"/>
    </xf>
    <xf numFmtId="0" fontId="275" fillId="7" borderId="1" xfId="4" applyFont="1" applyFill="1" applyBorder="1" applyAlignment="1">
      <alignment horizontal="left" vertical="center"/>
    </xf>
    <xf numFmtId="0" fontId="274"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142" fillId="7" borderId="5" xfId="4" applyFont="1" applyFill="1" applyBorder="1" applyAlignment="1">
      <alignment horizontal="left" vertical="center" wrapText="1"/>
    </xf>
    <xf numFmtId="0" fontId="106" fillId="7" borderId="3" xfId="4" applyFont="1" applyFill="1" applyBorder="1" applyAlignment="1">
      <alignment horizontal="left" vertical="center" wrapText="1"/>
    </xf>
    <xf numFmtId="0" fontId="275" fillId="7" borderId="5" xfId="4" applyFont="1" applyFill="1" applyBorder="1" applyAlignment="1">
      <alignment horizontal="left" vertical="center"/>
    </xf>
    <xf numFmtId="0" fontId="274" fillId="7" borderId="3"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98" fillId="0" borderId="1" xfId="0" applyFont="1" applyBorder="1" applyAlignment="1">
      <alignment horizontal="left"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60data\&#37325;&#35201;&#25968;&#25454;\&#25105;&#30340;&#25991;&#26723;\WeChat%20Files\wxid_mfmp713cgn6p21\FileStorage\File\2021-1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hyperlink" Target="http://www.gov.cn/shuju/2020-12/03/content_5566877.htm" TargetMode="External"/><Relationship Id="rId1" Type="http://schemas.openxmlformats.org/officeDocument/2006/relationships/hyperlink" Target="https://www.icauto.com.cn/baike/70/70405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1111</v>
      </c>
    </row>
    <row r="21" spans="1:2" s="1365" customFormat="1">
      <c r="A21" s="1363" t="s">
        <v>1202</v>
      </c>
      <c r="B21" s="1364">
        <f ca="1">'预评函-2'!D7</f>
        <v>35424</v>
      </c>
    </row>
    <row r="22" spans="1:2" s="1365" customFormat="1">
      <c r="A22" s="1363" t="s">
        <v>1203</v>
      </c>
      <c r="B22" s="1364" t="str">
        <f ca="1">'预评函-2'!D6</f>
        <v>壹仟壹佰壹拾壹万元整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1111</v>
      </c>
    </row>
    <row r="35" spans="1:2" s="1365" customFormat="1">
      <c r="A35" s="1363" t="s">
        <v>1242</v>
      </c>
      <c r="B35" s="1364">
        <f ca="1">'预评函-2'!D18</f>
        <v>35424</v>
      </c>
    </row>
    <row r="36" spans="1:2" s="1365" customFormat="1">
      <c r="A36" s="1363" t="s">
        <v>1209</v>
      </c>
      <c r="B36" s="1364" t="str">
        <f ca="1">'预评函-2'!D17</f>
        <v>壹仟壹佰壹拾壹万元整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566</v>
      </c>
    </row>
    <row r="48" spans="1:2" s="1365" customFormat="1">
      <c r="A48" s="1363" t="s">
        <v>1214</v>
      </c>
      <c r="B48" s="1364">
        <f ca="1">'预评函-3'!E4</f>
        <v>18031</v>
      </c>
    </row>
    <row r="49" spans="1:2" s="1365" customFormat="1">
      <c r="A49" s="1363" t="s">
        <v>1215</v>
      </c>
      <c r="B49" s="1364" t="str">
        <f ca="1">'预评函-3'!D5</f>
        <v>伍佰陆拾陆万元整</v>
      </c>
    </row>
    <row r="50" spans="1:2" s="1365" customFormat="1">
      <c r="A50" s="1363" t="s">
        <v>1239</v>
      </c>
      <c r="B50" s="1364" t="str">
        <f>'预评函-3'!F2</f>
        <v>在建建筑物价值</v>
      </c>
    </row>
    <row r="51" spans="1:2" s="1365" customFormat="1">
      <c r="A51" s="1363" t="s">
        <v>1216</v>
      </c>
      <c r="B51" s="1364">
        <f ca="1">'预评函-3'!F4</f>
        <v>545</v>
      </c>
    </row>
    <row r="52" spans="1:2" s="1365" customFormat="1">
      <c r="A52" s="1363" t="s">
        <v>1217</v>
      </c>
      <c r="B52" s="1364">
        <f ca="1">'预评函-3'!G4</f>
        <v>17393</v>
      </c>
    </row>
    <row r="53" spans="1:2" s="1365" customFormat="1">
      <c r="A53" s="1363" t="s">
        <v>1245</v>
      </c>
      <c r="B53" s="1364" t="str">
        <f ca="1">'预评函-3'!F5</f>
        <v>伍佰肆拾伍万元整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6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2"/>
      <c r="B54" s="1739" t="s">
        <v>832</v>
      </c>
      <c r="C54" s="1736" t="s">
        <v>1248</v>
      </c>
    </row>
    <row r="55" spans="1:4">
      <c r="A55" s="3762"/>
      <c r="B55" s="1739" t="s">
        <v>833</v>
      </c>
      <c r="C55" s="1736" t="s">
        <v>1249</v>
      </c>
    </row>
    <row r="56" spans="1:4">
      <c r="A56" s="3762"/>
      <c r="B56" s="1739" t="s">
        <v>834</v>
      </c>
      <c r="C56" s="1736" t="s">
        <v>1253</v>
      </c>
    </row>
    <row r="57" spans="1:4">
      <c r="A57" s="376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1" sqref="F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63" t="str">
        <f>IF(B10="北京市","北京市",C10)&amp;F10&amp;IF(结果表!G1="在建","出让国有建设用地使用权及在建建筑物",IF(结果表!G1="土地","出让国有建设用地使用权",))&amp;B9&amp;"预评估"</f>
        <v>房地产市场价值预评估</v>
      </c>
      <c r="C1" s="3764"/>
      <c r="D1" s="3764"/>
      <c r="E1" s="3764"/>
      <c r="F1" s="3764"/>
      <c r="G1" s="3764"/>
      <c r="H1" s="3764"/>
      <c r="I1" s="376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66"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67"/>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73"/>
      <c r="C16" s="3774"/>
      <c r="D16" s="3775"/>
      <c r="E16" s="2639" t="s">
        <v>2941</v>
      </c>
      <c r="F16" s="3776"/>
      <c r="G16" s="3777"/>
      <c r="H16" s="3777"/>
      <c r="I16" s="3778"/>
      <c r="J16" s="2665"/>
      <c r="K16" s="2844"/>
      <c r="L16" s="2677"/>
      <c r="M16" s="2677"/>
      <c r="N16" s="2735"/>
      <c r="O16" s="2677"/>
      <c r="P16" s="2735"/>
      <c r="Q16" s="2665"/>
      <c r="R16" s="2665"/>
    </row>
    <row r="17" spans="1:28">
      <c r="A17" s="319" t="s">
        <v>2942</v>
      </c>
      <c r="B17" s="308" t="s">
        <v>2943</v>
      </c>
      <c r="C17" s="11">
        <f>'数据-汇总表'!E3</f>
        <v>313.63</v>
      </c>
      <c r="D17" s="2545" t="s">
        <v>2944</v>
      </c>
      <c r="E17" s="3779" t="s">
        <v>2945</v>
      </c>
      <c r="F17" s="3780"/>
      <c r="G17" s="3780"/>
      <c r="H17" s="3780"/>
      <c r="I17" s="3781"/>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82" t="s">
        <v>2949</v>
      </c>
      <c r="F18" s="3783"/>
      <c r="G18" s="3783"/>
      <c r="H18" s="3783"/>
      <c r="I18" s="3784"/>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69" t="s">
        <v>2953</v>
      </c>
      <c r="C20" s="3770"/>
      <c r="D20" s="3771" t="s">
        <v>2954</v>
      </c>
      <c r="E20" s="3772"/>
      <c r="F20" s="2874" t="s">
        <v>1742</v>
      </c>
      <c r="G20" s="2891"/>
      <c r="H20" s="2891"/>
      <c r="I20" s="2891"/>
      <c r="J20" s="2665"/>
      <c r="K20" s="3768"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86"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86"/>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86"/>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87"/>
      <c r="B30" s="308" t="s">
        <v>2965</v>
      </c>
      <c r="C30" s="3788"/>
      <c r="D30" s="3789"/>
      <c r="E30" s="2891"/>
      <c r="F30" s="2891"/>
      <c r="G30" s="2891"/>
      <c r="H30" s="2891"/>
      <c r="I30" s="2891"/>
      <c r="J30" s="2665"/>
      <c r="K30" s="2842"/>
      <c r="L30" s="2839"/>
      <c r="M30" s="2839"/>
      <c r="N30" s="2665"/>
      <c r="O30" s="2676"/>
      <c r="P30" s="2665"/>
      <c r="Q30" s="2665"/>
      <c r="R30" s="2665"/>
      <c r="S30" s="2665"/>
      <c r="T30" s="2665"/>
      <c r="U30" s="2665"/>
      <c r="V30" s="2665"/>
    </row>
    <row r="31" spans="1:28">
      <c r="A31" s="3790"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9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9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85" t="s">
        <v>2975</v>
      </c>
      <c r="T34" s="2654" t="str">
        <f>NUMBERSTRING(7-K34,1)&amp;"通"</f>
        <v>七通</v>
      </c>
      <c r="U34" s="2665"/>
      <c r="V34" s="2665"/>
    </row>
    <row r="35" spans="1:30">
      <c r="A35" s="2655"/>
      <c r="B35" s="3792" t="s">
        <v>2976</v>
      </c>
      <c r="C35" s="3792"/>
      <c r="D35" s="3792"/>
      <c r="E35" s="379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85"/>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93" t="s">
        <v>0</v>
      </c>
      <c r="B1" s="3793" t="s">
        <v>4</v>
      </c>
      <c r="C1" s="3793" t="s">
        <v>5</v>
      </c>
      <c r="D1" s="3794" t="s">
        <v>53</v>
      </c>
      <c r="E1" s="3794" t="s">
        <v>54</v>
      </c>
      <c r="F1" s="3794"/>
      <c r="G1" s="3794"/>
      <c r="H1" s="3794"/>
      <c r="I1" s="3794"/>
      <c r="J1" s="3794"/>
      <c r="K1" s="3794"/>
      <c r="L1" s="3794"/>
      <c r="M1" s="3794"/>
    </row>
    <row r="2" spans="1:13" ht="27" customHeight="1">
      <c r="A2" s="3793"/>
      <c r="B2" s="3793"/>
      <c r="C2" s="3793"/>
      <c r="D2" s="3794"/>
      <c r="E2" s="3794" t="s">
        <v>37</v>
      </c>
      <c r="F2" s="3794" t="s">
        <v>38</v>
      </c>
      <c r="G2" s="3794"/>
      <c r="H2" s="3794"/>
      <c r="I2" s="3794"/>
      <c r="J2" s="3794" t="s">
        <v>39</v>
      </c>
      <c r="K2" s="3794"/>
      <c r="L2" s="3794"/>
      <c r="M2" s="3794"/>
    </row>
    <row r="3" spans="1:13" ht="28.5">
      <c r="A3" s="3793"/>
      <c r="B3" s="3793"/>
      <c r="C3" s="3793"/>
      <c r="D3" s="3794"/>
      <c r="E3" s="37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94" t="s">
        <v>55</v>
      </c>
      <c r="B9" s="3794"/>
      <c r="C9" s="37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804" t="s">
        <v>1817</v>
      </c>
      <c r="B2" s="3804"/>
      <c r="C2" s="3804"/>
      <c r="D2" s="904" t="s">
        <v>1793</v>
      </c>
      <c r="E2" s="1824" t="s">
        <v>1794</v>
      </c>
      <c r="F2" s="2886"/>
      <c r="G2" s="2877"/>
      <c r="H2" s="2878"/>
      <c r="I2" s="2548" t="s">
        <v>1818</v>
      </c>
      <c r="J2" s="2886"/>
      <c r="K2" s="2886"/>
      <c r="L2" s="2886"/>
      <c r="M2" s="2886"/>
      <c r="N2" s="2888"/>
      <c r="O2" s="2886"/>
      <c r="P2" s="2886"/>
    </row>
    <row r="3" spans="1:16" ht="15.75" thickBot="1">
      <c r="A3" s="3805" t="s">
        <v>1791</v>
      </c>
      <c r="B3" s="3805"/>
      <c r="C3" s="3805"/>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806"/>
      <c r="B4" s="3807"/>
      <c r="C4" s="3808"/>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809" t="s">
        <v>1796</v>
      </c>
      <c r="C5" s="3809"/>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809" t="s">
        <v>1797</v>
      </c>
      <c r="C6" s="3809"/>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801"/>
      <c r="B7" s="3802"/>
      <c r="C7" s="380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98" t="s">
        <v>1821</v>
      </c>
      <c r="L16" s="3799"/>
      <c r="M16" s="3799"/>
      <c r="N16" s="3799"/>
      <c r="O16" s="3799"/>
      <c r="P16" s="3800"/>
    </row>
    <row r="17" spans="1:19" ht="15">
      <c r="A17" s="1835" t="s">
        <v>1822</v>
      </c>
      <c r="B17" s="1836" t="s">
        <v>1823</v>
      </c>
      <c r="C17" s="1837" t="s">
        <v>1824</v>
      </c>
      <c r="D17" s="1838" t="s">
        <v>1812</v>
      </c>
      <c r="E17" s="1839" t="s">
        <v>1813</v>
      </c>
      <c r="F17" s="1840"/>
      <c r="G17" s="1841"/>
      <c r="H17" s="1842" t="s">
        <v>1825</v>
      </c>
      <c r="I17" s="1843" t="s">
        <v>1810</v>
      </c>
      <c r="J17" s="1301"/>
      <c r="K17" s="3795" t="s">
        <v>1826</v>
      </c>
      <c r="L17" s="3796"/>
      <c r="M17" s="3797"/>
      <c r="N17" s="3795" t="s">
        <v>1827</v>
      </c>
      <c r="O17" s="3796"/>
      <c r="P17" s="379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K12" sqref="AK1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2400</v>
      </c>
      <c r="M6" s="71">
        <f t="shared" ref="M6:M14" si="0">ROUND(K6*L6/10000,0)</f>
        <v>75</v>
      </c>
      <c r="N6" s="740">
        <v>0.82</v>
      </c>
      <c r="O6" s="71" t="str">
        <f>IF($N$5="成新度","——",ROUND(M6*N6,0))</f>
        <v>——</v>
      </c>
      <c r="P6" s="72" t="str">
        <f>IF($N$5="成新度","——",M6-O6)</f>
        <v>——</v>
      </c>
      <c r="Q6" s="743">
        <v>0.15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油品!B61</f>
        <v>474426</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0</v>
      </c>
      <c r="AL6" s="84">
        <v>3.0000000000000001E-3</v>
      </c>
      <c r="AM6" s="85">
        <v>0.02</v>
      </c>
      <c r="AN6" s="1901" t="s">
        <v>3081</v>
      </c>
      <c r="AO6" s="55">
        <f ca="1">SUMIF(INDIRECT("'"&amp;AN6&amp;"'"&amp;"!A:A"),"总价",INDIRECT("'"&amp;AN6&amp;"'"&amp;"!B:B"))</f>
        <v>503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2391</v>
      </c>
      <c r="M16" s="98">
        <f>SUM(M6:M14)</f>
        <v>75</v>
      </c>
      <c r="N16" s="99">
        <f>ROUND(SUMPRODUCT(M6:M14,N6:N14)/M16,3)</f>
        <v>0.82</v>
      </c>
      <c r="O16" s="98">
        <f>SUM(O6:O14)</f>
        <v>0</v>
      </c>
      <c r="P16" s="98">
        <f>SUM(P6:P14)</f>
        <v>0</v>
      </c>
      <c r="Q16" s="100">
        <f>ROUND(SUMPRODUCT(Q6:Q13,K6:K13)/SUMPRODUCT((Q6:Q13&gt;0)*(K6:K13)),2)</f>
        <v>0.15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0.1</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3"/>
  <sheetViews>
    <sheetView topLeftCell="A64" zoomScaleNormal="100" workbookViewId="0">
      <selection activeCell="D48" sqref="D48"/>
    </sheetView>
  </sheetViews>
  <sheetFormatPr defaultColWidth="8.75" defaultRowHeight="13.15" customHeight="1"/>
  <cols>
    <col min="1" max="1" width="8.5" style="3475" customWidth="1"/>
    <col min="2" max="2" width="8.75" style="3475"/>
    <col min="3" max="3" width="12.25" style="3475" customWidth="1"/>
    <col min="4" max="4" width="13.25" style="3475" customWidth="1"/>
    <col min="5"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18802333</v>
      </c>
      <c r="C2" s="3483" t="s">
        <v>1481</v>
      </c>
      <c r="D2" s="3483"/>
      <c r="E2" s="3484"/>
      <c r="F2" s="3485"/>
      <c r="G2" s="3486"/>
      <c r="I2" s="3488"/>
      <c r="J2" s="3826" t="s">
        <v>3431</v>
      </c>
      <c r="K2" s="3827"/>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599506839</v>
      </c>
      <c r="C3" s="3483" t="s">
        <v>1483</v>
      </c>
      <c r="D3" s="3483"/>
      <c r="E3" s="3484"/>
      <c r="F3" s="3485"/>
      <c r="G3" s="3486"/>
      <c r="I3" s="3488"/>
      <c r="J3" s="3828" t="s">
        <v>3440</v>
      </c>
      <c r="K3" s="3829"/>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28" t="s">
        <v>3441</v>
      </c>
      <c r="K4" s="3829"/>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38" t="s">
        <v>3445</v>
      </c>
      <c r="B6" s="3839"/>
      <c r="C6" s="3840"/>
      <c r="D6" s="3508">
        <f>R5</f>
        <v>891000</v>
      </c>
      <c r="E6" s="3509"/>
      <c r="F6" s="3510"/>
      <c r="G6" s="3511"/>
      <c r="I6" s="3488"/>
      <c r="J6" s="3820">
        <v>1</v>
      </c>
      <c r="K6" s="3821"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0.16669712682379351</v>
      </c>
      <c r="F7" s="3519"/>
      <c r="G7" s="3520"/>
      <c r="I7" s="3488"/>
      <c r="J7" s="3820"/>
      <c r="K7" s="3822"/>
      <c r="L7" s="3603" t="s">
        <v>3486</v>
      </c>
      <c r="M7" s="3522"/>
      <c r="N7" s="3498"/>
      <c r="O7" s="3523"/>
      <c r="P7" s="3523"/>
      <c r="Q7" s="3524"/>
      <c r="R7" s="3525">
        <f>'经营性测算 (无租约)'!R7</f>
        <v>591000</v>
      </c>
      <c r="S7" s="3480"/>
      <c r="T7" s="3480" t="s">
        <v>3456</v>
      </c>
      <c r="U7" s="3480"/>
      <c r="V7" s="3488"/>
    </row>
    <row r="8" spans="1:22" ht="13.15" customHeight="1">
      <c r="A8" s="3604" t="s">
        <v>3487</v>
      </c>
      <c r="B8" s="3841" t="s">
        <v>3488</v>
      </c>
      <c r="C8" s="3842"/>
      <c r="D8" s="3605" t="s">
        <v>3489</v>
      </c>
      <c r="E8" s="3606" t="s">
        <v>3490</v>
      </c>
      <c r="F8" s="3607" t="s">
        <v>3491</v>
      </c>
      <c r="G8" s="3608"/>
      <c r="J8" s="3820"/>
      <c r="K8" s="3822"/>
      <c r="L8" s="3609"/>
      <c r="M8" s="3610"/>
      <c r="N8" s="3611"/>
      <c r="O8" s="3612"/>
      <c r="P8" s="3612"/>
      <c r="Q8" s="3613"/>
      <c r="R8" s="3614"/>
      <c r="T8" s="3601" t="s">
        <v>3492</v>
      </c>
    </row>
    <row r="9" spans="1:22" ht="13.15" customHeight="1">
      <c r="A9" s="3604">
        <v>1</v>
      </c>
      <c r="B9" s="3841" t="s">
        <v>3493</v>
      </c>
      <c r="C9" s="3842"/>
      <c r="D9" s="3605">
        <f>ROUND(D6*E9,0)</f>
        <v>3564</v>
      </c>
      <c r="E9" s="3615">
        <v>4.0000000000000001E-3</v>
      </c>
      <c r="F9" s="3616" t="s">
        <v>3494</v>
      </c>
      <c r="G9" s="3617"/>
      <c r="J9" s="3820"/>
      <c r="K9" s="3822"/>
      <c r="L9" s="3609"/>
      <c r="M9" s="3610"/>
      <c r="N9" s="3611"/>
      <c r="O9" s="3612"/>
      <c r="P9" s="3612"/>
      <c r="Q9" s="3613"/>
      <c r="R9" s="3614"/>
    </row>
    <row r="10" spans="1:22" ht="13.15" customHeight="1">
      <c r="A10" s="3604">
        <v>2</v>
      </c>
      <c r="B10" s="3841" t="s">
        <v>3495</v>
      </c>
      <c r="C10" s="3842"/>
      <c r="D10" s="3605">
        <f>'经营性测算 (无租约)'!D10</f>
        <v>120000</v>
      </c>
      <c r="E10" s="3618"/>
      <c r="F10" s="3616" t="s">
        <v>3496</v>
      </c>
      <c r="G10" s="3617"/>
      <c r="J10" s="3820"/>
      <c r="K10" s="3822"/>
      <c r="L10" s="3609"/>
      <c r="M10" s="3610"/>
      <c r="N10" s="3611"/>
      <c r="O10" s="3612"/>
      <c r="P10" s="3612"/>
      <c r="Q10" s="3613"/>
      <c r="R10" s="3614"/>
    </row>
    <row r="11" spans="1:22" ht="13.15" customHeight="1">
      <c r="A11" s="3604">
        <v>3</v>
      </c>
      <c r="B11" s="3841" t="s">
        <v>3497</v>
      </c>
      <c r="C11" s="3842"/>
      <c r="D11" s="3605">
        <f ca="1">D12+D14+D15+D16</f>
        <v>144963.14000000001</v>
      </c>
      <c r="E11" s="3619">
        <f ca="1">D11/D6</f>
        <v>0.1626971268237935</v>
      </c>
      <c r="F11" s="3607"/>
      <c r="G11" s="3608"/>
      <c r="J11" s="3820"/>
      <c r="K11" s="3822"/>
      <c r="L11" s="3609"/>
      <c r="M11" s="3610"/>
      <c r="N11" s="3611"/>
      <c r="O11" s="3612"/>
      <c r="P11" s="3612"/>
      <c r="Q11" s="3613"/>
      <c r="R11" s="3614"/>
    </row>
    <row r="12" spans="1:22" ht="13.15" customHeight="1">
      <c r="A12" s="3620" t="s">
        <v>3498</v>
      </c>
      <c r="B12" s="3830" t="s">
        <v>3499</v>
      </c>
      <c r="C12" s="3831"/>
      <c r="D12" s="3621">
        <f ca="1">ROUND(D13*1.2%*(1-30%),0)</f>
        <v>17220</v>
      </c>
      <c r="E12" s="3622">
        <v>1.2E-2</v>
      </c>
      <c r="F12" s="3607" t="s">
        <v>3500</v>
      </c>
      <c r="G12" s="3608"/>
      <c r="J12" s="3820"/>
      <c r="K12" s="3822"/>
      <c r="L12" s="3609"/>
      <c r="M12" s="3610"/>
      <c r="N12" s="3611"/>
      <c r="O12" s="3612"/>
      <c r="P12" s="3612"/>
      <c r="Q12" s="3613"/>
      <c r="R12" s="3614"/>
    </row>
    <row r="13" spans="1:22" ht="13.15" customHeight="1">
      <c r="A13" s="3620"/>
      <c r="B13" s="3623"/>
      <c r="C13" s="3624" t="s">
        <v>3458</v>
      </c>
      <c r="D13" s="3625">
        <f ca="1">收益法!C29*10000</f>
        <v>2050000</v>
      </c>
      <c r="E13" s="3626"/>
      <c r="F13" s="3607"/>
      <c r="G13" s="3608"/>
      <c r="J13" s="3820"/>
      <c r="K13" s="3822"/>
      <c r="L13" s="3609"/>
      <c r="M13" s="3610"/>
      <c r="N13" s="3611"/>
      <c r="O13" s="3612"/>
      <c r="P13" s="3612"/>
      <c r="Q13" s="3613"/>
      <c r="R13" s="3614"/>
    </row>
    <row r="14" spans="1:22" ht="13.15" customHeight="1">
      <c r="A14" s="3620" t="s">
        <v>3501</v>
      </c>
      <c r="B14" s="3830" t="s">
        <v>3502</v>
      </c>
      <c r="C14" s="3831"/>
      <c r="D14" s="3621">
        <f ca="1">收益法!F34*收益法!F35</f>
        <v>12982.14</v>
      </c>
      <c r="E14" s="3613"/>
      <c r="F14" s="3607" t="s">
        <v>3503</v>
      </c>
      <c r="G14" s="3608"/>
      <c r="J14" s="3820"/>
      <c r="K14" s="3823"/>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30" t="s">
        <v>3506</v>
      </c>
      <c r="C15" s="3831"/>
      <c r="D15" s="3621">
        <f>ROUND(D6*E15,0)</f>
        <v>114761</v>
      </c>
      <c r="E15" s="3622">
        <v>0.1288</v>
      </c>
      <c r="F15" s="3607" t="s">
        <v>3507</v>
      </c>
      <c r="G15" s="3617"/>
      <c r="J15" s="3832">
        <v>2</v>
      </c>
      <c r="K15" s="3833" t="s">
        <v>3508</v>
      </c>
      <c r="L15" s="3609" t="s">
        <v>3509</v>
      </c>
      <c r="M15" s="3610" t="s">
        <v>3510</v>
      </c>
      <c r="N15" s="3610" t="s">
        <v>3511</v>
      </c>
      <c r="O15" s="3612" t="s">
        <v>3512</v>
      </c>
      <c r="P15" s="3612" t="s">
        <v>3513</v>
      </c>
      <c r="Q15" s="3611" t="s">
        <v>1</v>
      </c>
      <c r="R15" s="3631" t="s">
        <v>3514</v>
      </c>
    </row>
    <row r="16" spans="1:22" ht="13.15" customHeight="1">
      <c r="A16" s="3620" t="s">
        <v>3515</v>
      </c>
      <c r="B16" s="3830" t="s">
        <v>3516</v>
      </c>
      <c r="C16" s="3831"/>
      <c r="D16" s="3632">
        <f>D6*E16</f>
        <v>0</v>
      </c>
      <c r="E16" s="3633"/>
      <c r="F16" s="3616" t="s">
        <v>3517</v>
      </c>
      <c r="G16" s="3617"/>
      <c r="J16" s="3832"/>
      <c r="K16" s="3834"/>
      <c r="L16" s="3609" t="s">
        <v>3518</v>
      </c>
      <c r="M16" s="3610">
        <v>100</v>
      </c>
      <c r="N16" s="3610">
        <v>100</v>
      </c>
      <c r="O16" s="3612">
        <v>1.2</v>
      </c>
      <c r="P16" s="3613">
        <v>365</v>
      </c>
      <c r="Q16" s="3611"/>
      <c r="R16" s="3631"/>
    </row>
    <row r="17" spans="1:22" ht="13.15" customHeight="1" thickBot="1">
      <c r="A17" s="3634">
        <v>4</v>
      </c>
      <c r="B17" s="3836" t="s">
        <v>3519</v>
      </c>
      <c r="C17" s="3837"/>
      <c r="D17" s="3635">
        <f>ROUND(D6*E17,0)</f>
        <v>0</v>
      </c>
      <c r="E17" s="3636"/>
      <c r="F17" s="3637" t="s">
        <v>3520</v>
      </c>
      <c r="G17" s="3617"/>
      <c r="J17" s="3832"/>
      <c r="K17" s="3834"/>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f>'经营性测算 (无租约)'!E18</f>
        <v>0.3</v>
      </c>
      <c r="F18" s="3642" t="s">
        <v>3523</v>
      </c>
      <c r="G18" s="3617"/>
      <c r="J18" s="3832"/>
      <c r="K18" s="3834"/>
      <c r="L18" s="3609" t="s">
        <v>3524</v>
      </c>
      <c r="M18" s="3610"/>
      <c r="N18" s="3610"/>
      <c r="O18" s="3612"/>
      <c r="P18" s="3613">
        <v>365</v>
      </c>
      <c r="Q18" s="3611"/>
      <c r="R18" s="3631"/>
    </row>
    <row r="19" spans="1:22" ht="13.15" customHeight="1" thickBot="1">
      <c r="A19" s="3643" t="s">
        <v>3525</v>
      </c>
      <c r="B19" s="3644"/>
      <c r="C19" s="3644"/>
      <c r="D19" s="3644"/>
      <c r="E19" s="3644"/>
      <c r="F19" s="3645"/>
      <c r="G19" s="3608"/>
      <c r="J19" s="3832"/>
      <c r="K19" s="3835"/>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20">
        <v>3</v>
      </c>
      <c r="K20" s="3821" t="s">
        <v>3461</v>
      </c>
      <c r="L20" s="3609" t="s">
        <v>3527</v>
      </c>
      <c r="M20" s="3610" t="s">
        <v>3528</v>
      </c>
      <c r="N20" s="3649" t="s">
        <v>3529</v>
      </c>
      <c r="O20" s="3612" t="s">
        <v>3530</v>
      </c>
      <c r="P20" s="3613" t="s">
        <v>3513</v>
      </c>
      <c r="Q20" s="3611" t="s">
        <v>1</v>
      </c>
      <c r="R20" s="3631" t="s">
        <v>3514</v>
      </c>
    </row>
    <row r="21" spans="1:22" ht="13.15" customHeight="1">
      <c r="A21" s="3638"/>
      <c r="B21" s="3639"/>
      <c r="C21" s="3650" t="s">
        <v>3531</v>
      </c>
      <c r="D21" s="3651" t="s">
        <v>3532</v>
      </c>
      <c r="E21" s="3652" t="s">
        <v>3533</v>
      </c>
      <c r="F21" s="3648"/>
      <c r="G21" s="3608"/>
      <c r="J21" s="3820"/>
      <c r="K21" s="3822"/>
      <c r="L21" s="3609" t="s">
        <v>3534</v>
      </c>
      <c r="M21" s="3610">
        <v>2</v>
      </c>
      <c r="N21" s="3610">
        <v>3000</v>
      </c>
      <c r="O21" s="3612">
        <v>0.3</v>
      </c>
      <c r="P21" s="3613">
        <v>365</v>
      </c>
      <c r="Q21" s="3611"/>
      <c r="R21" s="3653"/>
    </row>
    <row r="22" spans="1:22" ht="13.15" customHeight="1">
      <c r="A22" s="3638"/>
      <c r="B22" s="3639"/>
      <c r="C22" s="3716" t="s">
        <v>3615</v>
      </c>
      <c r="D22" s="3717" t="s">
        <v>3616</v>
      </c>
      <c r="E22" s="3718" t="s">
        <v>3617</v>
      </c>
      <c r="F22" s="3648"/>
      <c r="G22" s="3601"/>
      <c r="J22" s="3820"/>
      <c r="K22" s="3822"/>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20"/>
      <c r="K23" s="3822"/>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20"/>
      <c r="K24" s="3823"/>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3463</v>
      </c>
      <c r="L25" s="3552"/>
      <c r="M25" s="3552"/>
      <c r="N25" s="3552"/>
      <c r="O25" s="3552"/>
      <c r="P25" s="3553"/>
      <c r="Q25" s="3554"/>
      <c r="R25" s="3536">
        <f>'经营性测算 (无租约)'!R25</f>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24">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0.16669712682379351</v>
      </c>
      <c r="D27" s="3547"/>
      <c r="E27" s="3548"/>
      <c r="F27" s="3549"/>
      <c r="G27" s="3543"/>
      <c r="H27" s="3556"/>
      <c r="I27" s="3555"/>
      <c r="J27" s="3825"/>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D91*10000</f>
        <v>630000</v>
      </c>
      <c r="D32" s="3540">
        <f ca="1">+C32</f>
        <v>630000</v>
      </c>
      <c r="E32" s="3541">
        <f ca="1">+D32</f>
        <v>630000</v>
      </c>
      <c r="F32" s="3542"/>
      <c r="G32" s="3480"/>
      <c r="H32" s="3487"/>
      <c r="I32" s="3488"/>
      <c r="J32" s="3826" t="s">
        <v>3431</v>
      </c>
      <c r="K32" s="3827"/>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28" t="s">
        <v>3440</v>
      </c>
      <c r="K33" s="3829"/>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f>'经营性测算 (无租约)'!C34</f>
        <v>7.0000000000000007E-2</v>
      </c>
      <c r="D34" s="3581">
        <f>+C34</f>
        <v>7.0000000000000007E-2</v>
      </c>
      <c r="E34" s="3581">
        <f>+D34</f>
        <v>7.0000000000000007E-2</v>
      </c>
      <c r="F34" s="3542"/>
      <c r="G34" s="3480"/>
      <c r="H34" s="3556"/>
      <c r="I34" s="3555"/>
      <c r="J34" s="3828" t="s">
        <v>3441</v>
      </c>
      <c r="K34" s="3829"/>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f>'经营性测算 (无租约)'!C35</f>
        <v>0</v>
      </c>
      <c r="D35" s="3585">
        <f>+C35</f>
        <v>0</v>
      </c>
      <c r="E35" s="3585">
        <f>+D35</f>
        <v>0</v>
      </c>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f ca="1">40-收益法!F41</f>
        <v>35.86</v>
      </c>
      <c r="D36" s="3590">
        <f ca="1">收益法!F41</f>
        <v>4.1399999999999997</v>
      </c>
      <c r="E36" s="3590">
        <f ca="1">C36+D36</f>
        <v>40</v>
      </c>
      <c r="F36" s="3592"/>
      <c r="G36" s="3480"/>
      <c r="I36" s="3488"/>
      <c r="J36" s="3820">
        <v>1</v>
      </c>
      <c r="K36" s="3821"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20"/>
      <c r="K37" s="3822"/>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8204683</v>
      </c>
      <c r="D38" s="3526">
        <f ca="1">ROUND(D32*(1-((1+D35)/(1+D34))^D36)/(D34-D35),0)</f>
        <v>2198673</v>
      </c>
      <c r="E38" s="3526">
        <f ca="1">ROUND(E32*(1-((1+E35)/(1+E34))^E36)/(E34-E35),0)</f>
        <v>8398977</v>
      </c>
      <c r="F38" s="3542"/>
      <c r="G38" s="3480"/>
      <c r="I38" s="3488"/>
      <c r="J38" s="3820"/>
      <c r="K38" s="3822"/>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8204683</v>
      </c>
      <c r="D39" s="3529">
        <f ca="1">D38</f>
        <v>2198673</v>
      </c>
      <c r="E39" s="3529">
        <f ca="1">E38</f>
        <v>8398977</v>
      </c>
      <c r="F39" s="3542"/>
      <c r="G39" s="3488"/>
      <c r="I39" s="3488"/>
      <c r="J39" s="3820"/>
      <c r="K39" s="3822"/>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18802333</v>
      </c>
      <c r="D40" s="3594">
        <f ca="1">D39+E39+F39</f>
        <v>10597650</v>
      </c>
      <c r="E40" s="3594">
        <f ca="1">E39+F39+G39</f>
        <v>8398977</v>
      </c>
      <c r="F40" s="3596"/>
      <c r="G40" s="3480"/>
      <c r="I40" s="3488"/>
      <c r="J40" s="3820"/>
      <c r="K40" s="3823"/>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59951</v>
      </c>
      <c r="D41" s="3598"/>
      <c r="E41" s="3598"/>
      <c r="F41" s="3600"/>
      <c r="I41" s="3488"/>
      <c r="J41" s="3550">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24">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25"/>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3610</v>
      </c>
      <c r="D45" s="3475" t="s">
        <v>3614</v>
      </c>
    </row>
    <row r="46" spans="1:23" ht="13.15" customHeight="1">
      <c r="B46" s="3475">
        <f ca="1">结果表!C19+15</f>
        <v>357</v>
      </c>
      <c r="C46" s="3475">
        <f ca="1">ROUND((C38/10000)/(1+7%)^4.14,0)</f>
        <v>620</v>
      </c>
      <c r="D46" s="3683">
        <f ca="1">D38/10000-收益法!C40</f>
        <v>79.8673</v>
      </c>
    </row>
    <row r="47" spans="1:23" ht="13.15" customHeight="1">
      <c r="C47" s="3475">
        <f ca="1">收益法!C40</f>
        <v>140</v>
      </c>
    </row>
    <row r="48" spans="1:23" ht="13.15" customHeight="1">
      <c r="C48" s="3475">
        <f ca="1">ROUND(SUM(C46:C47),0)</f>
        <v>760</v>
      </c>
      <c r="D48" s="3475">
        <f ca="1">ROUND((D91-收益法!C39)*(1-((1+C35)/(1+C34))^D36)/(C34-C35),0)</f>
        <v>80</v>
      </c>
    </row>
    <row r="49" spans="3:12" ht="13.15" customHeight="1">
      <c r="C49" s="3683">
        <f ca="1">C48/B4*10000</f>
        <v>24232.375729362622</v>
      </c>
    </row>
    <row r="54" spans="3:12" ht="13.15" customHeight="1">
      <c r="H54" s="3475">
        <v>1324</v>
      </c>
      <c r="I54" s="3476">
        <v>6.72</v>
      </c>
      <c r="J54" s="3601">
        <f>I54*H54</f>
        <v>8897.2799999999988</v>
      </c>
      <c r="L54" s="3601">
        <v>450</v>
      </c>
    </row>
    <row r="55" spans="3:12" ht="13.15" customHeight="1">
      <c r="D55" s="3475" t="s">
        <v>3577</v>
      </c>
      <c r="E55" s="3475" t="s">
        <v>3574</v>
      </c>
      <c r="F55" s="3688">
        <f>((8900+9380)/2*L54+7295*L55)*(1-0.4%)/10000</f>
        <v>1426.8696</v>
      </c>
      <c r="H55" s="3475">
        <v>1294</v>
      </c>
      <c r="I55" s="3476">
        <v>7.25</v>
      </c>
      <c r="J55" s="3601">
        <f>I55*H55</f>
        <v>9381.5</v>
      </c>
      <c r="L55" s="3601">
        <v>1400</v>
      </c>
    </row>
    <row r="56" spans="3:12" ht="13.15" customHeight="1">
      <c r="E56" s="3475" t="s">
        <v>3575</v>
      </c>
      <c r="F56" s="3685">
        <f>3*12</f>
        <v>36</v>
      </c>
      <c r="I56" s="3476">
        <v>6.31</v>
      </c>
      <c r="J56" s="3601">
        <v>7295</v>
      </c>
    </row>
    <row r="57" spans="3:12" ht="13.15" customHeight="1">
      <c r="E57" s="3475" t="s">
        <v>3576</v>
      </c>
      <c r="F57" s="3683">
        <f>SUM(F55:F56)</f>
        <v>1462.8696</v>
      </c>
    </row>
    <row r="58" spans="3:12" ht="13.15" customHeight="1">
      <c r="D58" s="3475" t="s">
        <v>3578</v>
      </c>
      <c r="E58" s="3475" t="s">
        <v>3579</v>
      </c>
      <c r="F58" s="3684">
        <f>ROUND((L54*J58+L55*J59)/10000,0)</f>
        <v>1252</v>
      </c>
      <c r="J58" s="3601">
        <v>7900</v>
      </c>
      <c r="K58" s="3601">
        <f>J58/(J54/2+J55/2)</f>
        <v>0.86439029300642611</v>
      </c>
    </row>
    <row r="59" spans="3:12" ht="13.15" customHeight="1">
      <c r="F59" s="3684">
        <f>2.5*12</f>
        <v>30</v>
      </c>
      <c r="J59" s="3601">
        <v>6400</v>
      </c>
      <c r="K59" s="3601">
        <f>J59/J56</f>
        <v>0.87731322823851954</v>
      </c>
    </row>
    <row r="60" spans="3:12" ht="13.15" customHeight="1">
      <c r="D60" s="3475" t="s">
        <v>3580</v>
      </c>
      <c r="E60" s="3475" t="s">
        <v>3581</v>
      </c>
      <c r="F60" s="3681">
        <f ca="1">SUM(F61:F66)</f>
        <v>86.804967929203542</v>
      </c>
      <c r="J60" s="3475"/>
    </row>
    <row r="61" spans="3:12" ht="13.15" customHeight="1">
      <c r="E61" s="3475" t="s">
        <v>3582</v>
      </c>
      <c r="F61" s="3685">
        <f>5*12</f>
        <v>60</v>
      </c>
    </row>
    <row r="62" spans="3:12" ht="13.15" customHeight="1">
      <c r="E62" s="3475" t="s">
        <v>3583</v>
      </c>
      <c r="F62" s="3686">
        <f ca="1">收益法!C36</f>
        <v>0</v>
      </c>
    </row>
    <row r="63" spans="3:12" ht="13.15" customHeight="1">
      <c r="E63" s="3475" t="s">
        <v>3584</v>
      </c>
      <c r="F63" s="3687">
        <f ca="1">收益法!C37</f>
        <v>0.5</v>
      </c>
    </row>
    <row r="64" spans="3:12" ht="13.15" customHeight="1">
      <c r="E64" s="3475" t="s">
        <v>3585</v>
      </c>
      <c r="F64" s="3687">
        <f ca="1">+ROUND(D13/10000*1.2%*(1-30%),1)</f>
        <v>1.7</v>
      </c>
    </row>
    <row r="65" spans="1:6" ht="13.15" customHeight="1">
      <c r="E65" s="3475" t="s">
        <v>3586</v>
      </c>
      <c r="F65" s="3687">
        <f ca="1">收益法!C34</f>
        <v>1.3</v>
      </c>
    </row>
    <row r="66" spans="1:6" ht="13.15" customHeight="1">
      <c r="E66" s="3475" t="s">
        <v>3587</v>
      </c>
      <c r="F66" s="3681">
        <f>(F55+F56-F58-F59)/1.13*(0.13*1.12)</f>
        <v>23.304967929203542</v>
      </c>
    </row>
    <row r="67" spans="1:6" ht="13.15" customHeight="1">
      <c r="D67" s="3475" t="s">
        <v>3588</v>
      </c>
      <c r="E67" s="3475" t="s">
        <v>3589</v>
      </c>
      <c r="F67" s="3683">
        <f ca="1">F57-F58-F60-F59</f>
        <v>94.064632070796449</v>
      </c>
    </row>
    <row r="68" spans="1:6" ht="13.15" customHeight="1">
      <c r="D68" s="3475" t="s">
        <v>3590</v>
      </c>
      <c r="E68" s="3475" t="s">
        <v>3591</v>
      </c>
      <c r="F68" s="3689">
        <v>0.3</v>
      </c>
    </row>
    <row r="69" spans="1:6" ht="13.15" customHeight="1">
      <c r="D69" s="3475" t="s">
        <v>3592</v>
      </c>
      <c r="E69" s="3475" t="s">
        <v>3593</v>
      </c>
      <c r="F69" s="3682">
        <f ca="1">F67*(1-F68)</f>
        <v>65.845242449557517</v>
      </c>
    </row>
    <row r="75" spans="1:6" ht="13.15" customHeight="1">
      <c r="A75" s="3812" t="s">
        <v>3445</v>
      </c>
      <c r="B75" s="3812"/>
      <c r="C75" s="3812"/>
      <c r="D75" s="3712">
        <f>SUM(D76:D77)</f>
        <v>1462.8696</v>
      </c>
      <c r="E75" s="3690"/>
      <c r="F75" s="3690"/>
    </row>
    <row r="76" spans="1:6" ht="13.15" customHeight="1">
      <c r="A76" s="3691">
        <v>1</v>
      </c>
      <c r="B76" s="3813" t="s">
        <v>3596</v>
      </c>
      <c r="C76" s="3814"/>
      <c r="D76" s="3711">
        <f>F55</f>
        <v>1426.8696</v>
      </c>
      <c r="E76" s="3690"/>
      <c r="F76" s="3690"/>
    </row>
    <row r="77" spans="1:6" ht="13.15" customHeight="1">
      <c r="A77" s="3691">
        <v>2</v>
      </c>
      <c r="B77" s="3813" t="s">
        <v>3597</v>
      </c>
      <c r="C77" s="3814"/>
      <c r="D77" s="3711">
        <f>F56</f>
        <v>36</v>
      </c>
      <c r="E77" s="3690"/>
      <c r="F77" s="3690"/>
    </row>
    <row r="78" spans="1:6" ht="13.15" customHeight="1">
      <c r="A78" s="3815" t="s">
        <v>3594</v>
      </c>
      <c r="B78" s="3815"/>
      <c r="C78" s="3815"/>
      <c r="D78" s="3712">
        <f>SUM(D79:D80)</f>
        <v>1282</v>
      </c>
      <c r="E78" s="3690"/>
      <c r="F78" s="3690"/>
    </row>
    <row r="79" spans="1:6" ht="13.15" customHeight="1">
      <c r="A79" s="3692">
        <v>1</v>
      </c>
      <c r="B79" s="3816" t="s">
        <v>3598</v>
      </c>
      <c r="C79" s="3817"/>
      <c r="D79" s="3711">
        <f>F58</f>
        <v>1252</v>
      </c>
      <c r="E79" s="3690"/>
      <c r="F79" s="3690"/>
    </row>
    <row r="80" spans="1:6" ht="13.15" customHeight="1">
      <c r="A80" s="3692">
        <v>2</v>
      </c>
      <c r="B80" s="3816" t="s">
        <v>3599</v>
      </c>
      <c r="C80" s="3817"/>
      <c r="D80" s="3711">
        <f>F59</f>
        <v>30</v>
      </c>
      <c r="E80" s="3690"/>
      <c r="F80" s="3690"/>
    </row>
    <row r="81" spans="1:6" ht="13.15" customHeight="1">
      <c r="A81" s="3693" t="s">
        <v>3595</v>
      </c>
      <c r="B81" s="3694"/>
      <c r="C81" s="3695"/>
      <c r="D81" s="3713">
        <f ca="1">SUM(D82:D85)</f>
        <v>90.926967929203528</v>
      </c>
      <c r="E81" s="3697"/>
      <c r="F81" s="3696"/>
    </row>
    <row r="82" spans="1:6" ht="13.15" customHeight="1">
      <c r="A82" s="3698">
        <v>1</v>
      </c>
      <c r="B82" s="3813" t="s">
        <v>3600</v>
      </c>
      <c r="C82" s="3814"/>
      <c r="D82" s="3701">
        <f>F61</f>
        <v>60</v>
      </c>
      <c r="E82" s="3699" t="s">
        <v>3613</v>
      </c>
      <c r="F82" s="3700" t="s">
        <v>3602</v>
      </c>
    </row>
    <row r="83" spans="1:6" ht="13.15" customHeight="1">
      <c r="A83" s="3698">
        <v>2</v>
      </c>
      <c r="B83" s="3813" t="s">
        <v>3601</v>
      </c>
      <c r="C83" s="3814"/>
      <c r="D83" s="3701">
        <f ca="1">收益法!C29*E83</f>
        <v>4.0999999999999996</v>
      </c>
      <c r="E83" s="3699">
        <v>0.02</v>
      </c>
      <c r="F83" s="3700" t="s">
        <v>3603</v>
      </c>
    </row>
    <row r="84" spans="1:6" ht="13.15" customHeight="1">
      <c r="A84" s="3698">
        <v>3</v>
      </c>
      <c r="B84" s="3818" t="s">
        <v>3584</v>
      </c>
      <c r="C84" s="3819"/>
      <c r="D84" s="3710">
        <f ca="1">F63</f>
        <v>0.5</v>
      </c>
      <c r="E84" s="3699">
        <f ca="1">收益法!F37</f>
        <v>3.0000000000000001E-3</v>
      </c>
      <c r="F84" s="3702"/>
    </row>
    <row r="85" spans="1:6" ht="13.15" customHeight="1">
      <c r="A85" s="3698">
        <v>4</v>
      </c>
      <c r="B85" s="3814" t="s">
        <v>3497</v>
      </c>
      <c r="C85" s="3814"/>
      <c r="D85" s="3701">
        <f ca="1">D86+D87+D88</f>
        <v>26.326967929203541</v>
      </c>
      <c r="E85" s="3699">
        <f ca="1">D85/D75</f>
        <v>1.7996797478875452E-2</v>
      </c>
      <c r="F85" s="3698"/>
    </row>
    <row r="86" spans="1:6" ht="13.15" customHeight="1">
      <c r="A86" s="3703" t="s">
        <v>3498</v>
      </c>
      <c r="B86" s="3810" t="s">
        <v>3499</v>
      </c>
      <c r="C86" s="3810"/>
      <c r="D86" s="3704">
        <f ca="1">D12/10000</f>
        <v>1.722</v>
      </c>
      <c r="E86" s="3705">
        <v>1.2E-2</v>
      </c>
      <c r="F86" s="3698" t="s">
        <v>3500</v>
      </c>
    </row>
    <row r="87" spans="1:6" ht="13.15" customHeight="1">
      <c r="A87" s="3703" t="s">
        <v>3501</v>
      </c>
      <c r="B87" s="3810" t="s">
        <v>3502</v>
      </c>
      <c r="C87" s="3810"/>
      <c r="D87" s="3704">
        <f ca="1">F65</f>
        <v>1.3</v>
      </c>
      <c r="E87" s="3706"/>
      <c r="F87" s="3698" t="s">
        <v>3503</v>
      </c>
    </row>
    <row r="88" spans="1:6" ht="12.75" customHeight="1">
      <c r="A88" s="3703" t="s">
        <v>3505</v>
      </c>
      <c r="B88" s="3811" t="s">
        <v>3607</v>
      </c>
      <c r="C88" s="3810"/>
      <c r="D88" s="3704">
        <f>(D75-D78)/1.13*(0.13*1.12)</f>
        <v>23.304967929203542</v>
      </c>
      <c r="E88" s="3705"/>
      <c r="F88" s="3698" t="s">
        <v>3608</v>
      </c>
    </row>
    <row r="89" spans="1:6" ht="12.75" customHeight="1">
      <c r="A89" s="3707" t="s">
        <v>3604</v>
      </c>
      <c r="B89" s="3708"/>
      <c r="C89" s="3709"/>
      <c r="D89" s="3701">
        <f ca="1">ROUND(D75-D78-D81,0)</f>
        <v>90</v>
      </c>
      <c r="E89" s="3705"/>
      <c r="F89" s="3698"/>
    </row>
    <row r="90" spans="1:6" ht="12.75" customHeight="1">
      <c r="A90" s="3707" t="s">
        <v>3605</v>
      </c>
      <c r="B90" s="3708"/>
      <c r="C90" s="3709"/>
      <c r="D90" s="3701">
        <f ca="1">D89*E90</f>
        <v>27</v>
      </c>
      <c r="E90" s="3705">
        <f>E18</f>
        <v>0.3</v>
      </c>
      <c r="F90" s="3707" t="s">
        <v>3618</v>
      </c>
    </row>
    <row r="91" spans="1:6" ht="13.15" customHeight="1">
      <c r="A91" s="3707" t="s">
        <v>3606</v>
      </c>
      <c r="B91" s="3708"/>
      <c r="C91" s="3709"/>
      <c r="D91" s="3701">
        <f ca="1">ROUND(D89-D90,1)</f>
        <v>63</v>
      </c>
      <c r="E91" s="3699"/>
      <c r="F91" s="3702"/>
    </row>
    <row r="92" spans="1:6" ht="13.15" customHeight="1">
      <c r="D92" s="3689">
        <v>7.0000000000000007E-2</v>
      </c>
      <c r="E92" s="3475">
        <v>40</v>
      </c>
    </row>
    <row r="93" spans="1:6" ht="13.15" customHeight="1">
      <c r="D93" s="3683">
        <f ca="1">(D91/D92)*(1-1/(1+D92)^E92)</f>
        <v>839.89765708621712</v>
      </c>
    </row>
  </sheetData>
  <mergeCells count="39">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 ref="B86:C86"/>
    <mergeCell ref="B87:C87"/>
    <mergeCell ref="B88:C88"/>
    <mergeCell ref="A75:C75"/>
    <mergeCell ref="B82:C82"/>
    <mergeCell ref="B83:C83"/>
    <mergeCell ref="B85:C85"/>
    <mergeCell ref="A78:C78"/>
    <mergeCell ref="B76:C76"/>
    <mergeCell ref="B77:C77"/>
    <mergeCell ref="B79:C79"/>
    <mergeCell ref="B80:C80"/>
    <mergeCell ref="B84:C8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xr:uid="{00000000-0002-0000-0F00-000001000000}">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topLeftCell="A25" zoomScale="110" zoomScaleNormal="110" workbookViewId="0">
      <selection activeCell="D18" sqref="D18"/>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8398977</v>
      </c>
      <c r="C2" s="3483" t="s">
        <v>1481</v>
      </c>
      <c r="D2" s="3483"/>
      <c r="E2" s="3484"/>
      <c r="F2" s="3485"/>
      <c r="G2" s="3486"/>
      <c r="I2" s="3488"/>
      <c r="J2" s="3826" t="s">
        <v>3431</v>
      </c>
      <c r="K2" s="3827"/>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267798903</v>
      </c>
      <c r="C3" s="3483" t="s">
        <v>1483</v>
      </c>
      <c r="D3" s="3483"/>
      <c r="E3" s="3484"/>
      <c r="F3" s="3485"/>
      <c r="G3" s="3486"/>
      <c r="I3" s="3488"/>
      <c r="J3" s="3828" t="s">
        <v>3440</v>
      </c>
      <c r="K3" s="3829"/>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28" t="s">
        <v>3441</v>
      </c>
      <c r="K4" s="3829"/>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38" t="s">
        <v>3445</v>
      </c>
      <c r="B6" s="3839"/>
      <c r="C6" s="3840"/>
      <c r="D6" s="3508">
        <f>R5</f>
        <v>891000</v>
      </c>
      <c r="E6" s="3509"/>
      <c r="F6" s="3510"/>
      <c r="G6" s="3511"/>
      <c r="I6" s="3488"/>
      <c r="J6" s="3820">
        <v>1</v>
      </c>
      <c r="K6" s="3821"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1.1666971268237936</v>
      </c>
      <c r="F7" s="3519"/>
      <c r="G7" s="3520"/>
      <c r="I7" s="3488"/>
      <c r="J7" s="3820"/>
      <c r="K7" s="3822"/>
      <c r="L7" s="3603" t="s">
        <v>3486</v>
      </c>
      <c r="M7" s="3522"/>
      <c r="N7" s="3498"/>
      <c r="O7" s="3523"/>
      <c r="P7" s="3523"/>
      <c r="Q7" s="3524"/>
      <c r="R7" s="3525">
        <f>油品!M30</f>
        <v>591000</v>
      </c>
      <c r="S7" s="3480"/>
      <c r="T7" s="3480" t="s">
        <v>3456</v>
      </c>
      <c r="U7" s="3480"/>
      <c r="V7" s="3488"/>
    </row>
    <row r="8" spans="1:22" ht="13.15" customHeight="1">
      <c r="A8" s="3604" t="s">
        <v>3487</v>
      </c>
      <c r="B8" s="3841" t="s">
        <v>3488</v>
      </c>
      <c r="C8" s="3842"/>
      <c r="D8" s="3605" t="s">
        <v>3489</v>
      </c>
      <c r="E8" s="3606" t="s">
        <v>3490</v>
      </c>
      <c r="F8" s="3607" t="s">
        <v>3491</v>
      </c>
      <c r="G8" s="3608"/>
      <c r="J8" s="3820"/>
      <c r="K8" s="3822"/>
      <c r="L8" s="3609"/>
      <c r="M8" s="3610"/>
      <c r="N8" s="3611"/>
      <c r="O8" s="3612"/>
      <c r="P8" s="3612"/>
      <c r="Q8" s="3613"/>
      <c r="R8" s="3614"/>
      <c r="T8" s="3601" t="s">
        <v>3492</v>
      </c>
    </row>
    <row r="9" spans="1:22" ht="13.15" customHeight="1">
      <c r="A9" s="3604">
        <v>1</v>
      </c>
      <c r="B9" s="3841" t="s">
        <v>3493</v>
      </c>
      <c r="C9" s="3842"/>
      <c r="D9" s="3605">
        <f>ROUND(D6*E9,0)</f>
        <v>3564</v>
      </c>
      <c r="E9" s="3615">
        <v>4.0000000000000001E-3</v>
      </c>
      <c r="F9" s="3616" t="s">
        <v>3494</v>
      </c>
      <c r="G9" s="3617"/>
      <c r="J9" s="3820"/>
      <c r="K9" s="3822"/>
      <c r="L9" s="3609"/>
      <c r="M9" s="3610"/>
      <c r="N9" s="3611"/>
      <c r="O9" s="3612"/>
      <c r="P9" s="3612"/>
      <c r="Q9" s="3613"/>
      <c r="R9" s="3614"/>
    </row>
    <row r="10" spans="1:22" ht="13.15" customHeight="1">
      <c r="A10" s="3604">
        <v>2</v>
      </c>
      <c r="B10" s="3841" t="s">
        <v>3495</v>
      </c>
      <c r="C10" s="3842"/>
      <c r="D10" s="3605">
        <f>10000*12</f>
        <v>120000</v>
      </c>
      <c r="E10" s="3618">
        <v>1</v>
      </c>
      <c r="F10" s="3616" t="s">
        <v>3496</v>
      </c>
      <c r="G10" s="3617"/>
      <c r="J10" s="3820"/>
      <c r="K10" s="3822"/>
      <c r="L10" s="3609"/>
      <c r="M10" s="3610"/>
      <c r="N10" s="3611"/>
      <c r="O10" s="3612"/>
      <c r="P10" s="3612"/>
      <c r="Q10" s="3613"/>
      <c r="R10" s="3614"/>
    </row>
    <row r="11" spans="1:22" ht="13.15" customHeight="1">
      <c r="A11" s="3604">
        <v>3</v>
      </c>
      <c r="B11" s="3841" t="s">
        <v>3497</v>
      </c>
      <c r="C11" s="3842"/>
      <c r="D11" s="3605">
        <f ca="1">D12+D14+D15+D16</f>
        <v>144963.14000000001</v>
      </c>
      <c r="E11" s="3619">
        <f ca="1">D11/D6</f>
        <v>0.1626971268237935</v>
      </c>
      <c r="F11" s="3607"/>
      <c r="G11" s="3608"/>
      <c r="J11" s="3820"/>
      <c r="K11" s="3822"/>
      <c r="L11" s="3609"/>
      <c r="M11" s="3610"/>
      <c r="N11" s="3611"/>
      <c r="O11" s="3612"/>
      <c r="P11" s="3612"/>
      <c r="Q11" s="3613"/>
      <c r="R11" s="3614"/>
    </row>
    <row r="12" spans="1:22" ht="13.15" customHeight="1">
      <c r="A12" s="3620" t="s">
        <v>3498</v>
      </c>
      <c r="B12" s="3830" t="s">
        <v>3499</v>
      </c>
      <c r="C12" s="3831"/>
      <c r="D12" s="3621">
        <f ca="1">ROUND(D13*1.2%*(1-30%),0)</f>
        <v>17220</v>
      </c>
      <c r="E12" s="3622">
        <v>1.2E-2</v>
      </c>
      <c r="F12" s="3607" t="s">
        <v>3500</v>
      </c>
      <c r="G12" s="3608"/>
      <c r="J12" s="3820"/>
      <c r="K12" s="3822"/>
      <c r="L12" s="3609"/>
      <c r="M12" s="3610"/>
      <c r="N12" s="3611"/>
      <c r="O12" s="3612"/>
      <c r="P12" s="3612"/>
      <c r="Q12" s="3613"/>
      <c r="R12" s="3614"/>
    </row>
    <row r="13" spans="1:22" ht="13.15" customHeight="1">
      <c r="A13" s="3620"/>
      <c r="B13" s="3667"/>
      <c r="C13" s="3624" t="s">
        <v>3458</v>
      </c>
      <c r="D13" s="3625">
        <f ca="1">经营性测算!D13</f>
        <v>2050000</v>
      </c>
      <c r="E13" s="3626"/>
      <c r="F13" s="3607"/>
      <c r="G13" s="3608"/>
      <c r="J13" s="3820"/>
      <c r="K13" s="3822"/>
      <c r="L13" s="3609"/>
      <c r="M13" s="3610"/>
      <c r="N13" s="3611"/>
      <c r="O13" s="3612"/>
      <c r="P13" s="3612"/>
      <c r="Q13" s="3613"/>
      <c r="R13" s="3614"/>
    </row>
    <row r="14" spans="1:22" ht="13.15" customHeight="1">
      <c r="A14" s="3620" t="s">
        <v>3501</v>
      </c>
      <c r="B14" s="3830" t="s">
        <v>3502</v>
      </c>
      <c r="C14" s="3831"/>
      <c r="D14" s="3621">
        <f ca="1">收益法!F34*收益法!F35</f>
        <v>12982.14</v>
      </c>
      <c r="E14" s="3613"/>
      <c r="F14" s="3607" t="s">
        <v>3503</v>
      </c>
      <c r="G14" s="3608"/>
      <c r="J14" s="3820"/>
      <c r="K14" s="3823"/>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30" t="s">
        <v>3506</v>
      </c>
      <c r="C15" s="3831"/>
      <c r="D15" s="3621">
        <f>ROUND(D6*E15,0)</f>
        <v>114761</v>
      </c>
      <c r="E15" s="3622">
        <v>0.1288</v>
      </c>
      <c r="F15" s="3607" t="s">
        <v>3507</v>
      </c>
      <c r="G15" s="3617"/>
      <c r="J15" s="3832">
        <v>2</v>
      </c>
      <c r="K15" s="3833" t="s">
        <v>3508</v>
      </c>
      <c r="L15" s="3609" t="s">
        <v>3509</v>
      </c>
      <c r="M15" s="3610" t="s">
        <v>3510</v>
      </c>
      <c r="N15" s="3610" t="s">
        <v>3511</v>
      </c>
      <c r="O15" s="3612" t="s">
        <v>3512</v>
      </c>
      <c r="P15" s="3612" t="s">
        <v>3513</v>
      </c>
      <c r="Q15" s="3611" t="s">
        <v>1</v>
      </c>
      <c r="R15" s="3631" t="s">
        <v>3514</v>
      </c>
    </row>
    <row r="16" spans="1:22" ht="13.15" customHeight="1">
      <c r="A16" s="3620" t="s">
        <v>3515</v>
      </c>
      <c r="B16" s="3830" t="s">
        <v>3516</v>
      </c>
      <c r="C16" s="3831"/>
      <c r="D16" s="3632">
        <f>D6*E16</f>
        <v>0</v>
      </c>
      <c r="E16" s="3633"/>
      <c r="F16" s="3616" t="s">
        <v>3517</v>
      </c>
      <c r="G16" s="3617"/>
      <c r="J16" s="3832"/>
      <c r="K16" s="3834"/>
      <c r="L16" s="3609" t="s">
        <v>3518</v>
      </c>
      <c r="M16" s="3610">
        <v>100</v>
      </c>
      <c r="N16" s="3610">
        <v>100</v>
      </c>
      <c r="O16" s="3612">
        <v>1.2</v>
      </c>
      <c r="P16" s="3613">
        <v>365</v>
      </c>
      <c r="Q16" s="3611"/>
      <c r="R16" s="3631"/>
    </row>
    <row r="17" spans="1:22" ht="13.15" customHeight="1" thickBot="1">
      <c r="A17" s="3634">
        <v>4</v>
      </c>
      <c r="B17" s="3836" t="s">
        <v>3519</v>
      </c>
      <c r="C17" s="3837"/>
      <c r="D17" s="3635">
        <f>ROUND(D6*E17,0)</f>
        <v>0</v>
      </c>
      <c r="E17" s="3636"/>
      <c r="F17" s="3637" t="s">
        <v>3520</v>
      </c>
      <c r="G17" s="3617"/>
      <c r="J17" s="3832"/>
      <c r="K17" s="3834"/>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v>0.3</v>
      </c>
      <c r="F18" s="3642" t="s">
        <v>3523</v>
      </c>
      <c r="G18" s="3617"/>
      <c r="J18" s="3832"/>
      <c r="K18" s="3834"/>
      <c r="L18" s="3609" t="s">
        <v>3524</v>
      </c>
      <c r="M18" s="3610"/>
      <c r="N18" s="3610"/>
      <c r="O18" s="3612"/>
      <c r="P18" s="3613">
        <v>365</v>
      </c>
      <c r="Q18" s="3611"/>
      <c r="R18" s="3631"/>
    </row>
    <row r="19" spans="1:22" ht="13.15" customHeight="1" thickBot="1">
      <c r="A19" s="3643" t="s">
        <v>3525</v>
      </c>
      <c r="B19" s="3644"/>
      <c r="C19" s="3644"/>
      <c r="D19" s="3644"/>
      <c r="E19" s="3644"/>
      <c r="F19" s="3645"/>
      <c r="G19" s="3608"/>
      <c r="J19" s="3832"/>
      <c r="K19" s="3835"/>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20">
        <v>3</v>
      </c>
      <c r="K20" s="3821" t="s">
        <v>3461</v>
      </c>
      <c r="L20" s="3609" t="s">
        <v>3527</v>
      </c>
      <c r="M20" s="3610" t="s">
        <v>3528</v>
      </c>
      <c r="N20" s="3649" t="s">
        <v>3529</v>
      </c>
      <c r="O20" s="3612" t="s">
        <v>3530</v>
      </c>
      <c r="P20" s="3613" t="s">
        <v>3513</v>
      </c>
      <c r="Q20" s="3611" t="s">
        <v>1</v>
      </c>
      <c r="R20" s="3631" t="s">
        <v>3514</v>
      </c>
    </row>
    <row r="21" spans="1:22" ht="13.15" customHeight="1">
      <c r="A21" s="3638"/>
      <c r="B21" s="3639"/>
      <c r="C21" s="3668" t="s">
        <v>3531</v>
      </c>
      <c r="D21" s="3651" t="s">
        <v>3532</v>
      </c>
      <c r="E21" s="3669" t="s">
        <v>3533</v>
      </c>
      <c r="F21" s="3648"/>
      <c r="G21" s="3608"/>
      <c r="J21" s="3820"/>
      <c r="K21" s="3822"/>
      <c r="L21" s="3609" t="s">
        <v>3534</v>
      </c>
      <c r="M21" s="3610">
        <v>2</v>
      </c>
      <c r="N21" s="3610">
        <v>3000</v>
      </c>
      <c r="O21" s="3612">
        <v>0.3</v>
      </c>
      <c r="P21" s="3613">
        <v>365</v>
      </c>
      <c r="Q21" s="3611"/>
      <c r="R21" s="3653"/>
    </row>
    <row r="22" spans="1:22" ht="13.15" customHeight="1">
      <c r="A22" s="3638"/>
      <c r="B22" s="3639"/>
      <c r="C22" s="3654" t="s">
        <v>3535</v>
      </c>
      <c r="D22" s="3655" t="s">
        <v>3536</v>
      </c>
      <c r="E22" s="3656" t="s">
        <v>3537</v>
      </c>
      <c r="F22" s="3648"/>
      <c r="G22" s="3601"/>
      <c r="J22" s="3820"/>
      <c r="K22" s="3822"/>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20"/>
      <c r="K23" s="3822"/>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20"/>
      <c r="K24" s="3823"/>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666">
        <v>4</v>
      </c>
      <c r="K25" s="3551" t="s">
        <v>3463</v>
      </c>
      <c r="L25" s="3552"/>
      <c r="M25" s="3552"/>
      <c r="N25" s="3552"/>
      <c r="O25" s="3552"/>
      <c r="P25" s="3553"/>
      <c r="Q25" s="3554">
        <v>0</v>
      </c>
      <c r="R25" s="3536">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24">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1.1666971268237936</v>
      </c>
      <c r="D27" s="3547"/>
      <c r="E27" s="3548"/>
      <c r="F27" s="3549"/>
      <c r="G27" s="3543"/>
      <c r="H27" s="3556"/>
      <c r="I27" s="3555"/>
      <c r="J27" s="3825"/>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经营性测算!D91*10000</f>
        <v>630000</v>
      </c>
      <c r="D32" s="3540">
        <f>D23-D26-D29</f>
        <v>623700</v>
      </c>
      <c r="E32" s="3541">
        <f>E23-E26-E29</f>
        <v>623700</v>
      </c>
      <c r="F32" s="3542"/>
      <c r="G32" s="3480"/>
      <c r="H32" s="3487"/>
      <c r="I32" s="3488"/>
      <c r="J32" s="3826" t="s">
        <v>3431</v>
      </c>
      <c r="K32" s="3827"/>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28" t="s">
        <v>3440</v>
      </c>
      <c r="K33" s="3829"/>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v>7.0000000000000007E-2</v>
      </c>
      <c r="D34" s="3581"/>
      <c r="E34" s="3582"/>
      <c r="F34" s="3542"/>
      <c r="G34" s="3480"/>
      <c r="H34" s="3556"/>
      <c r="I34" s="3555"/>
      <c r="J34" s="3828" t="s">
        <v>3441</v>
      </c>
      <c r="K34" s="3829"/>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v>0</v>
      </c>
      <c r="D35" s="3585"/>
      <c r="E35" s="3586"/>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v>40</v>
      </c>
      <c r="D36" s="3590"/>
      <c r="E36" s="3591"/>
      <c r="F36" s="3592">
        <f>C36+D36+E36</f>
        <v>40</v>
      </c>
      <c r="G36" s="3480"/>
      <c r="I36" s="3488"/>
      <c r="J36" s="3820">
        <v>1</v>
      </c>
      <c r="K36" s="3821"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20"/>
      <c r="K37" s="3822"/>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8398977</v>
      </c>
      <c r="D38" s="3526"/>
      <c r="E38" s="3526"/>
      <c r="F38" s="3542"/>
      <c r="G38" s="3480"/>
      <c r="I38" s="3488"/>
      <c r="J38" s="3820"/>
      <c r="K38" s="3822"/>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8398977</v>
      </c>
      <c r="D39" s="3513"/>
      <c r="E39" s="3513"/>
      <c r="F39" s="3542"/>
      <c r="G39" s="3488"/>
      <c r="I39" s="3488"/>
      <c r="J39" s="3820"/>
      <c r="K39" s="3822"/>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8398977</v>
      </c>
      <c r="D40" s="3595"/>
      <c r="E40" s="3595"/>
      <c r="F40" s="3596"/>
      <c r="G40" s="3480"/>
      <c r="I40" s="3488"/>
      <c r="J40" s="3820"/>
      <c r="K40" s="3823"/>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26780</v>
      </c>
      <c r="D41" s="3599"/>
      <c r="E41" s="3599"/>
      <c r="F41" s="3600"/>
      <c r="I41" s="3488"/>
      <c r="J41" s="3666">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24">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25"/>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3546</v>
      </c>
      <c r="D45" s="3475" t="s">
        <v>3546</v>
      </c>
    </row>
    <row r="46" spans="1:23" ht="13.15" customHeight="1">
      <c r="A46" s="3475" t="s">
        <v>3544</v>
      </c>
      <c r="B46" s="3475">
        <f ca="1">结果表!C19+15</f>
        <v>357</v>
      </c>
      <c r="E46" s="3475">
        <f>419/(1.07)^4.14</f>
        <v>316.63956727573014</v>
      </c>
    </row>
    <row r="47" spans="1:23" ht="13.15" customHeight="1">
      <c r="A47" s="3475" t="s">
        <v>3545</v>
      </c>
      <c r="E47" s="3475">
        <v>317</v>
      </c>
    </row>
    <row r="48" spans="1:23" ht="13.15" customHeight="1">
      <c r="E48" s="3475">
        <v>136</v>
      </c>
    </row>
    <row r="49" spans="5:5" ht="13.15" customHeight="1">
      <c r="E49" s="3475">
        <f>SUM(E47:E48)</f>
        <v>453</v>
      </c>
    </row>
    <row r="50" spans="5:5" ht="13.15" customHeight="1">
      <c r="E50" s="3475">
        <f>E49*10000/313.63</f>
        <v>14443.771322896408</v>
      </c>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disablePrompts="1"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000-000000000000}">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000-000001000000}">
      <formula1>"在建（套用方法）,土地（套用方法）,——"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M61"/>
  <sheetViews>
    <sheetView topLeftCell="A28" workbookViewId="0">
      <selection activeCell="B47" sqref="B47:B48"/>
    </sheetView>
  </sheetViews>
  <sheetFormatPr defaultColWidth="8.875" defaultRowHeight="13.5"/>
  <cols>
    <col min="1" max="1" width="9.125" customWidth="1"/>
    <col min="2" max="2" width="12" style="3457" customWidth="1"/>
    <col min="3" max="3" width="8.875" style="3457" customWidth="1"/>
    <col min="4" max="5" width="9" style="3457" customWidth="1"/>
    <col min="6" max="6" width="10.875" style="3457" customWidth="1"/>
    <col min="7" max="8" width="8.625" customWidth="1"/>
    <col min="9" max="9" width="8.5" hidden="1" customWidth="1"/>
    <col min="10" max="10" width="16.75" customWidth="1"/>
  </cols>
  <sheetData>
    <row r="1" spans="1:11">
      <c r="B1" s="3456" t="s">
        <v>3403</v>
      </c>
      <c r="D1" s="3456" t="s">
        <v>3564</v>
      </c>
      <c r="E1" s="3674" t="s">
        <v>3565</v>
      </c>
    </row>
    <row r="2" spans="1:11">
      <c r="A2">
        <f>7.5</f>
        <v>7.5</v>
      </c>
      <c r="B2" s="3457">
        <v>2019</v>
      </c>
      <c r="D2" s="3456" t="s">
        <v>3562</v>
      </c>
      <c r="E2" s="3456" t="s">
        <v>3563</v>
      </c>
      <c r="F2" s="3457">
        <v>2020</v>
      </c>
      <c r="G2" s="3457"/>
    </row>
    <row r="3" spans="1:11">
      <c r="A3">
        <v>1379</v>
      </c>
      <c r="B3" s="3458">
        <v>44561</v>
      </c>
      <c r="C3" s="3457">
        <v>6.99</v>
      </c>
      <c r="F3" s="3458">
        <v>44548</v>
      </c>
      <c r="G3" s="3457">
        <v>5.88</v>
      </c>
      <c r="K3" s="3673" t="s">
        <v>3561</v>
      </c>
    </row>
    <row r="4" spans="1:11">
      <c r="A4">
        <f>A2*A3</f>
        <v>10342.5</v>
      </c>
      <c r="B4" s="3458">
        <v>44533</v>
      </c>
      <c r="C4" s="3457">
        <v>6.8</v>
      </c>
      <c r="F4" s="3458">
        <v>44534</v>
      </c>
      <c r="G4" s="3457">
        <v>5.75</v>
      </c>
    </row>
    <row r="5" spans="1:11">
      <c r="A5">
        <f>7113</f>
        <v>7113</v>
      </c>
      <c r="B5" s="3458">
        <v>44519</v>
      </c>
      <c r="C5" s="3457">
        <v>6.76</v>
      </c>
      <c r="F5" s="3458">
        <v>44520</v>
      </c>
      <c r="G5" s="3457">
        <v>5.55</v>
      </c>
    </row>
    <row r="6" spans="1:11">
      <c r="A6">
        <f>A4-A5</f>
        <v>3229.5</v>
      </c>
      <c r="B6" s="3458">
        <v>44505</v>
      </c>
      <c r="C6" s="3457">
        <v>6.7</v>
      </c>
      <c r="F6" s="3458">
        <v>44506</v>
      </c>
      <c r="G6" s="3457">
        <v>5.43</v>
      </c>
    </row>
    <row r="7" spans="1:11">
      <c r="A7">
        <f>A6*375</f>
        <v>1211062.5</v>
      </c>
      <c r="B7" s="3458">
        <v>44491</v>
      </c>
      <c r="C7" s="3457">
        <v>6.62</v>
      </c>
      <c r="F7" s="3458">
        <v>44492</v>
      </c>
      <c r="G7" s="3457">
        <v>5.56</v>
      </c>
    </row>
    <row r="8" spans="1:11">
      <c r="B8" s="3458">
        <v>44458</v>
      </c>
      <c r="C8" s="3457">
        <v>6.74</v>
      </c>
      <c r="F8" s="3458">
        <v>44458</v>
      </c>
      <c r="G8" s="3457">
        <v>5.5</v>
      </c>
    </row>
    <row r="9" spans="1:11">
      <c r="B9" s="3458">
        <v>44443</v>
      </c>
      <c r="C9" s="3457">
        <v>6.64</v>
      </c>
      <c r="F9" s="3458">
        <v>44430</v>
      </c>
      <c r="G9" s="3457">
        <v>5.75</v>
      </c>
      <c r="H9" s="3457"/>
    </row>
    <row r="10" spans="1:11">
      <c r="B10" s="3458">
        <v>44429</v>
      </c>
      <c r="C10" s="3457">
        <v>6.54</v>
      </c>
      <c r="F10" s="3458">
        <v>44388</v>
      </c>
      <c r="G10" s="3457">
        <v>5.68</v>
      </c>
      <c r="H10" s="3457"/>
    </row>
    <row r="11" spans="1:11">
      <c r="B11" s="3458">
        <v>44415</v>
      </c>
      <c r="C11" s="3457">
        <v>6.71</v>
      </c>
      <c r="F11" s="3458">
        <v>44376</v>
      </c>
      <c r="G11" s="3457">
        <v>5.6</v>
      </c>
      <c r="H11" s="3457"/>
    </row>
    <row r="12" spans="1:11">
      <c r="B12" s="3458">
        <v>44387</v>
      </c>
      <c r="C12" s="3457">
        <v>6.78</v>
      </c>
      <c r="F12" s="3458">
        <v>44274</v>
      </c>
      <c r="G12" s="3457">
        <v>5.5</v>
      </c>
      <c r="H12" s="3457"/>
    </row>
    <row r="13" spans="1:11">
      <c r="B13" s="3458">
        <v>44374</v>
      </c>
      <c r="C13" s="3457">
        <v>6.66</v>
      </c>
      <c r="F13" s="3458">
        <v>44232</v>
      </c>
      <c r="G13" s="3457">
        <v>6.65</v>
      </c>
      <c r="H13" s="3457"/>
    </row>
    <row r="14" spans="1:11">
      <c r="B14" s="3458">
        <v>44359</v>
      </c>
      <c r="C14" s="3457">
        <v>6.75</v>
      </c>
      <c r="G14" s="3459">
        <f>ROUND(AVERAGE(G3:G13),2)</f>
        <v>5.71</v>
      </c>
      <c r="H14" s="3459"/>
    </row>
    <row r="15" spans="1:11">
      <c r="B15" s="3458">
        <v>44344</v>
      </c>
      <c r="C15" s="3457">
        <v>7.13</v>
      </c>
      <c r="G15" s="3457"/>
      <c r="H15" s="3457"/>
    </row>
    <row r="16" spans="1:11">
      <c r="B16" s="3458">
        <v>44330</v>
      </c>
      <c r="C16" s="3457">
        <v>7.09</v>
      </c>
      <c r="G16" s="3457"/>
      <c r="H16" s="3457"/>
    </row>
    <row r="17" spans="1:13">
      <c r="B17" s="3458">
        <v>44313</v>
      </c>
      <c r="C17" s="3457">
        <v>7.15</v>
      </c>
      <c r="G17" s="3457"/>
      <c r="H17" s="3457"/>
    </row>
    <row r="18" spans="1:13">
      <c r="B18" s="3458">
        <v>44299</v>
      </c>
      <c r="C18" s="3457">
        <v>6.99</v>
      </c>
      <c r="E18" s="3456" t="s">
        <v>3567</v>
      </c>
      <c r="F18"/>
      <c r="J18" s="3456" t="s">
        <v>3569</v>
      </c>
    </row>
    <row r="19" spans="1:13">
      <c r="B19" s="3458">
        <v>44284</v>
      </c>
      <c r="C19" s="3457">
        <v>7.05</v>
      </c>
      <c r="F19" s="3456" t="s">
        <v>3562</v>
      </c>
      <c r="G19" s="3456" t="s">
        <v>3563</v>
      </c>
      <c r="J19" s="3457"/>
      <c r="K19" s="3456" t="s">
        <v>3562</v>
      </c>
      <c r="L19" s="3456" t="s">
        <v>3413</v>
      </c>
    </row>
    <row r="20" spans="1:13">
      <c r="B20" s="3458">
        <v>44256</v>
      </c>
      <c r="C20" s="3457">
        <v>6.98</v>
      </c>
      <c r="E20" s="3458">
        <v>44561</v>
      </c>
      <c r="F20" s="3457">
        <v>8670</v>
      </c>
      <c r="G20" s="3457">
        <v>7675</v>
      </c>
      <c r="J20" s="3678">
        <v>44314</v>
      </c>
      <c r="K20">
        <v>8280</v>
      </c>
      <c r="L20">
        <v>7295</v>
      </c>
    </row>
    <row r="21" spans="1:13">
      <c r="B21" s="3458">
        <v>44242</v>
      </c>
      <c r="C21" s="3457">
        <v>6.76</v>
      </c>
      <c r="E21" s="3458">
        <v>44532</v>
      </c>
      <c r="F21" s="3457">
        <v>8435</v>
      </c>
      <c r="G21" s="3457">
        <v>7445</v>
      </c>
      <c r="J21" s="3678">
        <v>44286</v>
      </c>
      <c r="K21">
        <v>8180</v>
      </c>
      <c r="L21">
        <v>7200</v>
      </c>
    </row>
    <row r="22" spans="1:13">
      <c r="B22" s="3458">
        <v>44225</v>
      </c>
      <c r="C22" s="3457">
        <v>6.72</v>
      </c>
      <c r="E22" s="3458">
        <v>44504</v>
      </c>
      <c r="F22" s="3457">
        <v>8310</v>
      </c>
      <c r="G22" s="3457">
        <v>7330</v>
      </c>
      <c r="J22" s="3678">
        <v>44272</v>
      </c>
      <c r="K22">
        <v>8405</v>
      </c>
      <c r="L22">
        <v>7420</v>
      </c>
    </row>
    <row r="23" spans="1:13">
      <c r="B23" s="3458">
        <v>44211</v>
      </c>
      <c r="C23" s="3457">
        <v>6.53</v>
      </c>
      <c r="E23" s="3458">
        <v>44442</v>
      </c>
      <c r="F23" s="3457">
        <v>8230</v>
      </c>
      <c r="G23" s="3457">
        <v>7245</v>
      </c>
      <c r="J23" s="3678">
        <v>44245</v>
      </c>
      <c r="K23">
        <v>7910</v>
      </c>
      <c r="L23">
        <v>6940</v>
      </c>
    </row>
    <row r="24" spans="1:13">
      <c r="C24" s="3459">
        <f>ROUND(AVERAGE(C3:C23),2)</f>
        <v>6.81</v>
      </c>
      <c r="E24" s="3458">
        <v>44428</v>
      </c>
      <c r="F24" s="3457">
        <v>8115</v>
      </c>
      <c r="G24" s="3457">
        <v>7140</v>
      </c>
      <c r="J24" s="3678">
        <v>44225</v>
      </c>
      <c r="K24">
        <v>7635</v>
      </c>
      <c r="L24">
        <v>6675</v>
      </c>
    </row>
    <row r="25" spans="1:13">
      <c r="E25" s="3458">
        <v>44415</v>
      </c>
      <c r="F25" s="3457">
        <v>8325</v>
      </c>
      <c r="G25" s="3457">
        <v>7345</v>
      </c>
      <c r="J25" s="3678">
        <v>44211</v>
      </c>
      <c r="K25">
        <v>7560</v>
      </c>
      <c r="L25">
        <v>6605</v>
      </c>
    </row>
    <row r="26" spans="1:13">
      <c r="E26" s="3458">
        <v>44386</v>
      </c>
      <c r="F26" s="3457">
        <v>8405</v>
      </c>
      <c r="G26" s="3457">
        <v>7415</v>
      </c>
      <c r="J26" t="s">
        <v>3568</v>
      </c>
      <c r="K26">
        <f>ROUND(AVERAGE(K20:K25),0)</f>
        <v>7995</v>
      </c>
      <c r="L26">
        <f>ROUND(AVERAGE(L20:L25),0)</f>
        <v>7023</v>
      </c>
    </row>
    <row r="27" spans="1:13">
      <c r="A27" s="3456" t="s">
        <v>3566</v>
      </c>
      <c r="B27"/>
      <c r="C27"/>
      <c r="E27" s="3458">
        <v>44373</v>
      </c>
      <c r="F27" s="3457">
        <v>8255</v>
      </c>
      <c r="G27" s="3457">
        <v>7275</v>
      </c>
      <c r="J27" s="3680" t="s">
        <v>3571</v>
      </c>
      <c r="K27">
        <f>ROUND((B47+B48+F47+F48)/2,0)</f>
        <v>484</v>
      </c>
      <c r="L27">
        <f>ROUND((B49+F49)/2,0)</f>
        <v>1445</v>
      </c>
    </row>
    <row r="28" spans="1:13">
      <c r="A28" s="3457"/>
      <c r="B28" s="3456" t="s">
        <v>3562</v>
      </c>
      <c r="C28" s="3456" t="s">
        <v>3563</v>
      </c>
      <c r="E28" s="3458">
        <v>44358</v>
      </c>
      <c r="F28" s="3457">
        <v>8375</v>
      </c>
      <c r="G28" s="3457">
        <v>7390</v>
      </c>
      <c r="J28" s="3680" t="s">
        <v>3570</v>
      </c>
      <c r="K28">
        <v>500</v>
      </c>
      <c r="L28">
        <v>1500</v>
      </c>
    </row>
    <row r="29" spans="1:13">
      <c r="A29" s="3458">
        <v>44533</v>
      </c>
      <c r="B29" s="3457">
        <v>7130</v>
      </c>
      <c r="C29" s="3457">
        <v>6190</v>
      </c>
      <c r="E29" s="3458">
        <v>44343</v>
      </c>
      <c r="F29" s="3457">
        <v>8840</v>
      </c>
      <c r="G29" s="3457">
        <v>7835</v>
      </c>
      <c r="H29" s="3457"/>
      <c r="J29" s="3680" t="s">
        <v>3572</v>
      </c>
      <c r="K29">
        <f>ROUND((C47+C48+G47+G48)/4,0)</f>
        <v>7179</v>
      </c>
      <c r="L29">
        <f>ROUND((C49+G49)/2,0)</f>
        <v>6901</v>
      </c>
    </row>
    <row r="30" spans="1:13">
      <c r="A30" s="3458">
        <v>44505</v>
      </c>
      <c r="B30" s="3457">
        <v>6730</v>
      </c>
      <c r="C30" s="3457">
        <v>5805</v>
      </c>
      <c r="E30" s="3458">
        <v>44312</v>
      </c>
      <c r="F30" s="3457">
        <v>8865</v>
      </c>
      <c r="G30" s="3457">
        <v>7860</v>
      </c>
      <c r="H30" s="3457"/>
      <c r="J30" s="3680" t="s">
        <v>3573</v>
      </c>
      <c r="K30">
        <f>(K26-K29)*K28</f>
        <v>408000</v>
      </c>
      <c r="L30">
        <f>(L26-L29)*L28</f>
        <v>183000</v>
      </c>
      <c r="M30">
        <f>L30+K30</f>
        <v>591000</v>
      </c>
    </row>
    <row r="31" spans="1:13">
      <c r="A31" s="3458">
        <v>44491</v>
      </c>
      <c r="B31" s="3457">
        <v>6890</v>
      </c>
      <c r="C31" s="3457">
        <v>5955</v>
      </c>
      <c r="E31" s="3458">
        <v>44284</v>
      </c>
      <c r="F31" s="3457">
        <v>8515</v>
      </c>
      <c r="G31" s="3457">
        <v>7525</v>
      </c>
      <c r="H31" s="3457"/>
    </row>
    <row r="32" spans="1:13">
      <c r="A32" s="3458">
        <v>44457</v>
      </c>
      <c r="B32" s="3457">
        <v>6810</v>
      </c>
      <c r="C32" s="3457">
        <v>5885</v>
      </c>
      <c r="E32" s="3458">
        <v>44224</v>
      </c>
      <c r="F32" s="3457">
        <v>8340</v>
      </c>
      <c r="G32" s="3457">
        <v>7335</v>
      </c>
      <c r="H32" s="3457"/>
    </row>
    <row r="33" spans="1:10">
      <c r="A33" s="3458">
        <v>44430</v>
      </c>
      <c r="B33" s="3457">
        <v>7125</v>
      </c>
      <c r="C33" s="3457">
        <v>6185</v>
      </c>
      <c r="E33" s="3458">
        <v>44211</v>
      </c>
      <c r="F33" s="3457">
        <v>8095</v>
      </c>
      <c r="G33" s="3457">
        <v>7105</v>
      </c>
      <c r="H33" s="3457"/>
    </row>
    <row r="34" spans="1:10">
      <c r="A34" s="3458">
        <v>44387</v>
      </c>
      <c r="B34" s="3457">
        <v>7040</v>
      </c>
      <c r="C34" s="3457">
        <v>6105</v>
      </c>
      <c r="F34" s="3677">
        <f>ROUND(AVERAGE(F20:F33),0)</f>
        <v>8413</v>
      </c>
      <c r="G34" s="3677">
        <f>ROUND(AVERAGE(G20:G33),0)</f>
        <v>7423</v>
      </c>
      <c r="H34" s="3457"/>
    </row>
    <row r="35" spans="1:10">
      <c r="A35" s="3458">
        <v>44272</v>
      </c>
      <c r="B35" s="3457">
        <v>6820</v>
      </c>
      <c r="C35" s="3457">
        <v>5895</v>
      </c>
      <c r="G35" s="3457"/>
      <c r="H35" s="3457"/>
    </row>
    <row r="36" spans="1:10">
      <c r="A36" s="3458">
        <v>44231</v>
      </c>
      <c r="B36" s="3457">
        <v>8250</v>
      </c>
      <c r="C36" s="3457">
        <v>7270</v>
      </c>
      <c r="G36" s="3457"/>
      <c r="H36" s="3457"/>
    </row>
    <row r="37" spans="1:10">
      <c r="B37" s="3677">
        <f>ROUND(AVERAGE(B29:B36),0)</f>
        <v>7099</v>
      </c>
      <c r="C37" s="3677">
        <f>ROUND(AVERAGE(C29:C36),0)</f>
        <v>6161</v>
      </c>
      <c r="G37" s="3457"/>
      <c r="H37" s="3457"/>
    </row>
    <row r="38" spans="1:10">
      <c r="G38" s="3457"/>
      <c r="H38" s="3457"/>
    </row>
    <row r="39" spans="1:10">
      <c r="A39" s="3462">
        <v>44505</v>
      </c>
      <c r="B39" s="3460" t="s">
        <v>3404</v>
      </c>
      <c r="C39" s="3461" t="s">
        <v>3405</v>
      </c>
    </row>
    <row r="40" spans="1:10">
      <c r="B40" s="3460" t="s">
        <v>3406</v>
      </c>
      <c r="C40" s="3461" t="s">
        <v>3407</v>
      </c>
      <c r="E40" s="3457">
        <v>1379</v>
      </c>
    </row>
    <row r="41" spans="1:10">
      <c r="B41" s="3460" t="s">
        <v>3408</v>
      </c>
      <c r="C41" s="3461" t="s">
        <v>3409</v>
      </c>
      <c r="D41" s="3457">
        <f>8.11/7.52</f>
        <v>1.0784574468085106</v>
      </c>
      <c r="E41" s="3457">
        <v>1360</v>
      </c>
    </row>
    <row r="42" spans="1:10">
      <c r="B42" s="3460" t="s">
        <v>3410</v>
      </c>
      <c r="C42" s="3461" t="s">
        <v>3411</v>
      </c>
      <c r="D42" s="3457">
        <f>7.13/7.52</f>
        <v>0.9481382978723405</v>
      </c>
      <c r="E42" s="3457">
        <v>1190</v>
      </c>
    </row>
    <row r="46" spans="1:10" s="3" customFormat="1" ht="40.5">
      <c r="A46" s="3465" t="s">
        <v>3412</v>
      </c>
      <c r="B46" s="3465" t="s">
        <v>3414</v>
      </c>
      <c r="C46" s="3465" t="s">
        <v>3415</v>
      </c>
      <c r="D46" s="3465" t="s">
        <v>3418</v>
      </c>
      <c r="E46" s="3465" t="s">
        <v>3420</v>
      </c>
      <c r="F46" s="3465" t="s">
        <v>3416</v>
      </c>
      <c r="G46" s="3465" t="s">
        <v>3417</v>
      </c>
      <c r="H46" s="3675"/>
      <c r="I46" s="3463" t="s">
        <v>3419</v>
      </c>
      <c r="J46" s="3463" t="s">
        <v>3421</v>
      </c>
    </row>
    <row r="47" spans="1:10">
      <c r="A47" s="3466">
        <v>92</v>
      </c>
      <c r="B47" s="3466">
        <v>375</v>
      </c>
      <c r="C47" s="3679">
        <v>7113</v>
      </c>
      <c r="D47" s="3466">
        <f>C24</f>
        <v>6.81</v>
      </c>
      <c r="E47" s="3466">
        <f>F34</f>
        <v>8413</v>
      </c>
      <c r="F47" s="3466">
        <v>190</v>
      </c>
      <c r="G47" s="3679">
        <v>7150</v>
      </c>
      <c r="H47" s="3676"/>
      <c r="I47" s="3457">
        <f>G14</f>
        <v>5.71</v>
      </c>
      <c r="J47" s="3457">
        <f>B37</f>
        <v>7099</v>
      </c>
    </row>
    <row r="48" spans="1:10">
      <c r="A48" s="3466">
        <v>95</v>
      </c>
      <c r="B48" s="3466">
        <v>180</v>
      </c>
      <c r="C48" s="3679">
        <v>7223</v>
      </c>
      <c r="D48" s="3466">
        <f>ROUND(D47*D41,2)</f>
        <v>7.34</v>
      </c>
      <c r="E48" s="3466">
        <f>F34</f>
        <v>8413</v>
      </c>
      <c r="F48" s="3466">
        <v>223</v>
      </c>
      <c r="G48" s="3679">
        <v>7230</v>
      </c>
      <c r="H48" s="3676"/>
      <c r="I48" s="3457">
        <f>ROUND(I47*D41,2)</f>
        <v>6.16</v>
      </c>
      <c r="J48" s="3457">
        <f>B37</f>
        <v>7099</v>
      </c>
    </row>
    <row r="49" spans="1:10">
      <c r="A49" s="3467" t="s">
        <v>3413</v>
      </c>
      <c r="B49" s="3466">
        <v>1350</v>
      </c>
      <c r="C49" s="3679">
        <v>6988</v>
      </c>
      <c r="D49" s="3466">
        <f>ROUND(D47*D42,2)</f>
        <v>6.46</v>
      </c>
      <c r="E49" s="3466">
        <f>G34</f>
        <v>7423</v>
      </c>
      <c r="F49" s="3466">
        <v>1540</v>
      </c>
      <c r="G49" s="3679">
        <v>6813</v>
      </c>
      <c r="H49" s="3676"/>
      <c r="I49" s="3457">
        <f>ROUND(I47*D42,2)</f>
        <v>5.41</v>
      </c>
      <c r="J49" s="3457">
        <f>C37</f>
        <v>6161</v>
      </c>
    </row>
    <row r="51" spans="1:10">
      <c r="A51" s="3456" t="s">
        <v>3423</v>
      </c>
      <c r="B51" s="3457">
        <f>B47*(E47-C47)</f>
        <v>487500</v>
      </c>
    </row>
    <row r="52" spans="1:10">
      <c r="A52" s="3457"/>
      <c r="B52" s="3457">
        <f t="shared" ref="B52:B53" si="0">B48*(E48-C48)</f>
        <v>214200</v>
      </c>
    </row>
    <row r="53" spans="1:10">
      <c r="A53" s="3457"/>
      <c r="B53" s="3457">
        <f t="shared" si="0"/>
        <v>587250</v>
      </c>
      <c r="D53" s="3457">
        <f>7150*0.18*190+7230*0.18*223+6803*0.06*1540</f>
        <v>1163339.3999999999</v>
      </c>
    </row>
    <row r="54" spans="1:10">
      <c r="A54" s="3456" t="s">
        <v>3425</v>
      </c>
      <c r="B54" s="3457">
        <f>SUM(B51:B53)</f>
        <v>1288950</v>
      </c>
      <c r="F54" s="3677">
        <f>ROUND(E47*0.05*B47+E48*0.05*B48+E49*0.05*B49,0)</f>
        <v>734513</v>
      </c>
    </row>
    <row r="55" spans="1:10">
      <c r="A55" s="3456" t="s">
        <v>3424</v>
      </c>
      <c r="B55" s="3457">
        <f>F47*(J47-G47)</f>
        <v>-9690</v>
      </c>
      <c r="F55" s="3677">
        <f>ROUND((F47*J47+F48*J48+F49*J49)*0.05,0)</f>
        <v>620991</v>
      </c>
    </row>
    <row r="56" spans="1:10">
      <c r="A56" s="3457"/>
      <c r="B56" s="3457">
        <f t="shared" ref="B56:B57" si="1">F48*(J48-G48)</f>
        <v>-29213</v>
      </c>
    </row>
    <row r="57" spans="1:10">
      <c r="A57" s="3457"/>
      <c r="B57" s="3457">
        <f t="shared" si="1"/>
        <v>-1004080</v>
      </c>
    </row>
    <row r="58" spans="1:10">
      <c r="A58" s="3456" t="s">
        <v>3425</v>
      </c>
      <c r="B58" s="3457">
        <f>SUM(B55:B57)</f>
        <v>-1042983</v>
      </c>
    </row>
    <row r="59" spans="1:10">
      <c r="A59" s="3456" t="s">
        <v>3426</v>
      </c>
      <c r="B59" s="3457">
        <f>ROUND(AVERAGE(F54:F55),0)</f>
        <v>677752</v>
      </c>
    </row>
    <row r="60" spans="1:10">
      <c r="A60" s="3456" t="s">
        <v>3427</v>
      </c>
      <c r="B60" s="3464">
        <v>0.3</v>
      </c>
      <c r="D60" s="3456" t="s">
        <v>3422</v>
      </c>
    </row>
    <row r="61" spans="1:10">
      <c r="A61" s="3456" t="s">
        <v>3428</v>
      </c>
      <c r="B61" s="3457">
        <f>ROUND(B59*(1-B60),0)</f>
        <v>474426</v>
      </c>
    </row>
  </sheetData>
  <phoneticPr fontId="140" type="noConversion"/>
  <hyperlinks>
    <hyperlink ref="K3" r:id="rId1" xr:uid="{00000000-0004-0000-1100-000000000000}"/>
    <hyperlink ref="E1" r:id="rId2"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12"/>
  <sheetViews>
    <sheetView workbookViewId="0">
      <selection activeCell="B14" sqref="B14"/>
    </sheetView>
  </sheetViews>
  <sheetFormatPr defaultRowHeight="13.5"/>
  <cols>
    <col min="1" max="1" width="24" customWidth="1"/>
    <col min="2" max="2" width="24.625" customWidth="1"/>
    <col min="3" max="3" width="24.375" customWidth="1"/>
  </cols>
  <sheetData>
    <row r="1" spans="1:3">
      <c r="A1" s="3844" t="s">
        <v>3547</v>
      </c>
      <c r="B1" s="3844"/>
      <c r="C1" s="3844"/>
    </row>
    <row r="2" spans="1:3">
      <c r="A2" s="3845" t="s">
        <v>3548</v>
      </c>
      <c r="B2" s="3845"/>
      <c r="C2" s="3845"/>
    </row>
    <row r="3" spans="1:3">
      <c r="A3" s="3844" t="s">
        <v>3549</v>
      </c>
      <c r="B3" s="3844"/>
      <c r="C3" s="3670" t="s">
        <v>3550</v>
      </c>
    </row>
    <row r="4" spans="1:3">
      <c r="A4" s="3843" t="s">
        <v>3551</v>
      </c>
      <c r="B4" s="3843"/>
      <c r="C4" s="3466">
        <v>707</v>
      </c>
    </row>
    <row r="5" spans="1:3">
      <c r="A5" s="3843" t="s">
        <v>3552</v>
      </c>
      <c r="B5" s="3843"/>
      <c r="C5" s="3467" t="s">
        <v>3558</v>
      </c>
    </row>
    <row r="6" spans="1:3">
      <c r="A6" s="3843" t="s">
        <v>3553</v>
      </c>
      <c r="B6" s="3843"/>
      <c r="C6" s="3466">
        <v>22558</v>
      </c>
    </row>
    <row r="7" spans="1:3">
      <c r="A7" s="3671" t="s">
        <v>3554</v>
      </c>
      <c r="B7" s="3672" t="s">
        <v>3555</v>
      </c>
      <c r="C7" s="3466">
        <v>459</v>
      </c>
    </row>
    <row r="8" spans="1:3">
      <c r="A8" s="3670"/>
      <c r="B8" s="3672" t="s">
        <v>3556</v>
      </c>
      <c r="C8" s="3466">
        <v>248</v>
      </c>
    </row>
    <row r="9" spans="1:3">
      <c r="A9" s="3843" t="s">
        <v>3559</v>
      </c>
      <c r="B9" s="3843"/>
      <c r="C9" s="3466">
        <v>110</v>
      </c>
    </row>
    <row r="10" spans="1:3">
      <c r="A10" s="3843" t="s">
        <v>3557</v>
      </c>
      <c r="B10" s="3843"/>
      <c r="C10" s="3466">
        <v>817</v>
      </c>
    </row>
    <row r="11" spans="1:3">
      <c r="A11" s="3843" t="s">
        <v>3552</v>
      </c>
      <c r="B11" s="3843"/>
      <c r="C11" s="3467" t="s">
        <v>3560</v>
      </c>
    </row>
    <row r="12" spans="1:3">
      <c r="A12" s="3843" t="s">
        <v>3553</v>
      </c>
      <c r="B12" s="3843"/>
      <c r="C12" s="3467">
        <v>26050</v>
      </c>
    </row>
  </sheetData>
  <mergeCells count="10">
    <mergeCell ref="A9:B9"/>
    <mergeCell ref="A10:B10"/>
    <mergeCell ref="A11:B11"/>
    <mergeCell ref="A12:B12"/>
    <mergeCell ref="A1:C1"/>
    <mergeCell ref="A2:C2"/>
    <mergeCell ref="A3:B3"/>
    <mergeCell ref="A4:B4"/>
    <mergeCell ref="A5:B5"/>
    <mergeCell ref="A6:B6"/>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720" t="str">
        <f>项目基本情况!B1</f>
        <v>房地产市场价值预评估</v>
      </c>
      <c r="C37" s="3720"/>
      <c r="D37" s="3720"/>
      <c r="E37" s="3720"/>
      <c r="F37" s="3720"/>
      <c r="G37" s="3720"/>
      <c r="H37" s="3720"/>
      <c r="I37" s="372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846" t="s">
        <v>3033</v>
      </c>
      <c r="B1" s="3847"/>
      <c r="C1" s="3847"/>
      <c r="D1" s="3847"/>
      <c r="E1" s="3847"/>
      <c r="F1" s="3847"/>
      <c r="G1" s="384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tabSelected="1" view="pageBreakPreview" zoomScale="80" zoomScaleNormal="80" zoomScaleSheetLayoutView="80" workbookViewId="0">
      <selection activeCell="H6" sqref="H6"/>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1111</v>
      </c>
      <c r="C5" s="2738">
        <f ca="1">ROUND(B5*10000/$B$1,0)</f>
        <v>35424</v>
      </c>
      <c r="D5" s="2738">
        <f ca="1">ROUND(B5*10000/$B$2,0)</f>
        <v>7702</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1111</v>
      </c>
      <c r="C7" s="2738">
        <f ca="1">ROUND(B7*10000/$B$1,0)</f>
        <v>35424</v>
      </c>
      <c r="D7" s="2738">
        <f ca="1">ROUND(B7*10000/$B$2,0)</f>
        <v>7702</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f ca="1">结果表!H118</f>
        <v>1111</v>
      </c>
      <c r="E14" s="2744">
        <f ca="1">ROUND(D14*10000/B14,0)</f>
        <v>35424</v>
      </c>
      <c r="F14" s="2744">
        <f ca="1">ROUND(D14*10000/C14,0)</f>
        <v>7702</v>
      </c>
      <c r="G14" s="2744" t="str">
        <f>结果表!D122</f>
        <v>——</v>
      </c>
      <c r="H14" s="2744">
        <f ca="1">结果表!D124</f>
        <v>1111</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918" t="str">
        <f>项目基本情况!S2</f>
        <v>房地产</v>
      </c>
      <c r="B2" s="3919"/>
      <c r="C2" s="3919"/>
      <c r="D2" s="3919"/>
      <c r="E2" s="3919"/>
      <c r="F2" s="3919"/>
      <c r="G2" s="3919"/>
      <c r="H2" s="3919"/>
      <c r="I2" s="3920"/>
    </row>
    <row r="3" spans="1:12" ht="12.75">
      <c r="A3" s="3922" t="s">
        <v>1950</v>
      </c>
      <c r="B3" s="3923"/>
      <c r="C3" s="3923"/>
      <c r="D3" s="3923"/>
      <c r="E3" s="3923"/>
      <c r="F3" s="3923"/>
      <c r="G3" s="3923"/>
      <c r="H3" s="3923"/>
      <c r="I3" s="3923"/>
    </row>
    <row r="4" spans="1:12" ht="14.25">
      <c r="A4" s="1940" t="s">
        <v>1951</v>
      </c>
      <c r="B4" s="1941" t="s">
        <v>1952</v>
      </c>
      <c r="C4" s="1942" t="s">
        <v>3084</v>
      </c>
      <c r="D4" s="1942" t="s">
        <v>3085</v>
      </c>
      <c r="E4" s="3927" t="s">
        <v>1953</v>
      </c>
      <c r="F4" s="3928"/>
      <c r="G4" s="3928"/>
      <c r="H4" s="3928"/>
      <c r="I4" s="392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863" t="s">
        <v>1954</v>
      </c>
      <c r="B5" s="3921">
        <v>25</v>
      </c>
      <c r="C5" s="3924">
        <v>5</v>
      </c>
      <c r="D5" s="3912">
        <v>5</v>
      </c>
      <c r="E5" s="136" t="s">
        <v>1955</v>
      </c>
      <c r="F5" s="1943"/>
      <c r="G5" s="1943"/>
      <c r="H5" s="1943"/>
      <c r="I5" s="1557"/>
    </row>
    <row r="6" spans="1:12" ht="12.75">
      <c r="A6" s="3863"/>
      <c r="B6" s="3921"/>
      <c r="C6" s="3926"/>
      <c r="D6" s="3912"/>
      <c r="E6" s="136" t="s">
        <v>1956</v>
      </c>
      <c r="F6" s="1943"/>
      <c r="G6" s="1943"/>
      <c r="H6" s="1943"/>
      <c r="I6" s="1557"/>
    </row>
    <row r="7" spans="1:12" ht="12.75">
      <c r="A7" s="3863"/>
      <c r="B7" s="3921"/>
      <c r="C7" s="3925"/>
      <c r="D7" s="3912"/>
      <c r="E7" s="136" t="s">
        <v>1957</v>
      </c>
      <c r="F7" s="1943"/>
      <c r="G7" s="1943"/>
      <c r="H7" s="1943"/>
      <c r="I7" s="1557"/>
    </row>
    <row r="8" spans="1:12" ht="12.75">
      <c r="A8" s="3863" t="s">
        <v>1958</v>
      </c>
      <c r="B8" s="3921">
        <v>15</v>
      </c>
      <c r="C8" s="3924"/>
      <c r="D8" s="3912"/>
      <c r="E8" s="136" t="s">
        <v>1959</v>
      </c>
      <c r="F8" s="1943"/>
      <c r="G8" s="1943"/>
      <c r="H8" s="1943"/>
      <c r="I8" s="1557"/>
    </row>
    <row r="9" spans="1:12" ht="12.75">
      <c r="A9" s="3863"/>
      <c r="B9" s="3921"/>
      <c r="C9" s="3925"/>
      <c r="D9" s="3912"/>
      <c r="E9" s="136" t="s">
        <v>1960</v>
      </c>
      <c r="F9" s="1943"/>
      <c r="G9" s="1943"/>
      <c r="H9" s="1943"/>
      <c r="I9" s="1557"/>
    </row>
    <row r="10" spans="1:12" ht="12.75">
      <c r="A10" s="3863" t="s">
        <v>1961</v>
      </c>
      <c r="B10" s="3921">
        <v>15</v>
      </c>
      <c r="C10" s="3924"/>
      <c r="D10" s="3912"/>
      <c r="E10" s="136" t="s">
        <v>1962</v>
      </c>
      <c r="F10" s="1943"/>
      <c r="G10" s="1943"/>
      <c r="H10" s="1943"/>
      <c r="I10" s="1557"/>
    </row>
    <row r="11" spans="1:12" ht="12.75">
      <c r="A11" s="3863"/>
      <c r="B11" s="3921"/>
      <c r="C11" s="3925"/>
      <c r="D11" s="3912"/>
      <c r="E11" s="136" t="s">
        <v>1963</v>
      </c>
      <c r="F11" s="1943"/>
      <c r="G11" s="1943"/>
      <c r="H11" s="1943"/>
      <c r="I11" s="1557"/>
    </row>
    <row r="12" spans="1:12" ht="12.75">
      <c r="A12" s="3863" t="s">
        <v>1964</v>
      </c>
      <c r="B12" s="3921">
        <v>15</v>
      </c>
      <c r="C12" s="3924"/>
      <c r="D12" s="3912"/>
      <c r="E12" s="136" t="s">
        <v>1965</v>
      </c>
      <c r="F12" s="1943"/>
      <c r="G12" s="1943"/>
      <c r="H12" s="1943"/>
      <c r="I12" s="1557"/>
    </row>
    <row r="13" spans="1:12" ht="12.75">
      <c r="A13" s="3863"/>
      <c r="B13" s="3921"/>
      <c r="C13" s="3925"/>
      <c r="D13" s="3912"/>
      <c r="E13" s="136" t="s">
        <v>1966</v>
      </c>
      <c r="F13" s="1943"/>
      <c r="G13" s="1943"/>
      <c r="H13" s="1943"/>
      <c r="I13" s="1557"/>
    </row>
    <row r="14" spans="1:12" ht="12.75">
      <c r="A14" s="3863" t="s">
        <v>1967</v>
      </c>
      <c r="B14" s="3921">
        <v>30</v>
      </c>
      <c r="C14" s="3924"/>
      <c r="D14" s="3912"/>
      <c r="E14" s="136" t="s">
        <v>1968</v>
      </c>
      <c r="F14" s="1943"/>
      <c r="G14" s="1943"/>
      <c r="H14" s="1943"/>
      <c r="I14" s="1557"/>
    </row>
    <row r="15" spans="1:12" ht="12.75">
      <c r="A15" s="3863"/>
      <c r="B15" s="3921"/>
      <c r="C15" s="3926"/>
      <c r="D15" s="3912"/>
      <c r="E15" s="136" t="s">
        <v>1969</v>
      </c>
      <c r="F15" s="1943"/>
      <c r="G15" s="1943"/>
      <c r="H15" s="1943"/>
      <c r="I15" s="1557"/>
    </row>
    <row r="16" spans="1:12" ht="12.75">
      <c r="A16" s="3863"/>
      <c r="B16" s="3921"/>
      <c r="C16" s="3925"/>
      <c r="D16" s="3912"/>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2.1" customHeight="1" thickBot="1">
      <c r="A18" s="1945" t="s">
        <v>1974</v>
      </c>
      <c r="B18" s="1946"/>
      <c r="C18" s="138">
        <f>ROUND(C17/SUM(C17:D17),2)</f>
        <v>0.5</v>
      </c>
      <c r="D18" s="138">
        <f>1-C18</f>
        <v>0.5</v>
      </c>
      <c r="E18" s="3943" t="s">
        <v>2874</v>
      </c>
      <c r="F18" s="3944"/>
      <c r="G18" s="3944"/>
      <c r="H18" s="3944"/>
      <c r="I18" s="3944"/>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342</v>
      </c>
      <c r="D19" s="140">
        <f ca="1">ROUND(经营性测算!C40/10000,0)</f>
        <v>1880</v>
      </c>
      <c r="E19" s="1947" t="s">
        <v>1978</v>
      </c>
      <c r="F19" s="1948" t="s">
        <v>1977</v>
      </c>
      <c r="G19" s="141">
        <f ca="1">ROUND(C19*$C$18+D19*$D$18,0)</f>
        <v>1111</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10905</v>
      </c>
      <c r="D20" s="143">
        <f ca="1">ROUND(D19*10000/经营性测算!B4,0)</f>
        <v>59943</v>
      </c>
      <c r="E20" s="1950"/>
      <c r="F20" s="1157" t="s">
        <v>1981</v>
      </c>
      <c r="G20" s="144">
        <f ca="1">ROUND(C20*$C$18+D20*$D$18,0)</f>
        <v>35424</v>
      </c>
      <c r="H20" s="917" t="s">
        <v>1982</v>
      </c>
      <c r="I20" s="134"/>
    </row>
    <row r="21" spans="1:36" ht="15" customHeight="1" thickBot="1">
      <c r="A21" s="937"/>
      <c r="B21" s="1951" t="s">
        <v>1983</v>
      </c>
      <c r="C21" s="728">
        <f ca="1">ROUND(C19*10000/L19,0)</f>
        <v>2371</v>
      </c>
      <c r="D21" s="729">
        <f ca="1">ROUND(D19*10000/L19,0)</f>
        <v>13033</v>
      </c>
      <c r="E21" s="937"/>
      <c r="F21" s="1951" t="s">
        <v>1983</v>
      </c>
      <c r="G21" s="145">
        <f ca="1">ROUND(G19*10000/L19,0)</f>
        <v>7702</v>
      </c>
      <c r="H21" s="1952" t="s">
        <v>1982</v>
      </c>
      <c r="I21" s="134"/>
    </row>
    <row r="22" spans="1:36" ht="15" thickBot="1">
      <c r="A22" s="1874" t="s">
        <v>1984</v>
      </c>
      <c r="B22" s="1953"/>
      <c r="C22" s="1954"/>
      <c r="D22" s="730">
        <f ca="1">IF(C19&lt;D19,D19/C19-1,C19/D19-1)</f>
        <v>4.4970760233918128</v>
      </c>
      <c r="E22" s="134"/>
      <c r="F22" s="134"/>
      <c r="G22" s="134"/>
      <c r="H22" s="134"/>
      <c r="I22" s="134"/>
    </row>
    <row r="23" spans="1:36" ht="13.5" thickBot="1">
      <c r="A23" s="1933"/>
      <c r="B23" s="1933"/>
      <c r="C23" s="1933"/>
      <c r="D23" s="1933"/>
      <c r="E23" s="134"/>
      <c r="F23" s="134"/>
      <c r="G23" s="134"/>
      <c r="H23" s="134"/>
      <c r="I23" s="134"/>
    </row>
    <row r="24" spans="1:36" ht="14.25">
      <c r="A24" s="3936" t="s">
        <v>1985</v>
      </c>
      <c r="B24" s="1948" t="s">
        <v>1977</v>
      </c>
      <c r="C24" s="141">
        <f>IF(B30=0,0,D30)</f>
        <v>0</v>
      </c>
      <c r="D24" s="1955"/>
      <c r="E24" s="134"/>
      <c r="F24" s="134"/>
      <c r="G24" s="134"/>
      <c r="H24" s="134"/>
      <c r="I24" s="134"/>
    </row>
    <row r="25" spans="1:36" ht="14.25">
      <c r="A25" s="393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35424</v>
      </c>
      <c r="D32" s="1961" t="s">
        <v>3083</v>
      </c>
      <c r="E32" s="134"/>
      <c r="F32" s="134"/>
      <c r="G32" s="134"/>
      <c r="H32" s="134"/>
      <c r="I32" s="134"/>
    </row>
    <row r="33" spans="1:15" ht="15">
      <c r="A33" s="894" t="s">
        <v>1992</v>
      </c>
      <c r="B33" s="1962"/>
      <c r="C33" s="1963" t="s">
        <v>3082</v>
      </c>
      <c r="D33" s="1964" t="s">
        <v>3084</v>
      </c>
      <c r="E33" s="1965" t="s">
        <v>1993</v>
      </c>
      <c r="F33" s="1966" t="str">
        <f>IF(D32="楼面单价","取值（单价）","取值（总价）")</f>
        <v>取值（单价）</v>
      </c>
      <c r="G33" s="134"/>
      <c r="H33" s="134"/>
      <c r="I33" s="134"/>
    </row>
    <row r="34" spans="1:15" ht="15">
      <c r="A34" s="1967"/>
      <c r="B34" s="1968" t="s">
        <v>1994</v>
      </c>
      <c r="C34" s="153">
        <f ca="1">IF(C33="自定义",F34,C32-C35)</f>
        <v>18031</v>
      </c>
      <c r="D34" s="970">
        <f ca="1">IF(C33="自定义",ROUND(C34/C32,3),IF(C33="收益比率",SUMIF(INDIRECT("'"&amp;D33&amp;"'"&amp;"!b:b"),"土地收益比率",INDIRECT("'"&amp;D33&amp;"'"&amp;"!c:c")),SUMIF(INDIRECT("'"&amp;D33&amp;"'"&amp;"!b:b"),"土地成本比率",INDIRECT("'"&amp;D33&amp;"'"&amp;"!c:c"))))</f>
        <v>0.50900000000000001</v>
      </c>
      <c r="E34" s="1969" t="s">
        <v>1995</v>
      </c>
      <c r="F34" s="1498">
        <f ca="1">C34*L18/L19/15</f>
        <v>261.36195711955037</v>
      </c>
      <c r="G34" s="134"/>
      <c r="H34" s="134"/>
      <c r="I34" s="134"/>
    </row>
    <row r="35" spans="1:15" ht="15.75" thickBot="1">
      <c r="A35" s="1970"/>
      <c r="B35" s="1971" t="s">
        <v>1996</v>
      </c>
      <c r="C35" s="1332">
        <f ca="1">IF(C33="自定义",F35,ROUND(C32*D35,0))</f>
        <v>17393</v>
      </c>
      <c r="D35" s="1333">
        <f ca="1">IF(C33="自定义",ROUND(C35/C32,3),IF(C33="收益比率",SUMIF(INDIRECT("'"&amp;D33&amp;"'"&amp;"!b:b"),"建筑物收益比率",INDIRECT("'"&amp;D33&amp;"'"&amp;"!c:c")),SUMIF(INDIRECT("'"&amp;D33&amp;"'"&amp;"!b:b"),"建筑物成本比率",INDIRECT("'"&amp;D33&amp;"'"&amp;"!c:c"))))</f>
        <v>0.49099999999999999</v>
      </c>
      <c r="E35" s="1972" t="s">
        <v>1997</v>
      </c>
      <c r="F35" s="159">
        <f ca="1">成本法!C51</f>
        <v>168</v>
      </c>
      <c r="G35" s="134"/>
      <c r="H35" s="134"/>
      <c r="I35" s="134"/>
    </row>
    <row r="36" spans="1:15" ht="15.75" thickBot="1">
      <c r="A36" s="3913" t="s">
        <v>1998</v>
      </c>
      <c r="B36" s="1973" t="s">
        <v>1999</v>
      </c>
      <c r="C36" s="150"/>
      <c r="D36" s="1974"/>
      <c r="E36" s="1975"/>
      <c r="F36" s="1976"/>
      <c r="G36" s="134"/>
      <c r="H36" s="134"/>
      <c r="I36" s="134"/>
    </row>
    <row r="37" spans="1:15" ht="15.75" thickBot="1">
      <c r="A37" s="3914"/>
      <c r="B37" s="1860" t="s">
        <v>2000</v>
      </c>
      <c r="C37" s="152"/>
      <c r="D37" s="1301"/>
      <c r="E37" s="1301"/>
      <c r="F37" s="1976"/>
      <c r="G37" s="134"/>
      <c r="H37" s="134"/>
      <c r="I37" s="134"/>
    </row>
    <row r="38" spans="1:15" ht="15.75" thickBot="1">
      <c r="A38" s="391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933" t="s">
        <v>2012</v>
      </c>
      <c r="B45" s="3934"/>
      <c r="C45" s="3935"/>
      <c r="D45" s="160">
        <f ca="1">ROUND(H101*F45,0)</f>
        <v>1111</v>
      </c>
      <c r="E45" s="161" t="s">
        <v>2013</v>
      </c>
      <c r="F45" s="162">
        <v>1</v>
      </c>
      <c r="G45" s="163" t="s">
        <v>2014</v>
      </c>
      <c r="H45" s="134"/>
      <c r="I45" s="134"/>
      <c r="J45" s="3850" t="s">
        <v>2015</v>
      </c>
      <c r="K45" s="3850"/>
      <c r="L45" s="3850"/>
      <c r="M45" s="3850"/>
      <c r="N45" s="3850"/>
      <c r="O45" s="3850"/>
    </row>
    <row r="46" spans="1:15" ht="14.25" customHeight="1">
      <c r="A46" s="3930" t="s">
        <v>2016</v>
      </c>
      <c r="B46" s="3931"/>
      <c r="C46" s="3931"/>
      <c r="D46" s="3931"/>
      <c r="E46" s="3931"/>
      <c r="F46" s="3931"/>
      <c r="G46" s="3932"/>
      <c r="H46" s="1992"/>
      <c r="I46" s="164"/>
      <c r="J46" s="2749">
        <v>1</v>
      </c>
      <c r="K46" s="3851" t="s">
        <v>2017</v>
      </c>
      <c r="L46" s="3851"/>
      <c r="M46" s="3852"/>
      <c r="N46" s="3852"/>
      <c r="O46" s="3852"/>
    </row>
    <row r="47" spans="1:15" ht="12" customHeight="1">
      <c r="A47" s="165" t="s">
        <v>2018</v>
      </c>
      <c r="B47" s="166"/>
      <c r="C47" s="167"/>
      <c r="D47" s="1247" t="s">
        <v>2019</v>
      </c>
      <c r="E47" s="308" t="s">
        <v>2020</v>
      </c>
      <c r="F47" s="168" t="s">
        <v>2021</v>
      </c>
      <c r="G47" s="2772" t="s">
        <v>2022</v>
      </c>
      <c r="H47" s="2773"/>
      <c r="I47" s="164"/>
      <c r="J47" s="2749">
        <v>2</v>
      </c>
      <c r="K47" s="3851" t="s">
        <v>2023</v>
      </c>
      <c r="L47" s="3851"/>
      <c r="M47" s="3853">
        <f>'数据-取费表'!B2</f>
        <v>44357</v>
      </c>
      <c r="N47" s="3853"/>
      <c r="O47" s="3853"/>
    </row>
    <row r="48" spans="1:15" ht="25.5">
      <c r="A48" s="3916" t="s">
        <v>2024</v>
      </c>
      <c r="B48" s="3917"/>
      <c r="C48" s="3917"/>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851" t="s">
        <v>2026</v>
      </c>
      <c r="L48" s="3851"/>
      <c r="M48" s="3854">
        <f ca="1">H101</f>
        <v>1111</v>
      </c>
      <c r="N48" s="3854"/>
      <c r="O48" s="3854"/>
    </row>
    <row r="49" spans="1:35" ht="25.5" customHeight="1">
      <c r="A49" s="2556" t="s">
        <v>2027</v>
      </c>
      <c r="B49" s="3899" t="s">
        <v>2028</v>
      </c>
      <c r="C49" s="3899"/>
      <c r="D49" s="1775">
        <v>0</v>
      </c>
      <c r="E49" s="330" t="s">
        <v>2029</v>
      </c>
      <c r="F49" s="2650" t="s">
        <v>34</v>
      </c>
      <c r="G49" s="3882"/>
      <c r="H49" s="2528" t="s">
        <v>2877</v>
      </c>
      <c r="I49" s="2529"/>
      <c r="J49" s="2749">
        <v>4</v>
      </c>
      <c r="K49" s="3851" t="str">
        <f>IF(项目基本情况!E8="房地产抵押价值","房地产抵押价值","抵押担保权已注销时的房地产抵押价值")</f>
        <v>抵押担保权已注销时的房地产抵押价值</v>
      </c>
      <c r="L49" s="3851"/>
      <c r="M49" s="3854">
        <f ca="1">IF(项目基本情况!E8="房地产抵押价值",H107,H109)</f>
        <v>1111</v>
      </c>
      <c r="N49" s="3854"/>
      <c r="O49" s="3854"/>
    </row>
    <row r="50" spans="1:35" ht="25.5" customHeight="1">
      <c r="A50" s="2777"/>
      <c r="B50" s="3899" t="s">
        <v>2030</v>
      </c>
      <c r="C50" s="3899"/>
      <c r="D50" s="2778"/>
      <c r="E50" s="338"/>
      <c r="F50" s="2650"/>
      <c r="G50" s="3883"/>
      <c r="H50" s="2530" t="s">
        <v>2878</v>
      </c>
      <c r="I50" s="2529"/>
      <c r="J50" s="3850" t="s">
        <v>2031</v>
      </c>
      <c r="K50" s="3850"/>
      <c r="L50" s="3850"/>
      <c r="M50" s="3850"/>
      <c r="N50" s="3850"/>
      <c r="O50" s="3850"/>
    </row>
    <row r="51" spans="1:35" ht="20.45" customHeight="1">
      <c r="A51" s="2779"/>
      <c r="B51" s="3899" t="s">
        <v>2032</v>
      </c>
      <c r="C51" s="3899"/>
      <c r="D51" s="1247"/>
      <c r="E51" s="333"/>
      <c r="F51" s="2650"/>
      <c r="G51" s="3884"/>
      <c r="H51" s="2530" t="s">
        <v>2879</v>
      </c>
      <c r="I51" s="2529"/>
      <c r="J51" s="2750" t="s">
        <v>2033</v>
      </c>
      <c r="K51" s="3851" t="s">
        <v>2034</v>
      </c>
      <c r="L51" s="3851"/>
      <c r="M51" s="2750" t="s">
        <v>2035</v>
      </c>
      <c r="N51" s="2750" t="s">
        <v>2036</v>
      </c>
      <c r="O51" s="2750" t="s">
        <v>2037</v>
      </c>
    </row>
    <row r="52" spans="1:35" ht="24" customHeight="1">
      <c r="A52" s="2558" t="s">
        <v>2038</v>
      </c>
      <c r="B52" s="3899" t="s">
        <v>2039</v>
      </c>
      <c r="C52" s="3899"/>
      <c r="D52" s="1247">
        <f ca="1">ROUND(D45*'数据-取费表'!B41/(1+'数据-取费表'!C42),0)</f>
        <v>58</v>
      </c>
      <c r="E52" s="2557" t="s">
        <v>2040</v>
      </c>
      <c r="F52" s="2780">
        <f>'数据-取费表'!B41</f>
        <v>5.5000000000000007E-2</v>
      </c>
      <c r="G52" s="2781"/>
      <c r="H52" s="2770"/>
      <c r="I52" s="1993"/>
      <c r="J52" s="2749">
        <v>1</v>
      </c>
      <c r="K52" s="3876" t="s">
        <v>2041</v>
      </c>
      <c r="L52" s="3876"/>
      <c r="M52" s="2751" t="b">
        <f>D48</f>
        <v>0</v>
      </c>
      <c r="N52" s="2749" t="str">
        <f>E48</f>
        <v>销售额×税（费）率</v>
      </c>
      <c r="O52" s="2752">
        <f>F48</f>
        <v>5.5000000000000007E-2</v>
      </c>
    </row>
    <row r="53" spans="1:35" ht="12" customHeight="1">
      <c r="A53" s="2558" t="s">
        <v>2042</v>
      </c>
      <c r="B53" s="3900" t="s">
        <v>3038</v>
      </c>
      <c r="C53" s="3901"/>
      <c r="D53" s="1247">
        <f ca="1">ROUND(D45*'数据-取费表'!B41/(1+'数据-取费表'!C42),0)</f>
        <v>58</v>
      </c>
      <c r="E53" s="2557" t="s">
        <v>2040</v>
      </c>
      <c r="F53" s="2780">
        <f>'数据-取费表'!B41</f>
        <v>5.5000000000000007E-2</v>
      </c>
      <c r="G53" s="2781"/>
      <c r="H53" s="2770"/>
      <c r="I53" s="1993"/>
      <c r="J53" s="2749">
        <v>2</v>
      </c>
      <c r="K53" s="3876" t="s">
        <v>2043</v>
      </c>
      <c r="L53" s="3876"/>
      <c r="M53" s="2751">
        <f t="shared" ref="M53:O54" ca="1" si="0">D55</f>
        <v>1</v>
      </c>
      <c r="N53" s="2749" t="str">
        <f t="shared" si="0"/>
        <v>销售额×税（费）率</v>
      </c>
      <c r="O53" s="2752" t="str">
        <f t="shared" si="0"/>
        <v>免征</v>
      </c>
    </row>
    <row r="54" spans="1:35" ht="12" customHeight="1">
      <c r="A54" s="2558" t="s">
        <v>2044</v>
      </c>
      <c r="B54" s="3900" t="s">
        <v>3039</v>
      </c>
      <c r="C54" s="3901"/>
      <c r="D54" s="1247">
        <f ca="1">C68</f>
        <v>58</v>
      </c>
      <c r="E54" s="333" t="s">
        <v>2045</v>
      </c>
      <c r="F54" s="2780">
        <f>'数据-取费表'!B41</f>
        <v>5.5000000000000007E-2</v>
      </c>
      <c r="G54" s="2781"/>
      <c r="H54" s="2782"/>
      <c r="I54" s="1993"/>
      <c r="J54" s="2749">
        <v>3</v>
      </c>
      <c r="K54" s="3876" t="s">
        <v>2046</v>
      </c>
      <c r="L54" s="3876"/>
      <c r="M54" s="2751">
        <f t="shared" ca="1" si="0"/>
        <v>630</v>
      </c>
      <c r="N54" s="2749" t="str">
        <f t="shared" si="0"/>
        <v>增值额×税（费）率</v>
      </c>
      <c r="O54" s="2753" t="str">
        <f t="shared" si="0"/>
        <v>免征</v>
      </c>
    </row>
    <row r="55" spans="1:35" ht="24" customHeight="1">
      <c r="A55" s="3939" t="s">
        <v>2047</v>
      </c>
      <c r="B55" s="3917"/>
      <c r="C55" s="3917"/>
      <c r="D55" s="2547">
        <f ca="1">IF(H55="个人住宅",0,ROUND(D45*I55,0))</f>
        <v>1</v>
      </c>
      <c r="E55" s="2557" t="s">
        <v>2048</v>
      </c>
      <c r="F55" s="2780" t="str">
        <f>IF(H55="正常",I55,"免征")</f>
        <v>免征</v>
      </c>
      <c r="G55" s="2781"/>
      <c r="H55" s="2776"/>
      <c r="I55" s="170">
        <f>'数据-取费表'!B49</f>
        <v>5.0000000000000001E-4</v>
      </c>
      <c r="J55" s="2749">
        <f>IF(H59="非个人房产","",4)</f>
        <v>4</v>
      </c>
      <c r="K55" s="3876" t="str">
        <f>IF(H59="非个人房产","——","个人所得税")</f>
        <v>个人所得税</v>
      </c>
      <c r="L55" s="3876"/>
      <c r="M55" s="2754">
        <f ca="1">D59</f>
        <v>11</v>
      </c>
      <c r="N55" s="2228" t="str">
        <f>E59</f>
        <v>差额计税</v>
      </c>
      <c r="O55" s="2755">
        <f>F59</f>
        <v>0.01</v>
      </c>
    </row>
    <row r="56" spans="1:35" ht="24.75">
      <c r="A56" s="3939" t="s">
        <v>2049</v>
      </c>
      <c r="B56" s="3917"/>
      <c r="C56" s="3917"/>
      <c r="D56" s="2547">
        <f ca="1">IF(H56="个人住宅",D57,D58)</f>
        <v>630</v>
      </c>
      <c r="E56" s="2557" t="s">
        <v>2050</v>
      </c>
      <c r="F56" s="2780" t="str">
        <f>IF(H56="正常",F58,"免征")</f>
        <v>免征</v>
      </c>
      <c r="G56" s="2783" t="s">
        <v>2051</v>
      </c>
      <c r="H56" s="2784"/>
      <c r="I56" s="1994"/>
      <c r="J56" s="2749" t="str">
        <f>IF(项目基本情况!K6="上海银行",IF(J55="",4,J55+1),"")</f>
        <v/>
      </c>
      <c r="K56" s="3857" t="str">
        <f>IF(项目基本情况!K6="上海银行","其他处置费用","")</f>
        <v/>
      </c>
      <c r="L56" s="3858"/>
      <c r="M56" s="2751" t="str">
        <f>IF(项目基本情况!K6="上海银行",M69,"")</f>
        <v/>
      </c>
      <c r="N56" s="3857" t="str">
        <f>IF(项目基本情况!K6="上海银行","包含处置中涉及的律师、诉讼、拍卖、评估等费用","")</f>
        <v/>
      </c>
      <c r="O56" s="3860"/>
    </row>
    <row r="57" spans="1:35" ht="12.75">
      <c r="A57" s="2558" t="s">
        <v>2027</v>
      </c>
      <c r="B57" s="3900" t="s">
        <v>2052</v>
      </c>
      <c r="C57" s="3901"/>
      <c r="D57" s="1775">
        <v>0</v>
      </c>
      <c r="E57" s="330" t="s">
        <v>2029</v>
      </c>
      <c r="F57" s="308"/>
      <c r="G57" s="2781"/>
      <c r="H57" s="2785"/>
      <c r="I57" s="1994"/>
      <c r="J57" s="3876">
        <f>IF(AND(J55="",J56=""),4,IF(项目基本情况!K6="上海银行",结果表!J56+1,结果表!J55+1))</f>
        <v>5</v>
      </c>
      <c r="K57" s="3876" t="s">
        <v>2053</v>
      </c>
      <c r="L57" s="2756" t="s">
        <v>2054</v>
      </c>
      <c r="M57" s="2757"/>
      <c r="N57" s="2758">
        <f ca="1">SUMIF(M52:M56,"&lt;9e307")</f>
        <v>642</v>
      </c>
      <c r="O57" s="2759"/>
      <c r="P57" s="2919">
        <f ca="1">N57/M49</f>
        <v>0.57785778577857783</v>
      </c>
    </row>
    <row r="58" spans="1:35" ht="24.75">
      <c r="A58" s="2558" t="s">
        <v>2038</v>
      </c>
      <c r="B58" s="3900" t="s">
        <v>2055</v>
      </c>
      <c r="C58" s="3899"/>
      <c r="D58" s="2547">
        <f ca="1">IF(H58="转让取得",C81,C97)</f>
        <v>630</v>
      </c>
      <c r="E58" s="2557" t="s">
        <v>2050</v>
      </c>
      <c r="F58" s="308" t="s">
        <v>34</v>
      </c>
      <c r="G58" s="2781"/>
      <c r="H58" s="2784"/>
      <c r="I58" s="1994"/>
      <c r="J58" s="3876"/>
      <c r="K58" s="3876"/>
      <c r="L58" s="2756" t="s">
        <v>2056</v>
      </c>
      <c r="M58" s="2760"/>
      <c r="N58" s="2761" t="str">
        <f ca="1">NUMBERSTRING(INT(N57*10000),2)&amp;"元整"</f>
        <v>陆佰肆拾贰万元整</v>
      </c>
      <c r="O58" s="2762"/>
    </row>
    <row r="59" spans="1:35" ht="24.75" thickBot="1">
      <c r="A59" s="3880" t="s">
        <v>2057</v>
      </c>
      <c r="B59" s="3881"/>
      <c r="C59" s="3881"/>
      <c r="D59" s="2786">
        <f ca="1">IF(H59="非个人房产","——",IF(H59="个人住宅（满五唯一有凭证）",0,IF(H59="个人其他（无凭证）",ROUND(D45*F59,0),ROUND(C67*F59,0))))</f>
        <v>11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878">
        <f>J57+1</f>
        <v>6</v>
      </c>
      <c r="K59" s="3876" t="s">
        <v>2058</v>
      </c>
      <c r="L59" s="2749" t="s">
        <v>2054</v>
      </c>
      <c r="M59" s="2763"/>
      <c r="N59" s="2764">
        <f ca="1">M49-N57</f>
        <v>469</v>
      </c>
      <c r="O59" s="2765"/>
    </row>
    <row r="60" spans="1:35" ht="12" customHeight="1">
      <c r="A60" s="1995"/>
      <c r="B60" s="1933"/>
      <c r="C60" s="1933"/>
      <c r="D60" s="1933"/>
      <c r="E60" s="1763"/>
      <c r="F60" s="1994"/>
      <c r="G60" s="1994"/>
      <c r="H60" s="1996"/>
      <c r="I60" s="134"/>
      <c r="J60" s="3879"/>
      <c r="K60" s="3876"/>
      <c r="L60" s="2756" t="s">
        <v>2056</v>
      </c>
      <c r="M60" s="2760"/>
      <c r="N60" s="2761" t="str">
        <f ca="1">NUMBERSTRING(INT(N59*10000),2)&amp;"元整"</f>
        <v>肆佰陆拾玖万元整</v>
      </c>
      <c r="O60" s="2762"/>
    </row>
    <row r="61" spans="1:35" ht="13.5" thickBot="1">
      <c r="A61" s="3938" t="s">
        <v>2059</v>
      </c>
      <c r="B61" s="3938"/>
      <c r="C61" s="3938"/>
      <c r="D61" s="3938"/>
      <c r="E61" s="3938"/>
      <c r="F61" s="1994"/>
      <c r="G61" s="1994"/>
      <c r="H61" s="1996"/>
      <c r="I61" s="134"/>
      <c r="J61" s="2749">
        <f>J59+1</f>
        <v>7</v>
      </c>
      <c r="K61" s="3876" t="s">
        <v>2060</v>
      </c>
      <c r="L61" s="3876"/>
      <c r="M61" s="2766"/>
      <c r="N61" s="2767">
        <f ca="1">ROUND(N59*10000/'数据-汇总表'!E3,0)</f>
        <v>14954</v>
      </c>
      <c r="O61" s="2768"/>
    </row>
    <row r="62" spans="1:35" ht="12.75">
      <c r="A62" s="3895" t="s">
        <v>2061</v>
      </c>
      <c r="B62" s="3896"/>
      <c r="C62" s="2209"/>
      <c r="D62" s="2209" t="s">
        <v>2062</v>
      </c>
      <c r="E62" s="171" t="s">
        <v>2063</v>
      </c>
      <c r="F62" s="1994"/>
      <c r="G62" s="1994"/>
      <c r="H62" s="1996"/>
      <c r="I62" s="134"/>
    </row>
    <row r="63" spans="1:35" ht="12.75">
      <c r="A63" s="178" t="s">
        <v>775</v>
      </c>
      <c r="B63" s="172" t="s">
        <v>2064</v>
      </c>
      <c r="C63" s="2790">
        <f ca="1">ROUND((C64+C65)/(1+'数据-取费表'!C42),0)</f>
        <v>1058</v>
      </c>
      <c r="D63" s="172"/>
      <c r="E63" s="173"/>
      <c r="F63" s="1994"/>
      <c r="G63" s="1994"/>
      <c r="H63" s="1996"/>
      <c r="I63" s="134"/>
      <c r="J63" s="3859" t="s">
        <v>2065</v>
      </c>
      <c r="K63" s="1501" t="s">
        <v>2066</v>
      </c>
      <c r="L63" s="1501">
        <f ca="1">IF(M49&gt;10000,M49*0.5%,IF(AND(M49&gt;1000,M49&lt;=10000),M49*1%,IF(AND(M49&gt;100,M49&lt;=1000),M49*3%,IF(AND(M49&gt;10,M49&lt;=100),M49*5%,M49*8%))))</f>
        <v>11.11</v>
      </c>
      <c r="M63" s="308">
        <f ca="1">ROUND(L63,1)</f>
        <v>11.1</v>
      </c>
      <c r="N63" s="2769"/>
      <c r="Z63" s="1938"/>
      <c r="AI63" s="1939"/>
    </row>
    <row r="64" spans="1:35" ht="14.25" customHeight="1">
      <c r="A64" s="174" t="s">
        <v>770</v>
      </c>
      <c r="B64" s="175" t="s">
        <v>2067</v>
      </c>
      <c r="C64" s="2791">
        <f ca="1">D45</f>
        <v>1111</v>
      </c>
      <c r="D64" s="175" t="s">
        <v>32</v>
      </c>
      <c r="E64" s="177"/>
      <c r="F64" s="1994"/>
      <c r="G64" s="1994"/>
      <c r="H64" s="1996"/>
      <c r="I64" s="134"/>
      <c r="J64" s="3859"/>
      <c r="K64" s="1501" t="s">
        <v>2068</v>
      </c>
      <c r="L64" s="1501">
        <f ca="1">IF(M49&gt;2000,M49*0.5%,IF(AND(M49&gt;1000,M49&lt;=2000),M49*0.6%,IF(AND(M49&gt;500,M49&lt;=1000),M49*0.7%,IF(AND(M49&gt;200,M49&lt;=500),M49*0.8%,IF(AND(M49&gt;100,M49&lt;=200),M49*0.9%,IF(AND(M49&gt;50,M49&lt;=100),M49*1%,IF(AND(M49&gt;20,M49&lt;=50),M49*1.5%,IF(AND(M49&gt;10,M49&lt;=20),M49*2%,IF(AND(M49&gt;1,M49&lt;=10),M49*2.5%)))))))))</f>
        <v>6.6660000000000004</v>
      </c>
      <c r="M64" s="308">
        <f t="shared" ref="M64:M65" ca="1" si="1">ROUND(L64,1)</f>
        <v>6.7</v>
      </c>
      <c r="N64" s="2770" t="s">
        <v>2069</v>
      </c>
      <c r="Z64" s="1938"/>
      <c r="AI64" s="1939"/>
    </row>
    <row r="65" spans="1:35" ht="14.25" customHeight="1">
      <c r="A65" s="174" t="s">
        <v>771</v>
      </c>
      <c r="B65" s="175" t="s">
        <v>2070</v>
      </c>
      <c r="C65" s="2792"/>
      <c r="D65" s="175"/>
      <c r="E65" s="177"/>
      <c r="F65" s="1994"/>
      <c r="G65" s="1994"/>
      <c r="H65" s="1996"/>
      <c r="I65" s="134"/>
      <c r="J65" s="3859"/>
      <c r="K65" s="1501" t="s">
        <v>2071</v>
      </c>
      <c r="L65" s="1501">
        <f ca="1">IF(M49&gt;1000,M49*0.1%,IF(AND(M49&gt;500,M49&lt;=1000),M49*0.5%,IF(AND(M49&gt;50,M49&lt;=500),M49*1%,IF(AND(M49&gt;1,M49&lt;=50),M49*1.5%))))</f>
        <v>1.111</v>
      </c>
      <c r="M65" s="308">
        <f t="shared" ca="1" si="1"/>
        <v>1.1000000000000001</v>
      </c>
      <c r="N65" s="2770" t="s">
        <v>2069</v>
      </c>
      <c r="Z65" s="1938"/>
      <c r="AI65" s="1939"/>
    </row>
    <row r="66" spans="1:35" ht="14.25" customHeight="1">
      <c r="A66" s="178" t="s">
        <v>772</v>
      </c>
      <c r="B66" s="179" t="s">
        <v>2072</v>
      </c>
      <c r="C66" s="2793"/>
      <c r="D66" s="179" t="s">
        <v>32</v>
      </c>
      <c r="E66" s="1509" t="s">
        <v>1337</v>
      </c>
      <c r="F66" s="1994"/>
      <c r="G66" s="1994"/>
      <c r="H66" s="1996"/>
      <c r="I66" s="134"/>
      <c r="J66" s="3859"/>
      <c r="K66" s="1501" t="s">
        <v>2073</v>
      </c>
      <c r="L66" s="1501">
        <f ca="1">M49*0.5%</f>
        <v>5.5549999999999997</v>
      </c>
      <c r="M66" s="308">
        <f ca="1">IF(L66&gt;0.5,0.5,ROUND(L66,0))</f>
        <v>0.5</v>
      </c>
      <c r="N66" s="2770" t="s">
        <v>2074</v>
      </c>
      <c r="Z66" s="1938"/>
      <c r="AI66" s="1939"/>
    </row>
    <row r="67" spans="1:35" ht="14.25" customHeight="1">
      <c r="A67" s="178" t="s">
        <v>773</v>
      </c>
      <c r="B67" s="179" t="s">
        <v>2075</v>
      </c>
      <c r="C67" s="2794">
        <f ca="1">C63-C66</f>
        <v>1058</v>
      </c>
      <c r="D67" s="175" t="s">
        <v>32</v>
      </c>
      <c r="E67" s="177"/>
      <c r="F67" s="1994"/>
      <c r="G67" s="1994"/>
      <c r="H67" s="1996"/>
      <c r="I67" s="134"/>
      <c r="J67" s="3859"/>
      <c r="K67" s="1501" t="s">
        <v>2076</v>
      </c>
      <c r="L67" s="1501">
        <f ca="1">IF(M49&gt;=10000,(8.25+(M49-10000)*0.01%),IF(AND(M49&gt;=8000,M49&lt;10000),(7.85+(M49-8000)*0.02%),IF(AND(M49&gt;=5000,M49&lt;8000),(6.65+(M49-5000)*0.04%),IF(AND(M49&gt;=2000,M49&lt;5000),(4.25+(PM49-2000)*0.08%),IF(AND(M49&gt;=1000,M49&lt;2000),(2.75+(M49-1000)*0.15%),IF(AND(M49&gt;=100,M49&lt;1000),(0.5+(M49-100)*0.25%),IF(AND(M49&gt;0,M49&lt;100),M49*0.5%)))))))</f>
        <v>2.9165000000000001</v>
      </c>
      <c r="M67" s="308">
        <f ca="1">ROUND(L67*0.9,1)</f>
        <v>2.6</v>
      </c>
      <c r="N67" s="2769"/>
      <c r="Z67" s="1938"/>
      <c r="AI67" s="1939"/>
    </row>
    <row r="68" spans="1:35" ht="14.25" customHeight="1" thickBot="1">
      <c r="A68" s="181" t="s">
        <v>774</v>
      </c>
      <c r="B68" s="182" t="s">
        <v>2077</v>
      </c>
      <c r="C68" s="2795">
        <f ca="1">IF(C67&lt;=0,0,ROUND(C67*D68,0))</f>
        <v>58</v>
      </c>
      <c r="D68" s="2796">
        <f>'数据-取费表'!B41</f>
        <v>5.5000000000000007E-2</v>
      </c>
      <c r="E68" s="184"/>
      <c r="F68" s="1994"/>
      <c r="G68" s="1994"/>
      <c r="H68" s="1996"/>
      <c r="I68" s="134"/>
      <c r="J68" s="3859"/>
      <c r="K68" s="1501" t="s">
        <v>2078</v>
      </c>
      <c r="L68" s="1501">
        <f ca="1">IF(M49&gt;10000,M49*0.5%,IF(AND(M49&gt;5000,M49&lt;=10000),M49*1%,IF(AND(M49&gt;1000,M49&lt;=5000),M49*2%,IF(AND(M49&gt;200,M49&lt;=1000),M49*3%,M49*5%))))</f>
        <v>22.22</v>
      </c>
      <c r="M68" s="308">
        <f ca="1">ROUND(L68,1)</f>
        <v>22.2</v>
      </c>
      <c r="N68" s="2769"/>
      <c r="Z68" s="1938"/>
      <c r="AI68" s="1939"/>
    </row>
    <row r="69" spans="1:35" s="1958" customFormat="1" ht="16.5" customHeight="1">
      <c r="A69" s="1997"/>
      <c r="B69" s="1998"/>
      <c r="C69" s="1999"/>
      <c r="D69" s="2000"/>
      <c r="E69" s="2001"/>
      <c r="F69" s="1763"/>
      <c r="G69" s="1763"/>
      <c r="H69" s="1762"/>
      <c r="I69" s="1933"/>
      <c r="J69" s="3859"/>
      <c r="K69" s="1501" t="s">
        <v>2079</v>
      </c>
      <c r="L69" s="1501"/>
      <c r="M69" s="308">
        <f ca="1">ROUND(SUM(M63:M68),0)</f>
        <v>44</v>
      </c>
      <c r="N69" s="2771">
        <f ca="1">M69/M49</f>
        <v>3.9603960396039604E-2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903" t="s">
        <v>2080</v>
      </c>
      <c r="B70" s="3904"/>
      <c r="C70" s="3904"/>
      <c r="D70" s="3904"/>
      <c r="E70" s="3904"/>
      <c r="F70" s="3904"/>
      <c r="G70" s="3904"/>
      <c r="H70" s="3904"/>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95" t="s">
        <v>2061</v>
      </c>
      <c r="B71" s="3896"/>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1058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900" t="s">
        <v>2088</v>
      </c>
      <c r="F76" s="3899"/>
      <c r="G76" s="3899"/>
      <c r="H76" s="390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5</v>
      </c>
      <c r="D78" s="2803">
        <f>'数据-取费表'!B43</f>
        <v>5.000000000000001E-3</v>
      </c>
      <c r="E78" s="3892" t="s">
        <v>2092</v>
      </c>
      <c r="F78" s="3893"/>
      <c r="G78" s="3893"/>
      <c r="H78" s="389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1053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210.6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630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903" t="s">
        <v>2096</v>
      </c>
      <c r="B83" s="3904"/>
      <c r="C83" s="3904"/>
      <c r="D83" s="3904"/>
      <c r="E83" s="3904"/>
      <c r="F83" s="3904"/>
      <c r="G83" s="3904"/>
      <c r="H83" s="390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95" t="s">
        <v>2061</v>
      </c>
      <c r="B84" s="389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1058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861" t="s">
        <v>2872</v>
      </c>
      <c r="H90" s="3862"/>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92" t="s">
        <v>2105</v>
      </c>
      <c r="F91" s="3893"/>
      <c r="G91" s="389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92" t="s">
        <v>2108</v>
      </c>
      <c r="F92" s="3893"/>
      <c r="G92" s="3893"/>
      <c r="H92" s="3894"/>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5</v>
      </c>
      <c r="D93" s="2803">
        <f>'数据-取费表'!B43</f>
        <v>5.000000000000001E-3</v>
      </c>
      <c r="E93" s="3892" t="s">
        <v>2092</v>
      </c>
      <c r="F93" s="3893"/>
      <c r="G93" s="3893"/>
      <c r="H93" s="389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940" t="s">
        <v>2112</v>
      </c>
      <c r="F94" s="3941"/>
      <c r="G94" s="3941"/>
      <c r="H94" s="394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1053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210.6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630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806" t="s">
        <v>2114</v>
      </c>
      <c r="B100" s="3807"/>
      <c r="C100" s="3807"/>
      <c r="D100" s="3877"/>
      <c r="E100" s="3807" t="s">
        <v>2115</v>
      </c>
      <c r="F100" s="3807"/>
      <c r="G100" s="3807"/>
      <c r="H100" s="3877"/>
      <c r="I100" s="134"/>
    </row>
    <row r="101" spans="1:35" ht="18.75" customHeight="1">
      <c r="A101" s="3885" t="s">
        <v>2116</v>
      </c>
      <c r="B101" s="3886"/>
      <c r="C101" s="2811" t="str">
        <f>C4</f>
        <v>成本法</v>
      </c>
      <c r="D101" s="2812" t="str">
        <f>D4</f>
        <v>收益法</v>
      </c>
      <c r="E101" s="3855" t="s">
        <v>2117</v>
      </c>
      <c r="F101" s="3856"/>
      <c r="G101" s="2013" t="s">
        <v>2118</v>
      </c>
      <c r="H101" s="2821">
        <f ca="1">H118</f>
        <v>1111</v>
      </c>
      <c r="I101" s="134"/>
    </row>
    <row r="102" spans="1:35" ht="18.75" customHeight="1">
      <c r="A102" s="3887" t="s">
        <v>2119</v>
      </c>
      <c r="B102" s="2810" t="s">
        <v>2118</v>
      </c>
      <c r="C102" s="2811">
        <f ca="1">C19</f>
        <v>342</v>
      </c>
      <c r="D102" s="2812">
        <f ca="1">D19</f>
        <v>1880</v>
      </c>
      <c r="E102" s="3855"/>
      <c r="F102" s="3856"/>
      <c r="G102" s="2013" t="s">
        <v>2120</v>
      </c>
      <c r="H102" s="2781">
        <f ca="1">I118</f>
        <v>35424</v>
      </c>
      <c r="I102" s="134"/>
    </row>
    <row r="103" spans="1:35" ht="42.75" customHeight="1">
      <c r="A103" s="3887"/>
      <c r="B103" s="2810" t="s">
        <v>2120</v>
      </c>
      <c r="C103" s="2813">
        <f ca="1">C20</f>
        <v>10905</v>
      </c>
      <c r="D103" s="2814">
        <f ca="1">D20</f>
        <v>59943</v>
      </c>
      <c r="E103" s="3848" t="s">
        <v>2121</v>
      </c>
      <c r="F103" s="3849"/>
      <c r="G103" s="2014" t="s">
        <v>2122</v>
      </c>
      <c r="H103" s="2821">
        <f>IF(D36="正常操作",H104+H105+H106,H105+H106)</f>
        <v>0</v>
      </c>
      <c r="I103" s="134"/>
    </row>
    <row r="104" spans="1:35" ht="18.75" customHeight="1">
      <c r="A104" s="3887" t="s">
        <v>2123</v>
      </c>
      <c r="B104" s="2815" t="s">
        <v>2118</v>
      </c>
      <c r="C104" s="2816">
        <f ca="1">H118</f>
        <v>1111</v>
      </c>
      <c r="D104" s="2817"/>
      <c r="E104" s="1860" t="s">
        <v>2124</v>
      </c>
      <c r="F104" s="1851"/>
      <c r="G104" s="2014" t="s">
        <v>2122</v>
      </c>
      <c r="H104" s="2822">
        <f>IF(D36="同一抵押权人同一抵押物续贷",C36&amp;"（续贷，未扣减，详见特别提示）",C36)</f>
        <v>0</v>
      </c>
      <c r="I104" s="134"/>
    </row>
    <row r="105" spans="1:35" ht="18.75" customHeight="1" thickBot="1">
      <c r="A105" s="3897"/>
      <c r="B105" s="2818" t="s">
        <v>2120</v>
      </c>
      <c r="C105" s="2819">
        <f ca="1">I118</f>
        <v>35424</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88" t="str">
        <f>IF(项目基本情况!E8="已注销","——","3.房地产抵押价值")</f>
        <v>——</v>
      </c>
      <c r="F107" s="3856"/>
      <c r="G107" s="2013" t="s">
        <v>2118</v>
      </c>
      <c r="H107" s="2821" t="str">
        <f>IF(E107="——","——",H101-H103)</f>
        <v>——</v>
      </c>
      <c r="I107" s="134"/>
    </row>
    <row r="108" spans="1:35" ht="18.75" customHeight="1">
      <c r="A108" s="134"/>
      <c r="B108" s="134"/>
      <c r="C108" s="134"/>
      <c r="D108" s="134"/>
      <c r="E108" s="3888"/>
      <c r="F108" s="3856"/>
      <c r="G108" s="2013" t="s">
        <v>2120</v>
      </c>
      <c r="H108" s="2781" t="e">
        <f>ROUND(H107*10000/'数据-汇总表'!E3,0)</f>
        <v>#VALUE!</v>
      </c>
      <c r="I108" s="134"/>
    </row>
    <row r="109" spans="1:35" ht="18.75" customHeight="1">
      <c r="A109" s="134"/>
      <c r="B109" s="134"/>
      <c r="C109" s="134"/>
      <c r="D109" s="134"/>
      <c r="E109" s="3888" t="str">
        <f>IF(项目基本情况!E8="已注销及未注销","4.抵押担保权已注销时的房地产抵押价值",IF(项目基本情况!E8="已注销","3.抵押担保权已注销时的房地产抵押价值","——"))</f>
        <v>3.抵押担保权已注销时的房地产抵押价值</v>
      </c>
      <c r="F109" s="3856"/>
      <c r="G109" s="2013" t="s">
        <v>2118</v>
      </c>
      <c r="H109" s="2824">
        <f ca="1">IF(E109="——","——",H101-H105-H106)</f>
        <v>1111</v>
      </c>
      <c r="I109" s="134"/>
    </row>
    <row r="110" spans="1:35" ht="18.75" customHeight="1">
      <c r="A110" s="134"/>
      <c r="B110" s="134"/>
      <c r="C110" s="134"/>
      <c r="D110" s="134"/>
      <c r="E110" s="3888"/>
      <c r="F110" s="3856"/>
      <c r="G110" s="2013" t="s">
        <v>2120</v>
      </c>
      <c r="H110" s="2781">
        <f ca="1">IF(H109="——","——",ROUND(H109*10000/'数据-汇总表'!E3,0))</f>
        <v>35424</v>
      </c>
      <c r="I110" s="134"/>
    </row>
    <row r="111" spans="1:35" ht="18.75" customHeight="1">
      <c r="A111" s="134"/>
      <c r="B111" s="134"/>
      <c r="C111" s="134"/>
      <c r="D111" s="134"/>
      <c r="E111" s="3889" t="str">
        <f>IF(项目基本情况!E9="抵押净值",IF(OR(项目基本情况!E8="已注销",项目基本情况!E8="房地产抵押价值"),"4.抵押净值","5.抵押净值"),"——")</f>
        <v>——</v>
      </c>
      <c r="F111" s="3875"/>
      <c r="G111" s="2013" t="s">
        <v>2118</v>
      </c>
      <c r="H111" s="2821" t="str">
        <f>IF(E111="——","——",N59)</f>
        <v>——</v>
      </c>
      <c r="I111" s="134"/>
    </row>
    <row r="112" spans="1:35" ht="18.75" customHeight="1" thickBot="1">
      <c r="A112" s="134"/>
      <c r="B112" s="134"/>
      <c r="C112" s="134"/>
      <c r="D112" s="134"/>
      <c r="E112" s="3890"/>
      <c r="F112" s="3891"/>
      <c r="G112" s="2016" t="s">
        <v>2120</v>
      </c>
      <c r="H112" s="2825" t="str">
        <f>IF(E111="——","——",N61)</f>
        <v>——</v>
      </c>
      <c r="I112" s="134"/>
    </row>
    <row r="113" spans="1:27" ht="18.75" customHeight="1">
      <c r="A113" s="134"/>
      <c r="B113" s="134"/>
      <c r="C113" s="134"/>
      <c r="D113" s="134"/>
      <c r="E113" s="3898" t="s">
        <v>2126</v>
      </c>
      <c r="F113" s="3898"/>
      <c r="G113" s="3898"/>
      <c r="H113" s="3898"/>
      <c r="I113" s="134"/>
    </row>
    <row r="114" spans="1:27" ht="3.75" customHeight="1">
      <c r="A114" s="1933"/>
      <c r="B114" s="1933"/>
      <c r="C114" s="1933"/>
      <c r="D114" s="1933"/>
      <c r="E114" s="1995"/>
      <c r="F114" s="1995"/>
      <c r="G114" s="1995"/>
      <c r="H114" s="1995"/>
      <c r="I114" s="1933"/>
    </row>
    <row r="115" spans="1:27" ht="18.75" customHeight="1">
      <c r="A115" s="3909" t="s">
        <v>2128</v>
      </c>
      <c r="B115" s="3910"/>
      <c r="C115" s="3910"/>
      <c r="D115" s="3910"/>
      <c r="E115" s="3910"/>
      <c r="F115" s="3910"/>
      <c r="G115" s="3910"/>
      <c r="H115" s="3910"/>
      <c r="I115" s="3911"/>
    </row>
    <row r="116" spans="1:27" ht="27" customHeight="1">
      <c r="A116" s="3863" t="s">
        <v>2129</v>
      </c>
      <c r="B116" s="3867" t="s">
        <v>2130</v>
      </c>
      <c r="C116" s="3867" t="s">
        <v>2131</v>
      </c>
      <c r="D116" s="3873" t="s">
        <v>2132</v>
      </c>
      <c r="E116" s="3874"/>
      <c r="F116" s="3905" t="s">
        <v>2133</v>
      </c>
      <c r="G116" s="3905"/>
      <c r="H116" s="3863" t="s">
        <v>2134</v>
      </c>
      <c r="I116" s="3863"/>
    </row>
    <row r="117" spans="1:27" ht="18.75" customHeight="1">
      <c r="A117" s="3863"/>
      <c r="B117" s="3868"/>
      <c r="C117" s="3868"/>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f ca="1">ROUND(IF(D32="总价",C34,E118*B118/10000),0)</f>
        <v>566</v>
      </c>
      <c r="E118" s="2552">
        <f ca="1">ROUND(IF(C33="自定义",IF(D32="楼面单价",C34,D118*10000/B118),I118-G118),0)</f>
        <v>18031</v>
      </c>
      <c r="F118" s="2552">
        <f ca="1">ROUND(IF(D32="总价",C35,G118*B118/10000),0)</f>
        <v>545</v>
      </c>
      <c r="G118" s="2552">
        <f ca="1">ROUND(IF(D32="楼面单价",C35,F118*10000/B118),0)</f>
        <v>17393</v>
      </c>
      <c r="H118" s="2552">
        <f ca="1">ROUND(IF(D32="总价",C32,I118*B118/10000),0)</f>
        <v>1111</v>
      </c>
      <c r="I118" s="2552">
        <f ca="1">ROUND(IF(D32="楼面单价",C32,H118*10000/B118),0)</f>
        <v>35424</v>
      </c>
    </row>
    <row r="119" spans="1:27" ht="18.75" customHeight="1">
      <c r="A119" s="3863" t="s">
        <v>2138</v>
      </c>
      <c r="B119" s="3863"/>
      <c r="C119" s="3863"/>
      <c r="D119" s="3869" t="str">
        <f ca="1">NUMBERSTRING(INT(D118*10000),2)&amp;"元整"</f>
        <v>伍佰陆拾陆万元整</v>
      </c>
      <c r="E119" s="3870"/>
      <c r="F119" s="3869" t="str">
        <f ca="1">NUMBERSTRING(INT(F118*10000),2)&amp;"元整"</f>
        <v>伍佰肆拾伍万元整</v>
      </c>
      <c r="G119" s="3870"/>
      <c r="H119" s="3869" t="str">
        <f ca="1">NUMBERSTRING(INT(H118*10000),2)&amp;"元整"</f>
        <v>壹仟壹佰壹拾壹万元整</v>
      </c>
      <c r="I119" s="3870"/>
    </row>
    <row r="120" spans="1:27" ht="18.75" customHeight="1">
      <c r="A120" s="3864" t="str">
        <f>IF(项目基本情况!B9="房地产市场价值","",MID(E103,3,LEN(E103)-2))</f>
        <v/>
      </c>
      <c r="B120" s="3865"/>
      <c r="C120" s="3866"/>
      <c r="D120" s="3864">
        <f>H103</f>
        <v>0</v>
      </c>
      <c r="E120" s="3865"/>
      <c r="F120" s="3865"/>
      <c r="G120" s="3865"/>
      <c r="H120" s="3865"/>
      <c r="I120" s="386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906" t="s">
        <v>2138</v>
      </c>
      <c r="B121" s="3907"/>
      <c r="C121" s="3908"/>
      <c r="D121" s="3869" t="str">
        <f>IF(D120=0,"零元整",NUMBERSTRING(INT(D120*10000),2)&amp;"元整")</f>
        <v>零元整</v>
      </c>
      <c r="E121" s="3871"/>
      <c r="F121" s="3871"/>
      <c r="G121" s="3871"/>
      <c r="H121" s="3871"/>
      <c r="I121" s="3870"/>
      <c r="AA121" s="734"/>
    </row>
    <row r="122" spans="1:27" ht="18.75" customHeight="1">
      <c r="A122" s="3875" t="str">
        <f>IF(项目基本情况!B9="房地产市场价值","",MID(E107,3,LEN(E107)-2))</f>
        <v/>
      </c>
      <c r="B122" s="3875"/>
      <c r="C122" s="3875"/>
      <c r="D122" s="3864" t="str">
        <f>H107</f>
        <v>——</v>
      </c>
      <c r="E122" s="3865"/>
      <c r="F122" s="3865"/>
      <c r="G122" s="3865"/>
      <c r="H122" s="3865"/>
      <c r="I122" s="3866"/>
      <c r="AA122" s="734"/>
    </row>
    <row r="123" spans="1:27" ht="18.75" customHeight="1">
      <c r="A123" s="3863" t="s">
        <v>2138</v>
      </c>
      <c r="B123" s="3863"/>
      <c r="C123" s="3863"/>
      <c r="D123" s="3869" t="e">
        <f>NUMBERSTRING(INT(D122*10000),2)&amp;"元整"</f>
        <v>#VALUE!</v>
      </c>
      <c r="E123" s="3871"/>
      <c r="F123" s="3871"/>
      <c r="G123" s="3871"/>
      <c r="H123" s="3871"/>
      <c r="I123" s="3870"/>
      <c r="AA123" s="734"/>
    </row>
    <row r="124" spans="1:27" ht="18.75" customHeight="1">
      <c r="A124" s="3875" t="str">
        <f>IF(项目基本情况!B9="房地产市场价值","",MID(E109,3,LEN(E109)-2))</f>
        <v/>
      </c>
      <c r="B124" s="3875"/>
      <c r="C124" s="3875"/>
      <c r="D124" s="3864">
        <f ca="1">H109</f>
        <v>1111</v>
      </c>
      <c r="E124" s="3865"/>
      <c r="F124" s="3865"/>
      <c r="G124" s="3865"/>
      <c r="H124" s="3865"/>
      <c r="I124" s="3866"/>
      <c r="AA124" s="734"/>
    </row>
    <row r="125" spans="1:27" ht="18.75" customHeight="1">
      <c r="A125" s="3863" t="s">
        <v>2138</v>
      </c>
      <c r="B125" s="3863"/>
      <c r="C125" s="3863"/>
      <c r="D125" s="3869" t="str">
        <f ca="1">NUMBERSTRING(INT(D124*10000),2)&amp;"元整"</f>
        <v>壹仟壹佰壹拾壹万元整</v>
      </c>
      <c r="E125" s="3871"/>
      <c r="F125" s="3871"/>
      <c r="G125" s="3871"/>
      <c r="H125" s="3871"/>
      <c r="I125" s="3870"/>
      <c r="AA125" s="734"/>
    </row>
    <row r="126" spans="1:27" ht="18.75" customHeight="1">
      <c r="A126" s="3875" t="str">
        <f>IF(项目基本情况!B9="房地产市场价值","",MID(E111,3,LEN(E111)-2))</f>
        <v/>
      </c>
      <c r="B126" s="3875"/>
      <c r="C126" s="3875"/>
      <c r="D126" s="3864" t="str">
        <f>H111</f>
        <v>——</v>
      </c>
      <c r="E126" s="3865"/>
      <c r="F126" s="3865"/>
      <c r="G126" s="3865"/>
      <c r="H126" s="3865"/>
      <c r="I126" s="3866"/>
      <c r="AA126" s="734"/>
    </row>
    <row r="127" spans="1:27" ht="18.75" customHeight="1">
      <c r="A127" s="3863" t="s">
        <v>2138</v>
      </c>
      <c r="B127" s="3863"/>
      <c r="C127" s="3863"/>
      <c r="D127" s="3869" t="e">
        <f>NUMBERSTRING(INT(D126*10000),2)&amp;"元整"</f>
        <v>#VALUE!</v>
      </c>
      <c r="E127" s="3871"/>
      <c r="F127" s="3871"/>
      <c r="G127" s="3871"/>
      <c r="H127" s="3871"/>
      <c r="I127" s="3870"/>
      <c r="AA127" s="734"/>
    </row>
    <row r="128" spans="1:27" ht="21.75" customHeight="1">
      <c r="A128" s="3872" t="s">
        <v>2139</v>
      </c>
      <c r="B128" s="3872"/>
      <c r="C128" s="3872"/>
      <c r="D128" s="3872"/>
      <c r="E128" s="3872"/>
      <c r="F128" s="3872"/>
      <c r="G128" s="3872"/>
      <c r="H128" s="3872"/>
      <c r="I128" s="387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disablePrompts="1"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90" zoomScaleNormal="70" zoomScaleSheetLayoutView="90" workbookViewId="0">
      <selection activeCell="C49" sqref="C4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342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10905</v>
      </c>
      <c r="C3" s="205" t="s">
        <v>2151</v>
      </c>
      <c r="D3" s="205"/>
      <c r="E3" s="205"/>
      <c r="F3" s="205"/>
      <c r="G3" s="205"/>
    </row>
    <row r="4" spans="1:9" s="214" customFormat="1" ht="15.75">
      <c r="A4" s="211" t="s">
        <v>2152</v>
      </c>
      <c r="B4" s="212"/>
      <c r="C4" s="212"/>
      <c r="D4" s="212"/>
      <c r="E4" s="212"/>
      <c r="F4" s="212"/>
      <c r="G4" s="213"/>
    </row>
    <row r="5" spans="1:9" s="220" customFormat="1" ht="13.5" hidden="1" customHeight="1">
      <c r="A5" s="261" t="s">
        <v>2153</v>
      </c>
      <c r="B5" s="216" t="s">
        <v>2154</v>
      </c>
      <c r="C5" s="217">
        <f>C6+C7+C8</f>
        <v>179</v>
      </c>
      <c r="D5" s="217" t="s">
        <v>2155</v>
      </c>
      <c r="E5" s="218" t="s">
        <v>2156</v>
      </c>
      <c r="F5" s="218" t="s">
        <v>2157</v>
      </c>
      <c r="G5" s="219"/>
    </row>
    <row r="6" spans="1:9" s="220" customFormat="1" ht="13.5" hidden="1" customHeight="1">
      <c r="A6" s="886" t="s">
        <v>2158</v>
      </c>
      <c r="B6" s="221" t="s">
        <v>2159</v>
      </c>
      <c r="C6" s="222">
        <f>'比较法-土地'!B2</f>
        <v>174</v>
      </c>
      <c r="D6" s="223"/>
      <c r="E6" s="224"/>
      <c r="F6" s="224"/>
      <c r="G6" s="225"/>
    </row>
    <row r="7" spans="1:9" s="220" customFormat="1" ht="13.5" hidden="1" customHeight="1">
      <c r="A7" s="886" t="s">
        <v>2160</v>
      </c>
      <c r="B7" s="221" t="s">
        <v>2161</v>
      </c>
      <c r="C7" s="226">
        <f>ROUND(C6*F7,0)</f>
        <v>5</v>
      </c>
      <c r="D7" s="226"/>
      <c r="E7" s="224"/>
      <c r="F7" s="227">
        <f>IF(项目基本情况!B8="出让",0,'数据-取费表'!B48+'数据-取费表'!B49)</f>
        <v>3.0499999999999999E-2</v>
      </c>
      <c r="G7" s="225"/>
    </row>
    <row r="8" spans="1:9" s="229" customFormat="1" hidden="1">
      <c r="A8" s="886" t="s">
        <v>2162</v>
      </c>
      <c r="B8" s="221" t="s">
        <v>2163</v>
      </c>
      <c r="C8" s="226" t="str">
        <f>IF(G8="已包含在土地购买价格中","0",IF(B1="",'数据-取费表'!B29,IF(G9="全部缴纳",C9+C10,H9)))</f>
        <v>0</v>
      </c>
      <c r="D8" s="228"/>
      <c r="E8" s="226"/>
      <c r="F8" s="227"/>
      <c r="G8" s="2042" t="s">
        <v>1116</v>
      </c>
    </row>
    <row r="9" spans="1:9" s="220" customFormat="1" ht="13.5" hidden="1"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hidden="1"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hidden="1"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hidden="1" customHeight="1">
      <c r="A20" s="261" t="s">
        <v>2179</v>
      </c>
      <c r="B20" s="216" t="s">
        <v>2180</v>
      </c>
      <c r="C20" s="238">
        <f>ROUND((C5+C19)*F20,0)</f>
        <v>5</v>
      </c>
      <c r="D20" s="238"/>
      <c r="E20" s="238"/>
      <c r="F20" s="239">
        <f>'数据-取费表'!B37</f>
        <v>0.03</v>
      </c>
      <c r="G20" s="240" t="s">
        <v>2181</v>
      </c>
    </row>
    <row r="21" spans="1:7" s="220" customFormat="1" ht="13.5" hidden="1" customHeight="1">
      <c r="A21" s="261" t="s">
        <v>2182</v>
      </c>
      <c r="B21" s="216" t="s">
        <v>2183</v>
      </c>
      <c r="C21" s="241">
        <f>F21</f>
        <v>2.5000000000000001E-2</v>
      </c>
      <c r="D21" s="242" t="s">
        <v>2184</v>
      </c>
      <c r="E21" s="238"/>
      <c r="F21" s="239">
        <f>'数据-取费表'!B38</f>
        <v>2.5000000000000001E-2</v>
      </c>
      <c r="G21" s="240" t="s">
        <v>2185</v>
      </c>
    </row>
    <row r="22" spans="1:7" s="220" customFormat="1" ht="13.5" hidden="1"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hidden="1" customHeight="1">
      <c r="A23" s="888" t="s">
        <v>2188</v>
      </c>
      <c r="B23" s="221" t="s">
        <v>2189</v>
      </c>
      <c r="C23" s="1265">
        <f ca="1">ROUND(IF('数据-取费表'!B22&lt;=1,C5*F22*'数据-取费表'!B23,C5*(POWER((1+F22),'数据-取费表'!B23)-1)),0)</f>
        <v>10</v>
      </c>
      <c r="D23" s="244"/>
      <c r="E23" s="244"/>
      <c r="F23" s="245"/>
      <c r="G23" s="246" t="s">
        <v>2190</v>
      </c>
    </row>
    <row r="24" spans="1:7" s="220" customFormat="1" ht="13.5" hidden="1"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hidden="1">
      <c r="A25" s="888" t="s">
        <v>2194</v>
      </c>
      <c r="B25" s="221" t="s">
        <v>2195</v>
      </c>
      <c r="C25" s="1265">
        <f ca="1">ROUND(IF('数据-取费表'!B22&lt;=1,C20*F22*'数据-取费表'!B23/2,C20*(POWER((1+F22),'数据-取费表'!B23/2)-1)),0)</f>
        <v>0</v>
      </c>
      <c r="D25" s="244"/>
      <c r="E25" s="247"/>
      <c r="F25" s="245"/>
      <c r="G25" s="248" t="s">
        <v>2196</v>
      </c>
    </row>
    <row r="26" spans="1:7" s="220" customFormat="1" hidden="1">
      <c r="A26" s="888" t="s">
        <v>795</v>
      </c>
      <c r="B26" s="221" t="s">
        <v>2197</v>
      </c>
      <c r="C26" s="244">
        <f ca="1">ROUND(IF('数据-取费表'!B22&lt;=1,F21*F22*'数据-取费表'!B23/2,F21*(POWER((1+F22),'数据-取费表'!B23/2)-1)),4)</f>
        <v>6.9999999999999999E-4</v>
      </c>
      <c r="D26" s="244"/>
      <c r="E26" s="247"/>
      <c r="F26" s="245"/>
      <c r="G26" s="249"/>
    </row>
    <row r="27" spans="1:7" s="220" customFormat="1" ht="24.75" hidden="1">
      <c r="A27" s="261" t="s">
        <v>2198</v>
      </c>
      <c r="B27" s="250" t="s">
        <v>2199</v>
      </c>
      <c r="C27" s="251">
        <f ca="1">C28</f>
        <v>28</v>
      </c>
      <c r="D27" s="241">
        <f ca="1">C29</f>
        <v>3.8E-3</v>
      </c>
      <c r="E27" s="242" t="s">
        <v>2200</v>
      </c>
      <c r="F27" s="252">
        <f ca="1">IF(B1="",'数据-取费表'!Q16,INDIRECT("'数据-取费表'!q"&amp;$G$1))</f>
        <v>0.15</v>
      </c>
      <c r="G27" s="253" t="s">
        <v>2201</v>
      </c>
    </row>
    <row r="28" spans="1:7" s="220" customFormat="1" ht="13.5" hidden="1" customHeight="1">
      <c r="A28" s="888" t="s">
        <v>791</v>
      </c>
      <c r="B28" s="254" t="s">
        <v>2202</v>
      </c>
      <c r="C28" s="255">
        <f ca="1">ROUND((C5+C19+C20)*F27*'数据-取费表'!B21/'数据-取费表'!B20,0)</f>
        <v>28</v>
      </c>
      <c r="D28" s="241"/>
      <c r="E28" s="242"/>
      <c r="F28" s="252"/>
      <c r="G28" s="253"/>
    </row>
    <row r="29" spans="1:7" s="220" customFormat="1" ht="13.5" hidden="1" customHeight="1">
      <c r="A29" s="888" t="s">
        <v>792</v>
      </c>
      <c r="B29" s="254" t="s">
        <v>2203</v>
      </c>
      <c r="C29" s="244">
        <f ca="1">ROUND(C21*F27*'数据-取费表'!B21/'数据-取费表'!B20,4)</f>
        <v>3.8E-3</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9" s="220" customFormat="1" ht="13.5" customHeight="1">
      <c r="A33" s="261" t="s">
        <v>782</v>
      </c>
      <c r="B33" s="216" t="s">
        <v>2210</v>
      </c>
      <c r="C33" s="262">
        <f ca="1">SUM(C34:C38)</f>
        <v>156</v>
      </c>
      <c r="D33" s="238"/>
      <c r="E33" s="218"/>
      <c r="F33" s="247"/>
      <c r="G33" s="240"/>
    </row>
    <row r="34" spans="1:9"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2212</v>
      </c>
    </row>
    <row r="35" spans="1:9" ht="13.5" customHeight="1">
      <c r="A35" s="888" t="s">
        <v>796</v>
      </c>
      <c r="B35" s="221" t="s">
        <v>2213</v>
      </c>
      <c r="C35" s="226">
        <f ca="1">ROUND(C34*F35,0)</f>
        <v>8</v>
      </c>
      <c r="D35" s="226"/>
      <c r="E35" s="226"/>
      <c r="F35" s="265">
        <f>'数据-取费表'!B33</f>
        <v>0.1</v>
      </c>
      <c r="G35" s="225" t="s">
        <v>2214</v>
      </c>
    </row>
    <row r="36" spans="1:9" ht="24">
      <c r="A36" s="888" t="s">
        <v>797</v>
      </c>
      <c r="B36" s="3665" t="s">
        <v>3541</v>
      </c>
      <c r="C36" s="226">
        <f>ROUND(D36*F36/10000,0)</f>
        <v>58</v>
      </c>
      <c r="D36" s="223">
        <f>项目基本情况!C18</f>
        <v>1442.46</v>
      </c>
      <c r="E36" s="226"/>
      <c r="F36" s="3664">
        <v>400</v>
      </c>
      <c r="G36" s="266" t="s">
        <v>2216</v>
      </c>
      <c r="H36" s="3715" t="s">
        <v>3611</v>
      </c>
      <c r="I36" s="3715" t="s">
        <v>3612</v>
      </c>
    </row>
    <row r="37" spans="1:9" s="264" customFormat="1" ht="13.5" customHeight="1">
      <c r="A37" s="888" t="s">
        <v>798</v>
      </c>
      <c r="B37" s="221" t="s">
        <v>2217</v>
      </c>
      <c r="C37" s="255">
        <f ca="1">ROUND(E37*D37*F34/10000,0)</f>
        <v>14</v>
      </c>
      <c r="D37" s="3714">
        <f>'数据-基础表'!A3</f>
        <v>1442.46</v>
      </c>
      <c r="E37" s="255">
        <f>'数据-取费表'!B35</f>
        <v>100</v>
      </c>
      <c r="F37" s="265"/>
      <c r="G37" s="267" t="s">
        <v>2218</v>
      </c>
      <c r="H37" s="264">
        <f>160*1000/10000</f>
        <v>16</v>
      </c>
      <c r="I37" s="264">
        <f>800*600/10000</f>
        <v>48</v>
      </c>
    </row>
    <row r="38" spans="1:9" ht="13.5" customHeight="1">
      <c r="A38" s="888" t="s">
        <v>799</v>
      </c>
      <c r="B38" s="221" t="s">
        <v>2219</v>
      </c>
      <c r="C38" s="226">
        <f ca="1">ROUND(C34*F38,0)</f>
        <v>1</v>
      </c>
      <c r="D38" s="226"/>
      <c r="E38" s="226"/>
      <c r="F38" s="265">
        <f>'数据-取费表'!B36</f>
        <v>1.4999999999999999E-2</v>
      </c>
      <c r="G38" s="225" t="s">
        <v>2214</v>
      </c>
    </row>
    <row r="39" spans="1:9" s="220" customFormat="1" ht="13.5" customHeight="1">
      <c r="A39" s="261" t="s">
        <v>2220</v>
      </c>
      <c r="B39" s="216" t="s">
        <v>2221</v>
      </c>
      <c r="C39" s="238">
        <f ca="1">ROUND(C33*F20,0)</f>
        <v>5</v>
      </c>
      <c r="D39" s="238"/>
      <c r="E39" s="238"/>
      <c r="F39" s="2535">
        <f>F20</f>
        <v>0.03</v>
      </c>
      <c r="G39" s="240" t="s">
        <v>2222</v>
      </c>
    </row>
    <row r="40" spans="1:9" s="220" customFormat="1" ht="13.5" customHeight="1">
      <c r="A40" s="261" t="s">
        <v>2223</v>
      </c>
      <c r="B40" s="216" t="s">
        <v>2224</v>
      </c>
      <c r="C40" s="1495">
        <f>F21</f>
        <v>2.5000000000000001E-2</v>
      </c>
      <c r="D40" s="242" t="s">
        <v>2225</v>
      </c>
      <c r="E40" s="238"/>
      <c r="F40" s="2535">
        <f>F21</f>
        <v>2.5000000000000001E-2</v>
      </c>
      <c r="G40" s="240" t="s">
        <v>2226</v>
      </c>
    </row>
    <row r="41" spans="1:9" s="220" customFormat="1" ht="13.5" customHeight="1">
      <c r="A41" s="261" t="s">
        <v>2227</v>
      </c>
      <c r="B41" s="216" t="s">
        <v>2228</v>
      </c>
      <c r="C41" s="238">
        <f ca="1">ROUND(SUM(C42:C43),0)</f>
        <v>3</v>
      </c>
      <c r="D41" s="241">
        <f ca="1">C44</f>
        <v>5.0000000000000001E-4</v>
      </c>
      <c r="E41" s="242" t="s">
        <v>2225</v>
      </c>
      <c r="F41" s="2536">
        <f ca="1">F22</f>
        <v>3.85E-2</v>
      </c>
      <c r="G41" s="240" t="str">
        <f>IF('数据-取费表'!B22&lt;=1,"单利计息","复利计息")</f>
        <v>复利计息</v>
      </c>
    </row>
    <row r="42" spans="1:9" ht="13.5" customHeight="1">
      <c r="A42" s="888" t="s">
        <v>791</v>
      </c>
      <c r="B42" s="221" t="s">
        <v>2229</v>
      </c>
      <c r="C42" s="244">
        <f ca="1">ROUND(IF('数据-取费表'!B22&lt;=1,C33*F22*'数据-取费表'!B21/2,C33*(POWER((1+F22),'数据-取费表'!B21/2)-1)),0)</f>
        <v>3</v>
      </c>
      <c r="D42" s="244"/>
      <c r="E42" s="244"/>
      <c r="F42" s="245"/>
      <c r="G42" s="3945" t="s">
        <v>2230</v>
      </c>
    </row>
    <row r="43" spans="1:9" ht="13.5" customHeight="1">
      <c r="A43" s="888" t="s">
        <v>792</v>
      </c>
      <c r="B43" s="221" t="s">
        <v>2231</v>
      </c>
      <c r="C43" s="244">
        <f ca="1">ROUND(IF('数据-取费表'!B22&lt;=1,C39*F22*'数据-取费表'!B21/2,C39*(POWER((1+F22),'数据-取费表'!B21/2)-1)),0)</f>
        <v>0</v>
      </c>
      <c r="D43" s="244"/>
      <c r="E43" s="244"/>
      <c r="F43" s="245"/>
      <c r="G43" s="3946"/>
    </row>
    <row r="44" spans="1:9" ht="13.5" customHeight="1">
      <c r="A44" s="888" t="s">
        <v>793</v>
      </c>
      <c r="B44" s="221" t="s">
        <v>2232</v>
      </c>
      <c r="C44" s="244">
        <f ca="1">ROUND(IF('数据-取费表'!B22&lt;=1,C40*F22*'数据-取费表'!B21/2,C40*(POWER((1+F22),'数据-取费表'!B21/2)-1)),4)</f>
        <v>5.0000000000000001E-4</v>
      </c>
      <c r="D44" s="244"/>
      <c r="E44" s="244"/>
      <c r="F44" s="245"/>
      <c r="G44" s="3947"/>
    </row>
    <row r="45" spans="1:9" s="220" customFormat="1" ht="13.5" customHeight="1">
      <c r="A45" s="261" t="s">
        <v>2233</v>
      </c>
      <c r="B45" s="250" t="s">
        <v>2199</v>
      </c>
      <c r="C45" s="251">
        <f ca="1">C46</f>
        <v>24</v>
      </c>
      <c r="D45" s="241">
        <f ca="1">C47</f>
        <v>3.8E-3</v>
      </c>
      <c r="E45" s="242" t="s">
        <v>2225</v>
      </c>
      <c r="F45" s="2537">
        <f ca="1">F27</f>
        <v>0.15</v>
      </c>
      <c r="G45" s="253" t="s">
        <v>2234</v>
      </c>
    </row>
    <row r="46" spans="1:9" s="220" customFormat="1" ht="13.5" customHeight="1">
      <c r="A46" s="888" t="s">
        <v>791</v>
      </c>
      <c r="B46" s="254" t="s">
        <v>2235</v>
      </c>
      <c r="C46" s="255">
        <f ca="1">ROUND((C33+C39)*F27,0)</f>
        <v>24</v>
      </c>
      <c r="D46" s="269"/>
      <c r="E46" s="242"/>
      <c r="F46" s="252"/>
      <c r="G46" s="253"/>
    </row>
    <row r="47" spans="1:9" s="220" customFormat="1" ht="13.5" customHeight="1">
      <c r="A47" s="888" t="s">
        <v>792</v>
      </c>
      <c r="B47" s="254" t="s">
        <v>2236</v>
      </c>
      <c r="C47" s="244">
        <f ca="1">ROUND(C40*F27,4)</f>
        <v>3.8E-3</v>
      </c>
      <c r="D47" s="269"/>
      <c r="E47" s="242"/>
      <c r="F47" s="252"/>
      <c r="G47" s="253"/>
    </row>
    <row r="48" spans="1:9"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205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168</v>
      </c>
      <c r="D51" s="238"/>
      <c r="E51" s="238"/>
      <c r="F51" s="270"/>
      <c r="G51" s="240" t="s">
        <v>2246</v>
      </c>
    </row>
    <row r="52" spans="1:7" s="214" customFormat="1" ht="16.5" thickBot="1">
      <c r="A52" s="271" t="s">
        <v>2247</v>
      </c>
      <c r="B52" s="272"/>
      <c r="C52" s="273">
        <f ca="1">C31+C51</f>
        <v>342</v>
      </c>
      <c r="D52" s="272"/>
      <c r="E52" s="272"/>
      <c r="F52" s="272"/>
      <c r="G52" s="274"/>
    </row>
    <row r="53" spans="1:7">
      <c r="C53" s="257">
        <v>15</v>
      </c>
    </row>
    <row r="55" spans="1:7" ht="15">
      <c r="B55" s="276" t="s">
        <v>2248</v>
      </c>
      <c r="C55" s="277"/>
    </row>
    <row r="56" spans="1:7">
      <c r="B56" s="279" t="s">
        <v>1478</v>
      </c>
      <c r="C56" s="281">
        <f ca="1">1-C57</f>
        <v>0.50900000000000001</v>
      </c>
    </row>
    <row r="57" spans="1:7">
      <c r="B57" s="279" t="s">
        <v>1479</v>
      </c>
      <c r="C57" s="280">
        <f ca="1">ROUND(C51/C52,3)</f>
        <v>0.49099999999999999</v>
      </c>
    </row>
  </sheetData>
  <sheetProtection formatCells="0"/>
  <mergeCells count="1">
    <mergeCell ref="G42:G44"/>
  </mergeCells>
  <phoneticPr fontId="140" type="noConversion"/>
  <dataValidations disablePrompts="1"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3.8E-3</v>
      </c>
      <c r="E27" s="242" t="s">
        <v>2200</v>
      </c>
      <c r="F27" s="252">
        <f ca="1">IF(B1="",'数据-取费表'!Q16,INDIRECT("'数据-取费表'!q"&amp;$G$1))</f>
        <v>0.15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870637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752712</v>
      </c>
      <c r="D34" s="223"/>
      <c r="E34" s="226"/>
      <c r="F34" s="263"/>
      <c r="G34" s="225"/>
    </row>
    <row r="35" spans="1:7" ht="13.5" customHeight="1">
      <c r="A35" s="888" t="s">
        <v>796</v>
      </c>
      <c r="B35" s="221" t="s">
        <v>2213</v>
      </c>
      <c r="C35" s="226">
        <f ca="1">ROUND(C34*F35,0)</f>
        <v>75271</v>
      </c>
      <c r="D35" s="226"/>
      <c r="E35" s="226"/>
      <c r="F35" s="265">
        <f>'数据-取费表'!B33</f>
        <v>0.1</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31363</v>
      </c>
      <c r="D37" s="223">
        <f ca="1">D19</f>
        <v>313.63</v>
      </c>
      <c r="E37" s="255">
        <f>'数据-取费表'!B35</f>
        <v>100</v>
      </c>
      <c r="F37" s="265"/>
      <c r="G37" s="267"/>
    </row>
    <row r="38" spans="1:7" ht="13.5" customHeight="1">
      <c r="A38" s="888" t="s">
        <v>799</v>
      </c>
      <c r="B38" s="221" t="s">
        <v>2219</v>
      </c>
      <c r="C38" s="226">
        <f ca="1">ROUND(C34*F38,0)</f>
        <v>11291</v>
      </c>
      <c r="D38" s="226"/>
      <c r="E38" s="226"/>
      <c r="F38" s="265">
        <f>'数据-取费表'!B36</f>
        <v>1.4999999999999999E-2</v>
      </c>
      <c r="G38" s="225" t="s">
        <v>2214</v>
      </c>
    </row>
    <row r="39" spans="1:7" s="220" customFormat="1" ht="13.5" customHeight="1">
      <c r="A39" s="261" t="s">
        <v>2220</v>
      </c>
      <c r="B39" s="216" t="s">
        <v>2221</v>
      </c>
      <c r="C39" s="238">
        <f ca="1">ROUND(C33*F20,0)</f>
        <v>26119</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17099</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16601</v>
      </c>
      <c r="D42" s="244"/>
      <c r="E42" s="244"/>
      <c r="F42" s="245"/>
      <c r="G42" s="3945" t="s">
        <v>2277</v>
      </c>
    </row>
    <row r="43" spans="1:7" ht="13.5" customHeight="1">
      <c r="A43" s="888" t="s">
        <v>792</v>
      </c>
      <c r="B43" s="221" t="s">
        <v>2231</v>
      </c>
      <c r="C43" s="244">
        <f ca="1">ROUND(IF('数据-取费表'!B22&lt;=1,C39*F22*'数据-取费表'!B20/2,C39*(POWER((1+F22),'数据-取费表'!B20/2)-1)),0)</f>
        <v>498</v>
      </c>
      <c r="D43" s="244"/>
      <c r="E43" s="244"/>
      <c r="F43" s="245"/>
      <c r="G43" s="3946"/>
    </row>
    <row r="44" spans="1:7" ht="13.5" customHeight="1">
      <c r="A44" s="888" t="s">
        <v>793</v>
      </c>
      <c r="B44" s="221" t="s">
        <v>2232</v>
      </c>
      <c r="C44" s="244">
        <f ca="1">ROUND(IF('数据-取费表'!B22&lt;=1,C40*F22*'数据-取费表'!B20/2,C40*(POWER((1+F22),'数据-取费表'!B20/2)-1)),4)</f>
        <v>5.0000000000000001E-4</v>
      </c>
      <c r="D44" s="244"/>
      <c r="E44" s="244"/>
      <c r="F44" s="245"/>
      <c r="G44" s="3947"/>
    </row>
    <row r="45" spans="1:7" s="220" customFormat="1" ht="13.5" customHeight="1">
      <c r="A45" s="261" t="s">
        <v>2233</v>
      </c>
      <c r="B45" s="250" t="s">
        <v>2199</v>
      </c>
      <c r="C45" s="251">
        <f ca="1">C46</f>
        <v>134513</v>
      </c>
      <c r="D45" s="241">
        <f ca="1">C47</f>
        <v>3.8E-3</v>
      </c>
      <c r="E45" s="242" t="s">
        <v>2225</v>
      </c>
      <c r="F45" s="2537">
        <f ca="1">F27</f>
        <v>0.15</v>
      </c>
      <c r="G45" s="253" t="s">
        <v>2234</v>
      </c>
    </row>
    <row r="46" spans="1:7" s="220" customFormat="1" ht="13.5" customHeight="1">
      <c r="A46" s="888" t="s">
        <v>791</v>
      </c>
      <c r="B46" s="254" t="s">
        <v>2235</v>
      </c>
      <c r="C46" s="255">
        <f ca="1">ROUND((C33+C39)*F27,0)</f>
        <v>134513</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1141640</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936145</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0.1</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25" zoomScale="80" zoomScaleNormal="70" zoomScaleSheetLayoutView="8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475</v>
      </c>
      <c r="C2" s="1571" t="s">
        <v>1481</v>
      </c>
      <c r="D2" s="1571"/>
      <c r="E2" s="1572"/>
      <c r="F2" s="1573"/>
      <c r="G2" s="2935"/>
      <c r="H2" s="2924"/>
      <c r="I2" s="2924"/>
      <c r="J2" s="2924"/>
      <c r="K2" s="2925"/>
      <c r="L2" s="2924"/>
      <c r="M2" s="2924"/>
    </row>
    <row r="3" spans="1:37" ht="18" customHeight="1" thickBot="1">
      <c r="A3" s="1574" t="s">
        <v>1482</v>
      </c>
      <c r="B3" s="1575">
        <f ca="1">IF(ISERROR(B2*10000/F43),0,ROUND(B2*10000/F43,0))</f>
        <v>15145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52.08</v>
      </c>
      <c r="D5" s="1548" t="s">
        <v>1367</v>
      </c>
      <c r="E5" s="1203"/>
      <c r="F5" s="1204"/>
      <c r="G5" s="1568"/>
      <c r="H5" s="305">
        <v>1</v>
      </c>
      <c r="I5" s="306" t="s">
        <v>1366</v>
      </c>
      <c r="J5" s="1202">
        <f ca="1">J6+J10+J12</f>
        <v>40</v>
      </c>
      <c r="K5" s="1548" t="s">
        <v>1367</v>
      </c>
      <c r="L5" s="1203"/>
      <c r="M5" s="1204"/>
    </row>
    <row r="6" spans="1:37" ht="18" customHeight="1">
      <c r="A6" s="1201" t="s">
        <v>1003</v>
      </c>
      <c r="B6" s="3950" t="s">
        <v>1368</v>
      </c>
      <c r="C6" s="1206">
        <f ca="1">ROUND(F6*F8*F7*(1-F9)/10000,0)</f>
        <v>52</v>
      </c>
      <c r="D6" s="160" t="s">
        <v>2851</v>
      </c>
      <c r="E6" s="308" t="s">
        <v>1370</v>
      </c>
      <c r="F6" s="309">
        <f ca="1">INDIRECT("'数据-取费表'!u"&amp;$G$1)</f>
        <v>519000</v>
      </c>
      <c r="G6" s="1568"/>
      <c r="H6" s="1201" t="s">
        <v>1003</v>
      </c>
      <c r="I6" s="3950" t="s">
        <v>1368</v>
      </c>
      <c r="J6" s="307">
        <f ca="1">ROUND(M6*M8*M7*(1-M9)/10000,0)</f>
        <v>40</v>
      </c>
      <c r="K6" s="160" t="s">
        <v>2850</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f>ROUND(C11*0.015,2)</f>
        <v>0.08</v>
      </c>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168</v>
      </c>
      <c r="D13" s="1241" t="s">
        <v>1380</v>
      </c>
      <c r="E13" s="1241" t="s">
        <v>1381</v>
      </c>
      <c r="F13" s="1242">
        <f ca="1">INDIRECT("'数据-取费表'!y"&amp;$G$1)</f>
        <v>0.82</v>
      </c>
      <c r="G13" s="1568"/>
      <c r="H13" s="1239">
        <v>2</v>
      </c>
      <c r="I13" s="1240" t="s">
        <v>1379</v>
      </c>
      <c r="J13" s="1200">
        <f ca="1">ROUND(J14*J15,0)</f>
        <v>168</v>
      </c>
      <c r="K13" s="1247" t="s">
        <v>1380</v>
      </c>
      <c r="L13" s="1576"/>
      <c r="M13" s="1577"/>
    </row>
    <row r="14" spans="1:37" ht="18" customHeight="1">
      <c r="A14" s="1113" t="s">
        <v>1002</v>
      </c>
      <c r="B14" s="308" t="s">
        <v>1382</v>
      </c>
      <c r="C14" s="324">
        <f ca="1">INDIRECT("'数据-取费表'!m"&amp;$G$1)+INDIRECT("'数据-取费表'!t"&amp;$G$1)</f>
        <v>75</v>
      </c>
      <c r="D14" s="1529" t="s">
        <v>1383</v>
      </c>
      <c r="E14" s="1526"/>
      <c r="F14" s="325"/>
      <c r="G14" s="1568"/>
      <c r="H14" s="1113" t="s">
        <v>1003</v>
      </c>
      <c r="I14" s="308" t="s">
        <v>1384</v>
      </c>
      <c r="J14" s="24">
        <f ca="1">C29</f>
        <v>205</v>
      </c>
      <c r="K14" s="15"/>
      <c r="L14" s="916"/>
      <c r="M14" s="917"/>
    </row>
    <row r="15" spans="1:37" s="1581" customFormat="1" ht="18" customHeight="1" thickBot="1">
      <c r="A15" s="1113" t="s">
        <v>1004</v>
      </c>
      <c r="B15" s="308" t="s">
        <v>1385</v>
      </c>
      <c r="C15" s="24">
        <f ca="1">ROUND(C14*F15,0)</f>
        <v>8</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58</v>
      </c>
      <c r="D16" s="308" t="s">
        <v>1386</v>
      </c>
      <c r="E16" s="308" t="s">
        <v>1387</v>
      </c>
      <c r="F16" s="328"/>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成本法!C37</f>
        <v>14</v>
      </c>
      <c r="D17" s="308" t="s">
        <v>1392</v>
      </c>
      <c r="E17" s="308" t="s">
        <v>1393</v>
      </c>
      <c r="F17" s="26"/>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2.1</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156</v>
      </c>
      <c r="D19" s="136" t="s">
        <v>1401</v>
      </c>
      <c r="E19" s="1544"/>
      <c r="F19" s="26"/>
      <c r="G19" s="1568"/>
      <c r="H19" s="1113" t="s">
        <v>1004</v>
      </c>
      <c r="I19" s="308" t="s">
        <v>1402</v>
      </c>
      <c r="J19" s="24">
        <f ca="1">IF(K19="按租金收入计税",ROUND(J6*M19/(1+'数据-取费表'!C42),2),ROUND(C29*M19*0.7,2))</f>
        <v>1.72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0.5</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0.8</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v>
      </c>
      <c r="K25" s="1255" t="s">
        <v>1429</v>
      </c>
      <c r="L25" s="1256"/>
      <c r="M25" s="1257"/>
    </row>
    <row r="26" spans="1:37">
      <c r="A26" s="1113" t="s">
        <v>1002</v>
      </c>
      <c r="B26" s="308" t="s">
        <v>1430</v>
      </c>
      <c r="C26" s="24">
        <f ca="1">ROUND((C19+C20)*F26,0)</f>
        <v>24</v>
      </c>
      <c r="D26" s="329" t="s">
        <v>1431</v>
      </c>
      <c r="E26" s="319" t="s">
        <v>1432</v>
      </c>
      <c r="F26" s="318">
        <f ca="1">INDIRECT("'数据-取费表'!q"&amp;$G$1)</f>
        <v>0.15</v>
      </c>
      <c r="G26" s="1568"/>
      <c r="H26" s="305" t="s">
        <v>1000</v>
      </c>
      <c r="I26" s="306" t="s">
        <v>1433</v>
      </c>
      <c r="J26" s="307">
        <f ca="1">IF(J5&lt;&gt;0,ROUND(J25*(1-((1+M28)/(1+M26))^M27)/(M26-M28),0),0)</f>
        <v>443</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205</v>
      </c>
      <c r="D29" s="1252"/>
      <c r="E29" s="1250"/>
      <c r="F29" s="1253"/>
      <c r="G29" s="1580"/>
      <c r="H29" s="340" t="s">
        <v>1001</v>
      </c>
      <c r="I29" s="341" t="s">
        <v>1444</v>
      </c>
      <c r="J29" s="342">
        <f ca="1">ROUND(J26/(1+F40)^F41,0)</f>
        <v>335</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3609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0.5</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719">
        <f ca="1">C5-C30</f>
        <v>40.08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140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4464</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-210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475</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2012</v>
      </c>
      <c r="K49" s="1607" t="s">
        <v>1500</v>
      </c>
      <c r="L49" s="1611"/>
      <c r="O49" s="1612" t="s">
        <v>1010</v>
      </c>
      <c r="P49" s="1603" t="s">
        <v>1501</v>
      </c>
      <c r="Q49" s="1604">
        <f ca="1">C29</f>
        <v>205</v>
      </c>
      <c r="R49" s="1604" t="s">
        <v>1494</v>
      </c>
    </row>
    <row r="50" spans="1:18" s="1568" customFormat="1" ht="13.5" thickBot="1">
      <c r="A50" s="1107"/>
      <c r="B50" s="1110"/>
      <c r="C50" s="1278"/>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41</v>
      </c>
      <c r="K51" s="1618" t="s">
        <v>1506</v>
      </c>
      <c r="L51" s="1619">
        <f ca="1">ROUND(-PV(INDIRECT("'数据-取费表'!h"&amp;$G$1),J51,(C39-C13*C76),0),0)</f>
        <v>379</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475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168</v>
      </c>
      <c r="D56" s="1631"/>
      <c r="E56" s="1632"/>
      <c r="F56" s="1624"/>
      <c r="I56" s="1633" t="s">
        <v>1519</v>
      </c>
      <c r="J56" s="1634" t="s">
        <v>3073</v>
      </c>
      <c r="K56" s="1605" t="s">
        <v>1520</v>
      </c>
      <c r="L56" s="1608" t="str">
        <f ca="1">IF(L48&lt;J51,"——",L48-J53)</f>
        <v>——</v>
      </c>
      <c r="O56" s="1602" t="s">
        <v>1008</v>
      </c>
      <c r="P56" s="1603" t="s">
        <v>1493</v>
      </c>
      <c r="Q56" s="1604">
        <f ca="1">C40+J29</f>
        <v>475</v>
      </c>
      <c r="R56" s="1604" t="s">
        <v>1494</v>
      </c>
    </row>
    <row r="57" spans="1:18" s="1568" customFormat="1" ht="24.75" thickBot="1">
      <c r="A57" s="1635"/>
      <c r="B57" s="1081" t="s">
        <v>1443</v>
      </c>
      <c r="C57" s="244">
        <f ca="1">C29</f>
        <v>205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17.22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475</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0.5</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475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-20</v>
      </c>
      <c r="D67" s="1094" t="s">
        <v>1429</v>
      </c>
      <c r="E67" s="1099"/>
      <c r="F67" s="1100"/>
      <c r="O67" s="1612" t="s">
        <v>1010</v>
      </c>
      <c r="P67" s="1603" t="s">
        <v>1527</v>
      </c>
      <c r="Q67" s="1650">
        <f ca="1">L51</f>
        <v>379</v>
      </c>
      <c r="R67" s="1604" t="s">
        <v>1547</v>
      </c>
    </row>
    <row r="68" spans="1:18" s="1568" customFormat="1" ht="16.5" thickBot="1">
      <c r="A68" s="1078" t="s">
        <v>1000</v>
      </c>
      <c r="B68" s="1079" t="s">
        <v>1450</v>
      </c>
      <c r="C68" s="307">
        <f ca="1">ROUND(C67*(1-((1+F70)/(1+F68))^F69)/(F68-F70),0)</f>
        <v>-70</v>
      </c>
      <c r="D68" s="1096" t="s">
        <v>1434</v>
      </c>
      <c r="E68" s="1081" t="s">
        <v>1435</v>
      </c>
      <c r="F68" s="318">
        <f ca="1">F40</f>
        <v>7.0000000000000007E-2</v>
      </c>
      <c r="O68" s="1612" t="s">
        <v>1011</v>
      </c>
      <c r="P68" s="1651" t="s">
        <v>1548</v>
      </c>
      <c r="Q68" s="1604">
        <f ca="1">ROUND(Q69-Q70*Q71,0)</f>
        <v>27</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40.08</v>
      </c>
      <c r="R69" s="1604" t="s">
        <v>1494</v>
      </c>
    </row>
    <row r="70" spans="1:18" s="1568" customFormat="1" ht="13.5" thickBot="1">
      <c r="A70" s="1085"/>
      <c r="B70" s="1086"/>
      <c r="C70" s="316"/>
      <c r="D70" s="1097"/>
      <c r="E70" s="1081" t="s">
        <v>1442</v>
      </c>
      <c r="F70" s="1185"/>
      <c r="O70" s="1612" t="s">
        <v>1017</v>
      </c>
      <c r="P70" s="1651" t="s">
        <v>1550</v>
      </c>
      <c r="Q70" s="1604">
        <f ca="1">C13</f>
        <v>168</v>
      </c>
      <c r="R70" s="1604" t="s">
        <v>1494</v>
      </c>
    </row>
    <row r="71" spans="1:18" s="1568" customFormat="1" ht="13.5" thickBot="1">
      <c r="A71" s="1102" t="s">
        <v>1001</v>
      </c>
      <c r="B71" s="1103" t="s">
        <v>1452</v>
      </c>
      <c r="C71" s="342">
        <f ca="1">ROUND(C68*10000/F71,0)</f>
        <v>-2232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13</v>
      </c>
      <c r="D75" s="1568"/>
      <c r="E75" s="1568"/>
      <c r="F75" s="1568"/>
      <c r="K75" s="1586"/>
      <c r="L75" s="1568"/>
      <c r="O75" s="1602" t="s">
        <v>1014</v>
      </c>
      <c r="P75" s="1603" t="s">
        <v>1514</v>
      </c>
      <c r="Q75" s="1604">
        <f ca="1">Q65+Q66</f>
        <v>475</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0.67599999999999993</v>
      </c>
    </row>
    <row r="80" spans="1:18">
      <c r="B80" s="346" t="s">
        <v>1476</v>
      </c>
      <c r="C80" s="280">
        <f ca="1">ROUND(C75/C39,3)</f>
        <v>0.32400000000000001</v>
      </c>
    </row>
    <row r="81" spans="2:3">
      <c r="B81" s="276" t="s">
        <v>1477</v>
      </c>
      <c r="C81" s="244"/>
    </row>
    <row r="82" spans="2:3">
      <c r="B82" s="279" t="s">
        <v>1478</v>
      </c>
      <c r="C82" s="281">
        <f ca="1">1-C83</f>
        <v>-0.19999999999999996</v>
      </c>
    </row>
    <row r="83" spans="2:3">
      <c r="B83" s="279" t="s">
        <v>1479</v>
      </c>
      <c r="C83" s="280">
        <f ca="1">ROUND(C13/C40,3)</f>
        <v>1.2</v>
      </c>
    </row>
  </sheetData>
  <sheetProtection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503</v>
      </c>
      <c r="C2" s="1571" t="s">
        <v>1556</v>
      </c>
      <c r="D2" s="1655">
        <f ca="1">C40+J29+L46</f>
        <v>5025588</v>
      </c>
      <c r="E2" s="1572" t="s">
        <v>1557</v>
      </c>
      <c r="F2" s="1573"/>
      <c r="G2" s="2935"/>
      <c r="H2" s="2924"/>
      <c r="I2" s="2924"/>
      <c r="J2" s="2924"/>
      <c r="K2" s="2925"/>
      <c r="L2" s="2924"/>
      <c r="M2" s="2924"/>
    </row>
    <row r="3" spans="1:37" ht="18" customHeight="1" thickBot="1">
      <c r="A3" s="1574" t="s">
        <v>1558</v>
      </c>
      <c r="B3" s="1575">
        <f ca="1">IF(ISERROR(D2/F43),0,ROUND(D2/F43,0))</f>
        <v>16024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403262</v>
      </c>
      <c r="K5" s="1548" t="s">
        <v>1566</v>
      </c>
      <c r="L5" s="1203"/>
      <c r="M5" s="1204"/>
    </row>
    <row r="6" spans="1:37" ht="18" customHeight="1">
      <c r="A6" s="1201" t="s">
        <v>1003</v>
      </c>
      <c r="B6" s="3950" t="s">
        <v>1368</v>
      </c>
      <c r="C6" s="1206">
        <f ca="1">ROUND(F6*F8*F7*(1-F9),0)</f>
        <v>519000</v>
      </c>
      <c r="D6" s="160" t="s">
        <v>2848</v>
      </c>
      <c r="E6" s="308" t="s">
        <v>1370</v>
      </c>
      <c r="F6" s="309">
        <f ca="1">INDIRECT("'数据-取费表'!u"&amp;$G$1)</f>
        <v>519000</v>
      </c>
      <c r="G6" s="1568"/>
      <c r="H6" s="1201" t="s">
        <v>1003</v>
      </c>
      <c r="I6" s="3950" t="s">
        <v>1368</v>
      </c>
      <c r="J6" s="307">
        <f ca="1">ROUND(M6*M8*M7*(1-M9),0)</f>
        <v>403262</v>
      </c>
      <c r="K6" s="1560" t="s">
        <v>2849</v>
      </c>
      <c r="L6" s="308" t="s">
        <v>1370</v>
      </c>
      <c r="M6" s="309">
        <f ca="1">INDIRECT("'数据-取费表'!z"&amp;$G$1)</f>
        <v>474426</v>
      </c>
    </row>
    <row r="7" spans="1:37" ht="18" customHeight="1">
      <c r="A7" s="1205"/>
      <c r="B7" s="3951"/>
      <c r="C7" s="1207"/>
      <c r="D7" s="313"/>
      <c r="E7" s="1208" t="s">
        <v>1371</v>
      </c>
      <c r="F7" s="309">
        <f ca="1">IF(INDIRECT("'数据-取费表'!ah"&amp;$G$1)="",INDIRECT("'数据-取费表'!k"&amp;$G$1),INDIRECT("'数据-取费表'!ah"&amp;$G$1))</f>
        <v>1</v>
      </c>
      <c r="G7" s="1568"/>
      <c r="H7" s="310"/>
      <c r="I7" s="3951"/>
      <c r="J7" s="312"/>
      <c r="K7" s="313"/>
      <c r="L7" s="308" t="s">
        <v>1371</v>
      </c>
      <c r="M7" s="309">
        <f ca="1">F7</f>
        <v>1</v>
      </c>
    </row>
    <row r="8" spans="1:37" ht="18" customHeight="1">
      <c r="A8" s="310"/>
      <c r="B8" s="3951"/>
      <c r="C8" s="312"/>
      <c r="D8" s="313"/>
      <c r="E8" s="308" t="s">
        <v>1372</v>
      </c>
      <c r="F8" s="309">
        <f ca="1">INDIRECT("'数据-取费表'!ai"&amp;$G$1)</f>
        <v>1</v>
      </c>
      <c r="G8" s="1568"/>
      <c r="H8" s="310"/>
      <c r="I8" s="3951"/>
      <c r="J8" s="312"/>
      <c r="K8" s="313"/>
      <c r="L8" s="308" t="s">
        <v>1372</v>
      </c>
      <c r="M8" s="309">
        <f ca="1">INDIRECT("'数据-取费表'!ai"&amp;$G$1)</f>
        <v>1</v>
      </c>
    </row>
    <row r="9" spans="1:37" ht="18" customHeight="1">
      <c r="A9" s="310"/>
      <c r="B9" s="3952"/>
      <c r="C9" s="312"/>
      <c r="D9" s="313"/>
      <c r="E9" s="308" t="s">
        <v>1373</v>
      </c>
      <c r="F9" s="318">
        <f ca="1">INDIRECT("'数据-取费表'!w"&amp;$G$1)</f>
        <v>0</v>
      </c>
      <c r="G9" s="1568"/>
      <c r="H9" s="310"/>
      <c r="I9" s="3952"/>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936145</v>
      </c>
      <c r="D13" s="1241" t="s">
        <v>1380</v>
      </c>
      <c r="E13" s="1241" t="s">
        <v>1381</v>
      </c>
      <c r="F13" s="1242">
        <f ca="1">INDIRECT("'数据-取费表'!y"&amp;$G$1)</f>
        <v>0.82</v>
      </c>
      <c r="G13" s="1568"/>
      <c r="H13" s="1239">
        <v>2</v>
      </c>
      <c r="I13" s="1240" t="s">
        <v>1379</v>
      </c>
      <c r="J13" s="1200">
        <f ca="1">ROUND(J14*J15,0)</f>
        <v>936145</v>
      </c>
      <c r="K13" s="1247" t="s">
        <v>1380</v>
      </c>
      <c r="L13" s="1576"/>
      <c r="M13" s="1577"/>
    </row>
    <row r="14" spans="1:37" ht="18" customHeight="1">
      <c r="A14" s="1113" t="s">
        <v>1002</v>
      </c>
      <c r="B14" s="308" t="s">
        <v>1382</v>
      </c>
      <c r="C14" s="324">
        <f ca="1">ROUND(INDIRECT("'数据-取费表'!l"&amp;$G$1)*F43+'数据-取费表'!L14*INDIRECT("'数据-取费表'!S"&amp;$G$1),0)</f>
        <v>752712</v>
      </c>
      <c r="D14" s="1529" t="s">
        <v>1383</v>
      </c>
      <c r="E14" s="1526"/>
      <c r="F14" s="325"/>
      <c r="G14" s="1568"/>
      <c r="H14" s="1113" t="s">
        <v>1003</v>
      </c>
      <c r="I14" s="308" t="s">
        <v>1384</v>
      </c>
      <c r="J14" s="24">
        <f ca="1">C29</f>
        <v>1141640</v>
      </c>
      <c r="K14" s="15"/>
      <c r="L14" s="916"/>
      <c r="M14" s="917"/>
    </row>
    <row r="15" spans="1:37" s="1581" customFormat="1" ht="18" customHeight="1" thickBot="1">
      <c r="A15" s="1113" t="s">
        <v>1004</v>
      </c>
      <c r="B15" s="308" t="s">
        <v>1385</v>
      </c>
      <c r="C15" s="24">
        <f ca="1">ROUND(C14*F15,0)</f>
        <v>75271</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54568</v>
      </c>
      <c r="K16" s="1247" t="s">
        <v>1390</v>
      </c>
      <c r="L16" s="1248"/>
      <c r="M16" s="1204"/>
    </row>
    <row r="17" spans="1:37" s="1581" customFormat="1" ht="18" customHeight="1">
      <c r="A17" s="1113" t="s">
        <v>1355</v>
      </c>
      <c r="B17" s="308" t="s">
        <v>1391</v>
      </c>
      <c r="C17" s="24">
        <f ca="1">ROUND(F17*(F43+INDIRECT("'数据-取费表'!S"&amp;$G$1)),0)</f>
        <v>31363</v>
      </c>
      <c r="D17" s="308" t="s">
        <v>1392</v>
      </c>
      <c r="E17" s="308" t="s">
        <v>1393</v>
      </c>
      <c r="F17" s="26">
        <f>'数据-取费表'!B35</f>
        <v>100</v>
      </c>
      <c r="G17" s="1580"/>
      <c r="H17" s="1113" t="s">
        <v>1003</v>
      </c>
      <c r="I17" s="308" t="s">
        <v>1394</v>
      </c>
      <c r="J17" s="2534">
        <f ca="1">ROUND(IF(AND(项目基本情况!B11="自然人",项目基本情况!B10="北京市"),J6*M17/(1+'数据-取费表'!C42),J18+J19+J20),0)</f>
        <v>43695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11291</v>
      </c>
      <c r="D18" s="308" t="s">
        <v>1386</v>
      </c>
      <c r="E18" s="308" t="s">
        <v>1387</v>
      </c>
      <c r="F18" s="328">
        <f>'数据-取费表'!B36</f>
        <v>1.4999999999999999E-2</v>
      </c>
      <c r="G18" s="1580"/>
      <c r="H18" s="1113" t="s">
        <v>1002</v>
      </c>
      <c r="I18" s="308" t="s">
        <v>1398</v>
      </c>
      <c r="J18" s="24">
        <f ca="1">ROUND(J6*M18/(1+'数据-取费表'!C42),0)</f>
        <v>21123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870637</v>
      </c>
      <c r="D19" s="136" t="s">
        <v>1401</v>
      </c>
      <c r="E19" s="1544"/>
      <c r="F19" s="26"/>
      <c r="G19" s="1568"/>
      <c r="H19" s="1113" t="s">
        <v>1004</v>
      </c>
      <c r="I19" s="308" t="s">
        <v>1402</v>
      </c>
      <c r="J19" s="24">
        <f ca="1">IF(K19="按租金收入计税",ROUND(J6*M19/(1+'数据-取费表'!C42),0),ROUND(C29*M19*0.7,0))</f>
        <v>9590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26119</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17099</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2808</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8065</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348694</v>
      </c>
      <c r="K25" s="1255" t="s">
        <v>1429</v>
      </c>
      <c r="L25" s="1256"/>
      <c r="M25" s="1257"/>
    </row>
    <row r="26" spans="1:37" ht="18" customHeight="1">
      <c r="A26" s="1113" t="s">
        <v>1002</v>
      </c>
      <c r="B26" s="308" t="s">
        <v>1430</v>
      </c>
      <c r="C26" s="24">
        <f ca="1">ROUND((C19+C20)*F26,0)</f>
        <v>134513</v>
      </c>
      <c r="D26" s="329" t="s">
        <v>1431</v>
      </c>
      <c r="E26" s="319" t="s">
        <v>1432</v>
      </c>
      <c r="F26" s="318">
        <f ca="1">INDIRECT("'数据-取费表'!q"&amp;$G$1)</f>
        <v>0.15</v>
      </c>
      <c r="G26" s="1568"/>
      <c r="H26" s="305" t="s">
        <v>1000</v>
      </c>
      <c r="I26" s="306" t="s">
        <v>1433</v>
      </c>
      <c r="J26" s="307">
        <f ca="1">IF(J5&lt;&gt;0,ROUND(J25*(1-((1+M28)/(1+M26))^M27)/(M26-M28),0),0)</f>
        <v>4541149</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1141640</v>
      </c>
      <c r="D29" s="1252"/>
      <c r="E29" s="1250"/>
      <c r="F29" s="1253"/>
      <c r="G29" s="1580"/>
      <c r="H29" s="340" t="s">
        <v>1001</v>
      </c>
      <c r="I29" s="341" t="s">
        <v>1444</v>
      </c>
      <c r="J29" s="342">
        <f ca="1">ROUND(J26/(1+F40)^F41,0)</f>
        <v>3431760</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62959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49758</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9590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2808</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10393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456690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1593828</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5082</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-1682403</v>
      </c>
      <c r="D45" s="1657" t="s">
        <v>1569</v>
      </c>
      <c r="E45" s="1584"/>
      <c r="F45" s="1584"/>
      <c r="O45" s="1587" t="s">
        <v>1484</v>
      </c>
      <c r="P45" s="1645"/>
      <c r="Q45" s="1645"/>
      <c r="R45" s="1645"/>
    </row>
    <row r="46" spans="1:18" s="1568" customFormat="1" ht="13.5" thickBot="1">
      <c r="A46" s="1588" t="s">
        <v>1485</v>
      </c>
      <c r="C46" s="1589">
        <f ca="1">ROUND(C45/10000,0)</f>
        <v>-168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5025588</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1141640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5621798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948" t="s">
        <v>1513</v>
      </c>
      <c r="L53" s="3949"/>
      <c r="O53" s="1602" t="s">
        <v>1014</v>
      </c>
      <c r="P53" s="1603" t="s">
        <v>1514</v>
      </c>
      <c r="Q53" s="1604">
        <f ca="1">Q47+Q48</f>
        <v>5025588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936145</v>
      </c>
      <c r="D56" s="1631"/>
      <c r="E56" s="1632"/>
      <c r="F56" s="1624"/>
      <c r="I56" s="1633" t="s">
        <v>1519</v>
      </c>
      <c r="J56" s="1634" t="s">
        <v>3073</v>
      </c>
      <c r="K56" s="1605" t="s">
        <v>1520</v>
      </c>
      <c r="L56" s="1608" t="str">
        <f ca="1">IF(L48&lt;J51,"——",L48-J51)</f>
        <v>——</v>
      </c>
      <c r="O56" s="1602" t="s">
        <v>1008</v>
      </c>
      <c r="P56" s="1603" t="s">
        <v>1493</v>
      </c>
      <c r="Q56" s="1604">
        <f ca="1">C40+J29</f>
        <v>5025588</v>
      </c>
      <c r="R56" s="1604" t="s">
        <v>1494</v>
      </c>
    </row>
    <row r="57" spans="1:18" s="1568" customFormat="1" ht="24.75" thickBot="1">
      <c r="A57" s="1635"/>
      <c r="B57" s="1081" t="s">
        <v>1443</v>
      </c>
      <c r="C57" s="244">
        <f ca="1">C29</f>
        <v>1141640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25380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22572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9590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5025588</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2808</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5025588</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-25380</v>
      </c>
      <c r="D67" s="1094" t="s">
        <v>1429</v>
      </c>
      <c r="E67" s="1099"/>
      <c r="F67" s="1100"/>
      <c r="O67" s="1612" t="s">
        <v>1010</v>
      </c>
      <c r="P67" s="1603" t="s">
        <v>1527</v>
      </c>
      <c r="Q67" s="1650">
        <f ca="1">L51</f>
        <v>5621798</v>
      </c>
      <c r="R67" s="1604" t="s">
        <v>1547</v>
      </c>
    </row>
    <row r="68" spans="1:18" s="1568" customFormat="1" ht="16.5" thickBot="1">
      <c r="A68" s="1078" t="s">
        <v>1000</v>
      </c>
      <c r="B68" s="1079" t="s">
        <v>1450</v>
      </c>
      <c r="C68" s="307">
        <f ca="1">ROUND(C67*(1-((1+F70)/(1+F68))^F69)/(F68-F70),0)</f>
        <v>-88575</v>
      </c>
      <c r="D68" s="1096" t="s">
        <v>1434</v>
      </c>
      <c r="E68" s="1081" t="s">
        <v>1435</v>
      </c>
      <c r="F68" s="318">
        <f ca="1">F40</f>
        <v>7.0000000000000007E-2</v>
      </c>
      <c r="O68" s="1612" t="s">
        <v>1011</v>
      </c>
      <c r="P68" s="1651" t="s">
        <v>1548</v>
      </c>
      <c r="Q68" s="1604">
        <f ca="1">ROUND(Q69-Q70*Q71,0)</f>
        <v>381798</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456690</v>
      </c>
      <c r="R69" s="1604" t="s">
        <v>1494</v>
      </c>
    </row>
    <row r="70" spans="1:18" s="1568" customFormat="1" ht="13.5" thickBot="1">
      <c r="A70" s="1085"/>
      <c r="B70" s="1086"/>
      <c r="C70" s="316"/>
      <c r="D70" s="1097"/>
      <c r="E70" s="1081" t="s">
        <v>1442</v>
      </c>
      <c r="F70" s="1185">
        <f ca="1">F42</f>
        <v>0</v>
      </c>
      <c r="O70" s="1612" t="s">
        <v>1017</v>
      </c>
      <c r="P70" s="1651" t="s">
        <v>1550</v>
      </c>
      <c r="Q70" s="1604">
        <f ca="1">C13</f>
        <v>936145</v>
      </c>
      <c r="R70" s="1604" t="s">
        <v>1494</v>
      </c>
    </row>
    <row r="71" spans="1:18" s="1568" customFormat="1" ht="13.5" thickBot="1">
      <c r="A71" s="1102" t="s">
        <v>1001</v>
      </c>
      <c r="B71" s="1103" t="s">
        <v>1452</v>
      </c>
      <c r="C71" s="342">
        <f ca="1">ROUND(C68/F71,0)</f>
        <v>-282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74892</v>
      </c>
      <c r="D75" s="1568"/>
      <c r="E75" s="1568"/>
      <c r="F75" s="1568"/>
      <c r="K75" s="1586"/>
      <c r="L75" s="1568"/>
      <c r="O75" s="1602" t="s">
        <v>1014</v>
      </c>
      <c r="P75" s="1603" t="s">
        <v>1514</v>
      </c>
      <c r="Q75" s="1604">
        <f ca="1">Q65+Q66</f>
        <v>5025588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0.83599999999999997</v>
      </c>
    </row>
    <row r="80" spans="1:18">
      <c r="B80" s="346" t="s">
        <v>1476</v>
      </c>
      <c r="C80" s="280">
        <f ca="1">ROUND(C75/C39,3)</f>
        <v>0.16400000000000001</v>
      </c>
    </row>
    <row r="81" spans="2:3">
      <c r="B81" s="276" t="s">
        <v>1477</v>
      </c>
      <c r="C81" s="244"/>
    </row>
    <row r="82" spans="2:3">
      <c r="B82" s="279" t="s">
        <v>1478</v>
      </c>
      <c r="C82" s="281">
        <f ca="1">1-C83</f>
        <v>0.41300000000000003</v>
      </c>
    </row>
    <row r="83" spans="2:3">
      <c r="B83" s="279" t="s">
        <v>1479</v>
      </c>
      <c r="C83" s="280">
        <f ca="1">ROUND(C13/C40,3)</f>
        <v>0.58699999999999997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503</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16038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953" t="s">
        <v>2343</v>
      </c>
      <c r="C5" s="395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503</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955" t="s">
        <v>1044</v>
      </c>
      <c r="B1" s="3956"/>
      <c r="C1" s="3957"/>
      <c r="D1" s="3958">
        <f>SUM(I10,I15,I20,I21,I23)</f>
        <v>0</v>
      </c>
      <c r="E1" s="3958"/>
      <c r="F1" s="3958"/>
      <c r="G1" s="3958"/>
      <c r="H1" s="3958"/>
      <c r="I1" s="3959"/>
    </row>
    <row r="2" spans="1:9">
      <c r="A2" s="3960" t="s">
        <v>1045</v>
      </c>
      <c r="B2" s="3961" t="s">
        <v>1046</v>
      </c>
      <c r="C2" s="3961"/>
      <c r="D2" s="1211" t="s">
        <v>1047</v>
      </c>
      <c r="E2" s="1211" t="s">
        <v>1048</v>
      </c>
      <c r="F2" s="1211" t="s">
        <v>1049</v>
      </c>
      <c r="G2" s="1211" t="s">
        <v>1050</v>
      </c>
      <c r="H2" s="1211" t="s">
        <v>1051</v>
      </c>
      <c r="I2" s="1212" t="s">
        <v>1052</v>
      </c>
    </row>
    <row r="3" spans="1:9">
      <c r="A3" s="3960"/>
      <c r="B3" s="3961" t="s">
        <v>1053</v>
      </c>
      <c r="C3" s="3961"/>
      <c r="D3" s="1213"/>
      <c r="E3" s="1211"/>
      <c r="F3" s="1214"/>
      <c r="G3" s="1214"/>
      <c r="H3" s="1215"/>
      <c r="I3" s="1216">
        <f>ROUND(D3*E3*F3*G3*H3/10000,0)</f>
        <v>0</v>
      </c>
    </row>
    <row r="4" spans="1:9">
      <c r="A4" s="3960"/>
      <c r="B4" s="3961" t="s">
        <v>1054</v>
      </c>
      <c r="C4" s="3961"/>
      <c r="D4" s="1213"/>
      <c r="E4" s="1211"/>
      <c r="F4" s="1214"/>
      <c r="G4" s="1214"/>
      <c r="H4" s="1215"/>
      <c r="I4" s="1216">
        <f t="shared" ref="I4:I9" si="0">ROUND(D4*E4*F4*G4*H4/10000,0)</f>
        <v>0</v>
      </c>
    </row>
    <row r="5" spans="1:9">
      <c r="A5" s="3960"/>
      <c r="B5" s="3961" t="s">
        <v>1055</v>
      </c>
      <c r="C5" s="3961"/>
      <c r="D5" s="1213"/>
      <c r="E5" s="1211"/>
      <c r="F5" s="1214"/>
      <c r="G5" s="1214"/>
      <c r="H5" s="1215"/>
      <c r="I5" s="1216">
        <f t="shared" si="0"/>
        <v>0</v>
      </c>
    </row>
    <row r="6" spans="1:9">
      <c r="A6" s="3960"/>
      <c r="B6" s="3961" t="s">
        <v>1056</v>
      </c>
      <c r="C6" s="3961"/>
      <c r="D6" s="1213"/>
      <c r="E6" s="1211"/>
      <c r="F6" s="1214"/>
      <c r="G6" s="1214"/>
      <c r="H6" s="1215"/>
      <c r="I6" s="1216">
        <f t="shared" si="0"/>
        <v>0</v>
      </c>
    </row>
    <row r="7" spans="1:9">
      <c r="A7" s="3960"/>
      <c r="B7" s="3961" t="s">
        <v>1057</v>
      </c>
      <c r="C7" s="3961"/>
      <c r="D7" s="1213"/>
      <c r="E7" s="1211"/>
      <c r="F7" s="1214"/>
      <c r="G7" s="1214"/>
      <c r="H7" s="1215"/>
      <c r="I7" s="1216">
        <f t="shared" si="0"/>
        <v>0</v>
      </c>
    </row>
    <row r="8" spans="1:9">
      <c r="A8" s="3960"/>
      <c r="B8" s="3961" t="s">
        <v>1058</v>
      </c>
      <c r="C8" s="3961"/>
      <c r="D8" s="1213"/>
      <c r="E8" s="1211"/>
      <c r="F8" s="1214"/>
      <c r="G8" s="1214"/>
      <c r="H8" s="1215"/>
      <c r="I8" s="1216">
        <f t="shared" si="0"/>
        <v>0</v>
      </c>
    </row>
    <row r="9" spans="1:9">
      <c r="A9" s="3960"/>
      <c r="B9" s="3961" t="s">
        <v>1059</v>
      </c>
      <c r="C9" s="3961"/>
      <c r="D9" s="1213"/>
      <c r="E9" s="1211"/>
      <c r="F9" s="1214"/>
      <c r="G9" s="1214"/>
      <c r="H9" s="1215"/>
      <c r="I9" s="1216">
        <f t="shared" si="0"/>
        <v>0</v>
      </c>
    </row>
    <row r="10" spans="1:9">
      <c r="A10" s="3960"/>
      <c r="B10" s="3962" t="s">
        <v>1060</v>
      </c>
      <c r="C10" s="3962"/>
      <c r="D10" s="1217"/>
      <c r="E10" s="1217" t="e">
        <f>ROUND(D1*10000/D10/H9,0)</f>
        <v>#DIV/0!</v>
      </c>
      <c r="F10" s="1218"/>
      <c r="G10" s="1218"/>
      <c r="H10" s="1219"/>
      <c r="I10" s="1220">
        <f>SUM(I3:I9)</f>
        <v>0</v>
      </c>
    </row>
    <row r="11" spans="1:9" ht="14.25">
      <c r="A11" s="3960" t="s">
        <v>1061</v>
      </c>
      <c r="B11" s="3961" t="s">
        <v>1062</v>
      </c>
      <c r="C11" s="3961"/>
      <c r="D11" s="1213" t="s">
        <v>1063</v>
      </c>
      <c r="E11" s="1213" t="s">
        <v>1064</v>
      </c>
      <c r="F11" s="1214" t="s">
        <v>1065</v>
      </c>
      <c r="G11" s="1214" t="s">
        <v>1051</v>
      </c>
      <c r="H11" s="1221" t="s">
        <v>1066</v>
      </c>
      <c r="I11" s="1212" t="s">
        <v>1052</v>
      </c>
    </row>
    <row r="12" spans="1:9">
      <c r="A12" s="3960"/>
      <c r="B12" s="3961" t="s">
        <v>1067</v>
      </c>
      <c r="C12" s="3961"/>
      <c r="D12" s="1213"/>
      <c r="E12" s="1213"/>
      <c r="F12" s="1214"/>
      <c r="G12" s="1215"/>
      <c r="H12" s="1222"/>
      <c r="I12" s="1212">
        <f>ROUND(D12*E12*F12*G12/10000,0)</f>
        <v>0</v>
      </c>
    </row>
    <row r="13" spans="1:9">
      <c r="A13" s="3960"/>
      <c r="B13" s="3961" t="s">
        <v>1068</v>
      </c>
      <c r="C13" s="3961"/>
      <c r="D13" s="1213"/>
      <c r="E13" s="1213"/>
      <c r="F13" s="1214"/>
      <c r="G13" s="1215"/>
      <c r="H13" s="1222"/>
      <c r="I13" s="1212">
        <f>ROUND(D13*E13*F13*G13/10000,0)</f>
        <v>0</v>
      </c>
    </row>
    <row r="14" spans="1:9">
      <c r="A14" s="3960"/>
      <c r="B14" s="3961" t="s">
        <v>1069</v>
      </c>
      <c r="C14" s="3961"/>
      <c r="D14" s="1213"/>
      <c r="E14" s="1213"/>
      <c r="F14" s="1214"/>
      <c r="G14" s="1215"/>
      <c r="H14" s="1222"/>
      <c r="I14" s="1212">
        <f>ROUND(D14*E14*F14*G14/10000,0)</f>
        <v>0</v>
      </c>
    </row>
    <row r="15" spans="1:9">
      <c r="A15" s="3960"/>
      <c r="B15" s="3962" t="s">
        <v>1060</v>
      </c>
      <c r="C15" s="3962"/>
      <c r="D15" s="1217"/>
      <c r="E15" s="1217">
        <f>SUM(E12:E14)</f>
        <v>0</v>
      </c>
      <c r="F15" s="1218"/>
      <c r="G15" s="1215"/>
      <c r="H15" s="1222"/>
      <c r="I15" s="1223">
        <f>SUM(I12:I14)</f>
        <v>0</v>
      </c>
    </row>
    <row r="16" spans="1:9" ht="24">
      <c r="A16" s="3960" t="s">
        <v>1070</v>
      </c>
      <c r="B16" s="3961" t="s">
        <v>1071</v>
      </c>
      <c r="C16" s="3961"/>
      <c r="D16" s="1213" t="s">
        <v>1047</v>
      </c>
      <c r="E16" s="1224" t="s">
        <v>1072</v>
      </c>
      <c r="F16" s="1214" t="s">
        <v>1073</v>
      </c>
      <c r="G16" s="1215" t="s">
        <v>1051</v>
      </c>
      <c r="H16" s="1221" t="s">
        <v>1066</v>
      </c>
      <c r="I16" s="1212" t="s">
        <v>1052</v>
      </c>
    </row>
    <row r="17" spans="1:9" ht="14.25">
      <c r="A17" s="3960"/>
      <c r="B17" s="3961" t="s">
        <v>1074</v>
      </c>
      <c r="C17" s="3961"/>
      <c r="D17" s="1213"/>
      <c r="E17" s="1213"/>
      <c r="F17" s="1214"/>
      <c r="G17" s="1215"/>
      <c r="H17" s="1225"/>
      <c r="I17" s="1226">
        <f>ROUND(D17*E17*F17*G17/10000,0)</f>
        <v>0</v>
      </c>
    </row>
    <row r="18" spans="1:9" ht="14.25">
      <c r="A18" s="3960"/>
      <c r="B18" s="3961" t="s">
        <v>1075</v>
      </c>
      <c r="C18" s="3961"/>
      <c r="D18" s="1213"/>
      <c r="E18" s="1213"/>
      <c r="F18" s="1214"/>
      <c r="G18" s="1215"/>
      <c r="H18" s="1225"/>
      <c r="I18" s="1226">
        <f>ROUND(D18*E18*F18*G18/10000,0)</f>
        <v>0</v>
      </c>
    </row>
    <row r="19" spans="1:9" ht="14.25">
      <c r="A19" s="3960"/>
      <c r="B19" s="3961" t="s">
        <v>1076</v>
      </c>
      <c r="C19" s="3961"/>
      <c r="D19" s="1213"/>
      <c r="E19" s="1213"/>
      <c r="F19" s="1214"/>
      <c r="G19" s="1215"/>
      <c r="H19" s="1225"/>
      <c r="I19" s="1226">
        <f>ROUND(D19*E19*F19*G19/10000,0)</f>
        <v>0</v>
      </c>
    </row>
    <row r="20" spans="1:9">
      <c r="A20" s="3960"/>
      <c r="B20" s="3962" t="s">
        <v>1060</v>
      </c>
      <c r="C20" s="3962"/>
      <c r="D20" s="1217">
        <f>SUM(D17:D19)</f>
        <v>0</v>
      </c>
      <c r="E20" s="1217"/>
      <c r="F20" s="1218"/>
      <c r="G20" s="1215"/>
      <c r="H20" s="1222"/>
      <c r="I20" s="1223">
        <f>SUM(I17:I19)</f>
        <v>0</v>
      </c>
    </row>
    <row r="21" spans="1:9">
      <c r="A21" s="3960" t="s">
        <v>1077</v>
      </c>
      <c r="B21" s="3964"/>
      <c r="C21" s="3964"/>
      <c r="D21" s="3964"/>
      <c r="E21" s="3964"/>
      <c r="F21" s="3964"/>
      <c r="G21" s="3964"/>
      <c r="H21" s="1502">
        <v>0.1</v>
      </c>
      <c r="I21" s="1220">
        <f>ROUND(I10*H21,0)</f>
        <v>0</v>
      </c>
    </row>
    <row r="22" spans="1:9" ht="14.25">
      <c r="A22" s="3965" t="s">
        <v>1078</v>
      </c>
      <c r="B22" s="3966"/>
      <c r="C22" s="3967"/>
      <c r="D22" s="1227" t="s">
        <v>1079</v>
      </c>
      <c r="E22" s="1227" t="s">
        <v>1080</v>
      </c>
      <c r="F22" s="1228" t="s">
        <v>1081</v>
      </c>
      <c r="G22" s="1228" t="s">
        <v>1082</v>
      </c>
      <c r="H22" s="1221" t="s">
        <v>1083</v>
      </c>
      <c r="I22" s="1212" t="s">
        <v>1084</v>
      </c>
    </row>
    <row r="23" spans="1:9" ht="14.25" thickBot="1">
      <c r="A23" s="3968"/>
      <c r="B23" s="3969"/>
      <c r="C23" s="3970"/>
      <c r="D23" s="1229"/>
      <c r="E23" s="1229"/>
      <c r="F23" s="1229"/>
      <c r="G23" s="1230"/>
      <c r="H23" s="1231"/>
      <c r="I23" s="1232">
        <f>ROUND(E23*D23*F23*(1-G23)/10000,0)</f>
        <v>0</v>
      </c>
    </row>
    <row r="26" spans="1:9">
      <c r="A26" s="1233" t="s">
        <v>1085</v>
      </c>
      <c r="B26" s="1233"/>
      <c r="C26" s="1233"/>
      <c r="D26" s="1233"/>
      <c r="E26" s="3971">
        <f>C27-C30-C31-C32</f>
        <v>0</v>
      </c>
      <c r="F26" s="3971"/>
      <c r="G26" s="3971"/>
      <c r="H26" s="1499" t="s">
        <v>1306</v>
      </c>
    </row>
    <row r="27" spans="1:9">
      <c r="A27" s="1234">
        <v>1</v>
      </c>
      <c r="B27" s="1235" t="s">
        <v>1086</v>
      </c>
      <c r="C27" s="1235">
        <f>C28+C29</f>
        <v>0</v>
      </c>
      <c r="D27" s="1235"/>
      <c r="E27" s="3972"/>
      <c r="F27" s="3972"/>
      <c r="G27" s="3972"/>
    </row>
    <row r="28" spans="1:9">
      <c r="A28" s="1236" t="s">
        <v>1087</v>
      </c>
      <c r="B28" s="1235" t="s">
        <v>1088</v>
      </c>
      <c r="C28" s="1235"/>
      <c r="D28" s="1235"/>
      <c r="E28" s="3972"/>
      <c r="F28" s="3972"/>
      <c r="G28" s="397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963"/>
      <c r="F32" s="3963"/>
      <c r="G32" s="3963"/>
    </row>
    <row r="33" spans="1:7" hidden="1">
      <c r="A33" s="3973" t="s">
        <v>1097</v>
      </c>
      <c r="B33" s="3974"/>
      <c r="C33" s="3974"/>
      <c r="D33" s="3975"/>
      <c r="E33" s="3971"/>
      <c r="F33" s="3971"/>
      <c r="G33" s="3971"/>
    </row>
    <row r="34" spans="1:7" hidden="1">
      <c r="A34" s="1238">
        <v>1</v>
      </c>
      <c r="B34" s="1235" t="s">
        <v>1098</v>
      </c>
      <c r="C34" s="1235"/>
      <c r="D34" s="1235"/>
      <c r="E34" s="3972"/>
      <c r="F34" s="3972"/>
      <c r="G34" s="3972"/>
    </row>
    <row r="35" spans="1:7" hidden="1">
      <c r="A35" s="1238">
        <v>2</v>
      </c>
      <c r="B35" s="1235" t="s">
        <v>1099</v>
      </c>
      <c r="C35" s="1235"/>
      <c r="D35" s="1235"/>
      <c r="E35" s="3972"/>
      <c r="F35" s="3972"/>
      <c r="G35" s="3972"/>
    </row>
    <row r="36" spans="1:7" hidden="1">
      <c r="A36" s="1238">
        <v>3</v>
      </c>
      <c r="B36" s="1235" t="s">
        <v>1100</v>
      </c>
      <c r="C36" s="1235"/>
      <c r="D36" s="1235"/>
      <c r="E36" s="3972"/>
      <c r="F36" s="3972"/>
      <c r="G36" s="3972"/>
    </row>
    <row r="37" spans="1:7" hidden="1">
      <c r="A37" s="1238">
        <v>4</v>
      </c>
      <c r="B37" s="1235" t="s">
        <v>1101</v>
      </c>
      <c r="C37" s="1235"/>
      <c r="D37" s="1235"/>
      <c r="E37" s="3972"/>
      <c r="F37" s="3972"/>
      <c r="G37" s="3972"/>
    </row>
    <row r="38" spans="1:7" hidden="1">
      <c r="A38" s="3973" t="s">
        <v>1102</v>
      </c>
      <c r="B38" s="3974"/>
      <c r="C38" s="3974"/>
      <c r="D38" s="3975"/>
      <c r="E38" s="3971"/>
      <c r="F38" s="3971"/>
      <c r="G38" s="39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94" t="s">
        <v>2357</v>
      </c>
      <c r="D4" s="3995"/>
      <c r="E4" s="3996" t="s">
        <v>2358</v>
      </c>
      <c r="F4" s="3997"/>
      <c r="G4" s="3994" t="s">
        <v>2359</v>
      </c>
      <c r="H4" s="3995"/>
      <c r="I4" s="3994" t="s">
        <v>2360</v>
      </c>
      <c r="J4" s="3995"/>
      <c r="K4" s="2075" t="s">
        <v>2361</v>
      </c>
      <c r="L4" s="2944"/>
      <c r="M4" s="2945"/>
      <c r="N4" s="2945"/>
      <c r="O4" s="2945"/>
      <c r="P4" s="3998" t="s">
        <v>2362</v>
      </c>
      <c r="Q4" s="3999"/>
      <c r="R4" s="3981" t="s">
        <v>2358</v>
      </c>
      <c r="S4" s="3982"/>
      <c r="T4" s="3981" t="s">
        <v>2359</v>
      </c>
      <c r="U4" s="3982"/>
      <c r="V4" s="4006" t="s">
        <v>2360</v>
      </c>
      <c r="W4" s="4006"/>
      <c r="X4" s="1539"/>
      <c r="Y4" s="3981" t="s">
        <v>2362</v>
      </c>
      <c r="Z4" s="3982"/>
      <c r="AA4" s="3976" t="s">
        <v>2358</v>
      </c>
      <c r="AB4" s="3976" t="s">
        <v>2359</v>
      </c>
      <c r="AC4" s="3976" t="s">
        <v>2360</v>
      </c>
    </row>
    <row r="5" spans="1:29" ht="15">
      <c r="A5" s="364"/>
      <c r="B5" s="365"/>
      <c r="C5" s="3987" t="s">
        <v>2363</v>
      </c>
      <c r="D5" s="3988"/>
      <c r="E5" s="3985" t="s">
        <v>2364</v>
      </c>
      <c r="F5" s="3986"/>
      <c r="G5" s="3987" t="s">
        <v>2365</v>
      </c>
      <c r="H5" s="3988"/>
      <c r="I5" s="3987" t="s">
        <v>2366</v>
      </c>
      <c r="J5" s="3988"/>
      <c r="K5" s="2076"/>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2076"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979" t="s">
        <v>2370</v>
      </c>
      <c r="Q7" s="4007"/>
      <c r="R7" s="710" t="s">
        <v>23</v>
      </c>
      <c r="S7" s="711">
        <f t="shared" ref="S7:S15" si="0">F7</f>
        <v>0</v>
      </c>
      <c r="T7" s="710" t="s">
        <v>23</v>
      </c>
      <c r="U7" s="711">
        <f t="shared" ref="U7:U15" si="1">H7</f>
        <v>0</v>
      </c>
      <c r="V7" s="710" t="s">
        <v>23</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979" t="s">
        <v>2373</v>
      </c>
      <c r="Q8" s="3980"/>
      <c r="R8" s="710" t="s">
        <v>23</v>
      </c>
      <c r="S8" s="711">
        <f t="shared" si="0"/>
        <v>0</v>
      </c>
      <c r="T8" s="710" t="s">
        <v>23</v>
      </c>
      <c r="U8" s="711">
        <f t="shared" si="1"/>
        <v>0</v>
      </c>
      <c r="V8" s="710" t="s">
        <v>23</v>
      </c>
      <c r="W8" s="711">
        <f t="shared" si="2"/>
        <v>0</v>
      </c>
      <c r="X8" s="712"/>
      <c r="Y8" s="3979" t="s">
        <v>2373</v>
      </c>
      <c r="Z8" s="398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93"/>
      <c r="Q11" s="1527" t="str">
        <f t="shared" si="6"/>
        <v>容积率</v>
      </c>
      <c r="R11" s="710" t="s">
        <v>21</v>
      </c>
      <c r="S11" s="711" t="e">
        <f t="shared" si="0"/>
        <v>#N/A</v>
      </c>
      <c r="T11" s="710" t="s">
        <v>21</v>
      </c>
      <c r="U11" s="711" t="e">
        <f t="shared" si="1"/>
        <v>#N/A</v>
      </c>
      <c r="V11" s="710" t="s">
        <v>21</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93"/>
      <c r="Q12" s="1527">
        <f t="shared" si="6"/>
        <v>111</v>
      </c>
      <c r="R12" s="710" t="s">
        <v>21</v>
      </c>
      <c r="S12" s="711">
        <f t="shared" si="0"/>
        <v>100</v>
      </c>
      <c r="T12" s="710" t="s">
        <v>21</v>
      </c>
      <c r="U12" s="711">
        <f t="shared" si="1"/>
        <v>100</v>
      </c>
      <c r="V12" s="710" t="s">
        <v>21</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93"/>
      <c r="Q13" s="1527">
        <f t="shared" si="6"/>
        <v>111</v>
      </c>
      <c r="R13" s="710" t="s">
        <v>21</v>
      </c>
      <c r="S13" s="711">
        <f t="shared" si="0"/>
        <v>100</v>
      </c>
      <c r="T13" s="710" t="s">
        <v>21</v>
      </c>
      <c r="U13" s="711">
        <f t="shared" si="1"/>
        <v>100</v>
      </c>
      <c r="V13" s="710" t="s">
        <v>21</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93"/>
      <c r="Q14" s="1527">
        <f t="shared" si="6"/>
        <v>111</v>
      </c>
      <c r="R14" s="710" t="s">
        <v>21</v>
      </c>
      <c r="S14" s="711">
        <f t="shared" si="0"/>
        <v>100</v>
      </c>
      <c r="T14" s="710" t="s">
        <v>21</v>
      </c>
      <c r="U14" s="711">
        <f t="shared" si="1"/>
        <v>100</v>
      </c>
      <c r="V14" s="710" t="s">
        <v>21</v>
      </c>
      <c r="W14" s="711">
        <f t="shared" si="2"/>
        <v>100</v>
      </c>
      <c r="X14" s="712"/>
      <c r="Y14" s="3921"/>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4020" t="s">
        <v>2381</v>
      </c>
      <c r="Q15" s="1536" t="str">
        <f t="shared" si="6"/>
        <v>居住社区成熟度</v>
      </c>
      <c r="R15" s="714" t="s">
        <v>21</v>
      </c>
      <c r="S15" s="715">
        <f t="shared" si="0"/>
        <v>100</v>
      </c>
      <c r="T15" s="714" t="s">
        <v>21</v>
      </c>
      <c r="U15" s="715">
        <f t="shared" si="1"/>
        <v>100</v>
      </c>
      <c r="V15" s="714" t="s">
        <v>21</v>
      </c>
      <c r="W15" s="715">
        <f t="shared" si="2"/>
        <v>100</v>
      </c>
      <c r="X15" s="1539"/>
      <c r="Y15" s="401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4021"/>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4021"/>
      <c r="Q17" s="1536" t="str">
        <f>B17</f>
        <v>交通便捷度</v>
      </c>
      <c r="R17" s="714" t="s">
        <v>21</v>
      </c>
      <c r="S17" s="715">
        <f>F17</f>
        <v>100</v>
      </c>
      <c r="T17" s="714" t="s">
        <v>21</v>
      </c>
      <c r="U17" s="715">
        <f>H17</f>
        <v>100</v>
      </c>
      <c r="V17" s="714" t="s">
        <v>21</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4021"/>
      <c r="Q18" s="1536"/>
      <c r="R18" s="714"/>
      <c r="S18" s="715"/>
      <c r="T18" s="714"/>
      <c r="U18" s="715"/>
      <c r="V18" s="714"/>
      <c r="W18" s="715"/>
      <c r="X18" s="1539"/>
      <c r="Y18" s="4014"/>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4021"/>
      <c r="Q19" s="1536" t="str">
        <f>B19</f>
        <v>公共配套设施</v>
      </c>
      <c r="R19" s="714" t="s">
        <v>21</v>
      </c>
      <c r="S19" s="715">
        <f>F19</f>
        <v>100</v>
      </c>
      <c r="T19" s="714" t="s">
        <v>21</v>
      </c>
      <c r="U19" s="715">
        <f>H19</f>
        <v>100</v>
      </c>
      <c r="V19" s="714" t="s">
        <v>21</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4021"/>
      <c r="Q20" s="1536"/>
      <c r="R20" s="714"/>
      <c r="S20" s="715"/>
      <c r="T20" s="714"/>
      <c r="U20" s="715"/>
      <c r="V20" s="714"/>
      <c r="W20" s="715"/>
      <c r="X20" s="1539"/>
      <c r="Y20" s="4014"/>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4021"/>
      <c r="Q22" s="1536"/>
      <c r="R22" s="714"/>
      <c r="S22" s="715"/>
      <c r="T22" s="714"/>
      <c r="U22" s="715"/>
      <c r="V22" s="714"/>
      <c r="W22" s="715"/>
      <c r="X22" s="1539"/>
      <c r="Y22" s="4014"/>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4021"/>
      <c r="Q23" s="1536" t="str">
        <f>B23</f>
        <v>自然及人文环境</v>
      </c>
      <c r="R23" s="714" t="s">
        <v>21</v>
      </c>
      <c r="S23" s="715">
        <f>F23</f>
        <v>100</v>
      </c>
      <c r="T23" s="714" t="s">
        <v>21</v>
      </c>
      <c r="U23" s="715">
        <f>H23</f>
        <v>100</v>
      </c>
      <c r="V23" s="714" t="s">
        <v>21</v>
      </c>
      <c r="W23" s="715">
        <f>J23</f>
        <v>100</v>
      </c>
      <c r="X23" s="1539"/>
      <c r="Y23" s="401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4021"/>
      <c r="Q24" s="1536"/>
      <c r="R24" s="714"/>
      <c r="S24" s="715"/>
      <c r="T24" s="714"/>
      <c r="U24" s="715"/>
      <c r="V24" s="714"/>
      <c r="W24" s="715"/>
      <c r="X24" s="1539"/>
      <c r="Y24" s="401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402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401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4021"/>
      <c r="Q26" s="1536" t="str">
        <f t="shared" si="11"/>
        <v>朝向</v>
      </c>
      <c r="R26" s="714" t="s">
        <v>21</v>
      </c>
      <c r="S26" s="715">
        <f t="shared" si="12"/>
        <v>100</v>
      </c>
      <c r="T26" s="714" t="s">
        <v>21</v>
      </c>
      <c r="U26" s="715">
        <f t="shared" si="13"/>
        <v>100</v>
      </c>
      <c r="V26" s="714" t="s">
        <v>21</v>
      </c>
      <c r="W26" s="715">
        <f t="shared" si="14"/>
        <v>100</v>
      </c>
      <c r="X26" s="1539"/>
      <c r="Y26" s="401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4021"/>
      <c r="Q27" s="1527">
        <f t="shared" si="11"/>
        <v>111</v>
      </c>
      <c r="R27" s="710" t="s">
        <v>21</v>
      </c>
      <c r="S27" s="711">
        <f t="shared" si="12"/>
        <v>100</v>
      </c>
      <c r="T27" s="710" t="s">
        <v>21</v>
      </c>
      <c r="U27" s="711">
        <f t="shared" si="13"/>
        <v>100</v>
      </c>
      <c r="V27" s="710" t="s">
        <v>21</v>
      </c>
      <c r="W27" s="711">
        <f t="shared" si="14"/>
        <v>100</v>
      </c>
      <c r="X27" s="712"/>
      <c r="Y27" s="401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4021"/>
      <c r="Q28" s="1536">
        <f t="shared" si="11"/>
        <v>111</v>
      </c>
      <c r="R28" s="714" t="s">
        <v>21</v>
      </c>
      <c r="S28" s="715">
        <f t="shared" si="12"/>
        <v>100</v>
      </c>
      <c r="T28" s="714" t="s">
        <v>21</v>
      </c>
      <c r="U28" s="715">
        <f t="shared" si="13"/>
        <v>100</v>
      </c>
      <c r="V28" s="714" t="s">
        <v>21</v>
      </c>
      <c r="W28" s="715">
        <f t="shared" si="14"/>
        <v>100</v>
      </c>
      <c r="X28" s="1539"/>
      <c r="Y28" s="401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4021"/>
      <c r="Q29" s="1536">
        <f t="shared" si="11"/>
        <v>111</v>
      </c>
      <c r="R29" s="714" t="s">
        <v>21</v>
      </c>
      <c r="S29" s="715">
        <f t="shared" si="12"/>
        <v>100</v>
      </c>
      <c r="T29" s="714" t="s">
        <v>21</v>
      </c>
      <c r="U29" s="715">
        <f t="shared" si="13"/>
        <v>100</v>
      </c>
      <c r="V29" s="714" t="s">
        <v>21</v>
      </c>
      <c r="W29" s="715">
        <f t="shared" si="14"/>
        <v>100</v>
      </c>
      <c r="X29" s="1539"/>
      <c r="Y29" s="401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4021"/>
      <c r="Q30" s="1536">
        <f t="shared" si="11"/>
        <v>111</v>
      </c>
      <c r="R30" s="714" t="s">
        <v>21</v>
      </c>
      <c r="S30" s="715">
        <f t="shared" si="12"/>
        <v>100</v>
      </c>
      <c r="T30" s="714" t="s">
        <v>21</v>
      </c>
      <c r="U30" s="715">
        <f t="shared" si="13"/>
        <v>100</v>
      </c>
      <c r="V30" s="714" t="s">
        <v>21</v>
      </c>
      <c r="W30" s="715">
        <f t="shared" si="14"/>
        <v>100</v>
      </c>
      <c r="X30" s="1539"/>
      <c r="Y30" s="401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4021"/>
      <c r="Q31" s="1536">
        <f t="shared" si="11"/>
        <v>111</v>
      </c>
      <c r="R31" s="714" t="s">
        <v>21</v>
      </c>
      <c r="S31" s="715">
        <f t="shared" si="12"/>
        <v>100</v>
      </c>
      <c r="T31" s="714" t="s">
        <v>21</v>
      </c>
      <c r="U31" s="715">
        <f t="shared" si="13"/>
        <v>100</v>
      </c>
      <c r="V31" s="714" t="s">
        <v>21</v>
      </c>
      <c r="W31" s="715">
        <f t="shared" si="14"/>
        <v>100</v>
      </c>
      <c r="X31" s="1539"/>
      <c r="Y31" s="401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4015" t="s">
        <v>2386</v>
      </c>
      <c r="Q32" s="1536" t="str">
        <f t="shared" si="11"/>
        <v>建筑类型</v>
      </c>
      <c r="R32" s="714" t="s">
        <v>21</v>
      </c>
      <c r="S32" s="715">
        <f t="shared" si="12"/>
        <v>100</v>
      </c>
      <c r="T32" s="714" t="s">
        <v>21</v>
      </c>
      <c r="U32" s="715">
        <f t="shared" si="13"/>
        <v>100</v>
      </c>
      <c r="V32" s="714" t="s">
        <v>21</v>
      </c>
      <c r="W32" s="715">
        <f t="shared" si="14"/>
        <v>100</v>
      </c>
      <c r="X32" s="1539"/>
      <c r="Y32" s="401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4016"/>
      <c r="Q33" s="716" t="str">
        <f t="shared" si="11"/>
        <v>项目建筑规模</v>
      </c>
      <c r="R33" s="717" t="s">
        <v>21</v>
      </c>
      <c r="S33" s="718" t="e">
        <f t="shared" si="12"/>
        <v>#N/A</v>
      </c>
      <c r="T33" s="717" t="s">
        <v>21</v>
      </c>
      <c r="U33" s="718" t="e">
        <f t="shared" si="13"/>
        <v>#N/A</v>
      </c>
      <c r="V33" s="717" t="s">
        <v>21</v>
      </c>
      <c r="W33" s="718" t="e">
        <f t="shared" si="14"/>
        <v>#N/A</v>
      </c>
      <c r="X33" s="719"/>
      <c r="Y33" s="401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4016"/>
      <c r="Q34" s="1536" t="str">
        <f t="shared" si="11"/>
        <v>建筑结构</v>
      </c>
      <c r="R34" s="714" t="s">
        <v>21</v>
      </c>
      <c r="S34" s="715">
        <f t="shared" si="12"/>
        <v>100</v>
      </c>
      <c r="T34" s="714" t="s">
        <v>21</v>
      </c>
      <c r="U34" s="715">
        <f t="shared" si="13"/>
        <v>100</v>
      </c>
      <c r="V34" s="714" t="s">
        <v>21</v>
      </c>
      <c r="W34" s="715">
        <f t="shared" si="14"/>
        <v>100</v>
      </c>
      <c r="X34" s="1539"/>
      <c r="Y34" s="401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4016"/>
      <c r="Q35" s="1536" t="str">
        <f t="shared" si="11"/>
        <v>建筑品质</v>
      </c>
      <c r="R35" s="714" t="s">
        <v>21</v>
      </c>
      <c r="S35" s="715">
        <f t="shared" si="12"/>
        <v>100</v>
      </c>
      <c r="T35" s="714" t="s">
        <v>21</v>
      </c>
      <c r="U35" s="715">
        <f t="shared" si="13"/>
        <v>100</v>
      </c>
      <c r="V35" s="714" t="s">
        <v>21</v>
      </c>
      <c r="W35" s="715">
        <f t="shared" si="14"/>
        <v>100</v>
      </c>
      <c r="X35" s="1539"/>
      <c r="Y35" s="401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4016"/>
      <c r="Q36" s="1536" t="str">
        <f t="shared" si="11"/>
        <v>公共部分装修</v>
      </c>
      <c r="R36" s="714" t="s">
        <v>21</v>
      </c>
      <c r="S36" s="715">
        <f t="shared" si="12"/>
        <v>100</v>
      </c>
      <c r="T36" s="714" t="s">
        <v>21</v>
      </c>
      <c r="U36" s="715">
        <f t="shared" si="13"/>
        <v>100</v>
      </c>
      <c r="V36" s="714" t="s">
        <v>21</v>
      </c>
      <c r="W36" s="715">
        <f t="shared" si="14"/>
        <v>100</v>
      </c>
      <c r="X36" s="1539"/>
      <c r="Y36" s="401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4016"/>
      <c r="Q37" s="1527" t="str">
        <f t="shared" si="11"/>
        <v>成新度</v>
      </c>
      <c r="R37" s="710" t="s">
        <v>21</v>
      </c>
      <c r="S37" s="711" t="e">
        <f t="shared" si="12"/>
        <v>#N/A</v>
      </c>
      <c r="T37" s="710" t="s">
        <v>21</v>
      </c>
      <c r="U37" s="711" t="e">
        <f t="shared" si="13"/>
        <v>#N/A</v>
      </c>
      <c r="V37" s="710" t="s">
        <v>21</v>
      </c>
      <c r="W37" s="711" t="e">
        <f t="shared" si="14"/>
        <v>#N/A</v>
      </c>
      <c r="X37" s="712"/>
      <c r="Y37" s="401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4016" t="s">
        <v>2386</v>
      </c>
      <c r="Q38" s="1536" t="str">
        <f t="shared" si="11"/>
        <v>物业管理</v>
      </c>
      <c r="R38" s="714" t="s">
        <v>21</v>
      </c>
      <c r="S38" s="715">
        <f t="shared" si="12"/>
        <v>100</v>
      </c>
      <c r="T38" s="714" t="s">
        <v>21</v>
      </c>
      <c r="U38" s="715">
        <f t="shared" si="13"/>
        <v>100</v>
      </c>
      <c r="V38" s="714" t="s">
        <v>21</v>
      </c>
      <c r="W38" s="715">
        <f t="shared" si="14"/>
        <v>100</v>
      </c>
      <c r="X38" s="1539"/>
      <c r="Y38" s="401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4016"/>
      <c r="Q39" s="1536" t="str">
        <f t="shared" si="11"/>
        <v>市政基础设施</v>
      </c>
      <c r="R39" s="714" t="s">
        <v>21</v>
      </c>
      <c r="S39" s="715">
        <f t="shared" si="12"/>
        <v>100</v>
      </c>
      <c r="T39" s="714" t="s">
        <v>21</v>
      </c>
      <c r="U39" s="715">
        <f t="shared" si="13"/>
        <v>100</v>
      </c>
      <c r="V39" s="714" t="s">
        <v>21</v>
      </c>
      <c r="W39" s="715">
        <f t="shared" si="14"/>
        <v>100</v>
      </c>
      <c r="X39" s="1539"/>
      <c r="Y39" s="401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4016"/>
      <c r="Q40" s="1536" t="str">
        <f t="shared" si="11"/>
        <v>房型</v>
      </c>
      <c r="R40" s="714" t="s">
        <v>21</v>
      </c>
      <c r="S40" s="715">
        <f t="shared" si="12"/>
        <v>100</v>
      </c>
      <c r="T40" s="714" t="s">
        <v>21</v>
      </c>
      <c r="U40" s="715">
        <f t="shared" si="13"/>
        <v>100</v>
      </c>
      <c r="V40" s="714" t="s">
        <v>21</v>
      </c>
      <c r="W40" s="715">
        <f t="shared" si="14"/>
        <v>100</v>
      </c>
      <c r="X40" s="1539"/>
      <c r="Y40" s="401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4016"/>
      <c r="Q41" s="716" t="str">
        <f t="shared" si="11"/>
        <v>单套/主力户型建筑面积</v>
      </c>
      <c r="R41" s="717" t="s">
        <v>21</v>
      </c>
      <c r="S41" s="718">
        <f t="shared" si="12"/>
        <v>100</v>
      </c>
      <c r="T41" s="717" t="s">
        <v>21</v>
      </c>
      <c r="U41" s="718">
        <f t="shared" si="13"/>
        <v>100</v>
      </c>
      <c r="V41" s="717" t="s">
        <v>21</v>
      </c>
      <c r="W41" s="718">
        <f t="shared" si="14"/>
        <v>100</v>
      </c>
      <c r="X41" s="719"/>
      <c r="Y41" s="401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4016"/>
      <c r="Q42" s="1536" t="str">
        <f t="shared" si="11"/>
        <v>内部装修</v>
      </c>
      <c r="R42" s="714" t="s">
        <v>21</v>
      </c>
      <c r="S42" s="715">
        <f t="shared" si="12"/>
        <v>100</v>
      </c>
      <c r="T42" s="714" t="s">
        <v>21</v>
      </c>
      <c r="U42" s="715">
        <f t="shared" si="13"/>
        <v>100</v>
      </c>
      <c r="V42" s="714" t="s">
        <v>21</v>
      </c>
      <c r="W42" s="715">
        <f t="shared" si="14"/>
        <v>100</v>
      </c>
      <c r="X42" s="1539"/>
      <c r="Y42" s="4018"/>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4016"/>
      <c r="Q43" s="1536" t="str">
        <f t="shared" si="11"/>
        <v>内部装修维护情况</v>
      </c>
      <c r="R43" s="714" t="s">
        <v>21</v>
      </c>
      <c r="S43" s="715">
        <f t="shared" si="12"/>
        <v>100</v>
      </c>
      <c r="T43" s="714" t="s">
        <v>21</v>
      </c>
      <c r="U43" s="715">
        <f t="shared" si="13"/>
        <v>100</v>
      </c>
      <c r="V43" s="714" t="s">
        <v>21</v>
      </c>
      <c r="W43" s="715">
        <f t="shared" si="14"/>
        <v>100</v>
      </c>
      <c r="X43" s="1539"/>
      <c r="Y43" s="401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4016"/>
      <c r="Q44" s="1527">
        <f t="shared" si="11"/>
        <v>111</v>
      </c>
      <c r="R44" s="710" t="s">
        <v>21</v>
      </c>
      <c r="S44" s="711">
        <f t="shared" si="12"/>
        <v>100</v>
      </c>
      <c r="T44" s="710" t="s">
        <v>21</v>
      </c>
      <c r="U44" s="711">
        <f t="shared" si="13"/>
        <v>100</v>
      </c>
      <c r="V44" s="710" t="s">
        <v>21</v>
      </c>
      <c r="W44" s="711">
        <f t="shared" si="14"/>
        <v>100</v>
      </c>
      <c r="X44" s="712"/>
      <c r="Y44" s="401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4016"/>
      <c r="Q45" s="1536">
        <f t="shared" si="11"/>
        <v>111</v>
      </c>
      <c r="R45" s="714" t="s">
        <v>21</v>
      </c>
      <c r="S45" s="715">
        <f t="shared" si="12"/>
        <v>100</v>
      </c>
      <c r="T45" s="714" t="s">
        <v>21</v>
      </c>
      <c r="U45" s="715">
        <f t="shared" si="13"/>
        <v>100</v>
      </c>
      <c r="V45" s="714" t="s">
        <v>21</v>
      </c>
      <c r="W45" s="715">
        <f t="shared" si="14"/>
        <v>100</v>
      </c>
      <c r="X45" s="1539"/>
      <c r="Y45" s="401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4017"/>
      <c r="Q46" s="1536">
        <f t="shared" si="11"/>
        <v>111</v>
      </c>
      <c r="R46" s="714" t="s">
        <v>20</v>
      </c>
      <c r="S46" s="715">
        <f t="shared" si="12"/>
        <v>100</v>
      </c>
      <c r="T46" s="714" t="s">
        <v>20</v>
      </c>
      <c r="U46" s="715">
        <f t="shared" si="13"/>
        <v>100</v>
      </c>
      <c r="V46" s="714" t="s">
        <v>20</v>
      </c>
      <c r="W46" s="715">
        <f t="shared" si="14"/>
        <v>100</v>
      </c>
      <c r="X46" s="1539"/>
      <c r="Y46" s="401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4011" t="str">
        <f>A47</f>
        <v>成交单价（元/平方米）</v>
      </c>
      <c r="Q47" s="4011"/>
      <c r="R47" s="4012">
        <f>E47</f>
        <v>0</v>
      </c>
      <c r="S47" s="4012"/>
      <c r="T47" s="4012">
        <f>G47</f>
        <v>0</v>
      </c>
      <c r="U47" s="4012"/>
      <c r="V47" s="4012">
        <f>I47</f>
        <v>0</v>
      </c>
      <c r="W47" s="4012"/>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4008" t="str">
        <f>A49</f>
        <v>估价对象XX用房的比较价值（楼面单价，元/平方米）</v>
      </c>
      <c r="Q49" s="4009"/>
      <c r="R49" s="4010" t="e">
        <f>IF(F1="售价",ROUND(IF(D48="简单平均",AVERAGE(R48:V48),R48*F48+T48*H48+V48*J48),0),ROUND(IF(D48="简单平均",AVERAGE(R48:V48),R48*F48+T48*H48+V48*J48),1))</f>
        <v>#DIV/0!</v>
      </c>
      <c r="S49" s="4010"/>
      <c r="T49" s="4010"/>
      <c r="U49" s="4010"/>
      <c r="V49" s="4010"/>
      <c r="W49" s="401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4006"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4006"/>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4006"/>
      <c r="AC6" s="397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93"/>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93"/>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93"/>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93"/>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4020" t="s">
        <v>2381</v>
      </c>
      <c r="Q15" s="1536" t="str">
        <f t="shared" si="6"/>
        <v>商业繁华度</v>
      </c>
      <c r="R15" s="714" t="s">
        <v>17</v>
      </c>
      <c r="S15" s="715">
        <f t="shared" si="0"/>
        <v>100</v>
      </c>
      <c r="T15" s="714" t="s">
        <v>17</v>
      </c>
      <c r="U15" s="715">
        <f t="shared" si="1"/>
        <v>100</v>
      </c>
      <c r="V15" s="714" t="s">
        <v>17</v>
      </c>
      <c r="W15" s="715">
        <f t="shared" si="2"/>
        <v>100</v>
      </c>
      <c r="X15" s="1539"/>
      <c r="Y15" s="401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4021"/>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4021"/>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4021"/>
      <c r="Q18" s="1536"/>
      <c r="R18" s="714"/>
      <c r="S18" s="715"/>
      <c r="T18" s="714"/>
      <c r="U18" s="715"/>
      <c r="V18" s="714"/>
      <c r="W18" s="715"/>
      <c r="X18" s="1539"/>
      <c r="Y18" s="4014"/>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4021"/>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4021"/>
      <c r="Q20" s="1536"/>
      <c r="R20" s="714"/>
      <c r="S20" s="715"/>
      <c r="T20" s="714"/>
      <c r="U20" s="715"/>
      <c r="V20" s="714"/>
      <c r="W20" s="715"/>
      <c r="X20" s="1539"/>
      <c r="Y20" s="4014"/>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4021"/>
      <c r="Q22" s="1536"/>
      <c r="R22" s="714"/>
      <c r="S22" s="715"/>
      <c r="T22" s="714"/>
      <c r="U22" s="715"/>
      <c r="V22" s="714"/>
      <c r="W22" s="715"/>
      <c r="X22" s="1539"/>
      <c r="Y22" s="4014"/>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4021"/>
      <c r="Q23" s="1536" t="str">
        <f>B23</f>
        <v>自然及人文环境</v>
      </c>
      <c r="R23" s="714" t="s">
        <v>17</v>
      </c>
      <c r="S23" s="715">
        <f>F23</f>
        <v>100</v>
      </c>
      <c r="T23" s="714" t="s">
        <v>17</v>
      </c>
      <c r="U23" s="715">
        <f>H23</f>
        <v>100</v>
      </c>
      <c r="V23" s="714" t="s">
        <v>17</v>
      </c>
      <c r="W23" s="715">
        <f>J23</f>
        <v>100</v>
      </c>
      <c r="X23" s="1539"/>
      <c r="Y23" s="401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4021"/>
      <c r="Q24" s="1536"/>
      <c r="R24" s="714"/>
      <c r="S24" s="715"/>
      <c r="T24" s="714"/>
      <c r="U24" s="715"/>
      <c r="V24" s="714"/>
      <c r="W24" s="715"/>
      <c r="X24" s="1539"/>
      <c r="Y24" s="401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4021"/>
      <c r="Q25" s="1536" t="str">
        <f t="shared" ref="Q25:Q46" si="11">B25</f>
        <v>临街状况</v>
      </c>
      <c r="R25" s="714" t="s">
        <v>17</v>
      </c>
      <c r="S25" s="715">
        <f>F25</f>
        <v>100</v>
      </c>
      <c r="T25" s="714" t="s">
        <v>17</v>
      </c>
      <c r="U25" s="715">
        <f>H25</f>
        <v>100</v>
      </c>
      <c r="V25" s="714" t="s">
        <v>17</v>
      </c>
      <c r="W25" s="715">
        <f>J25</f>
        <v>100</v>
      </c>
      <c r="X25" s="1539"/>
      <c r="Y25" s="401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4021"/>
      <c r="Q26" s="1536" t="str">
        <f t="shared" si="11"/>
        <v>平面位置/可视性</v>
      </c>
      <c r="R26" s="714" t="s">
        <v>17</v>
      </c>
      <c r="S26" s="715">
        <f>F26</f>
        <v>100</v>
      </c>
      <c r="T26" s="714" t="s">
        <v>17</v>
      </c>
      <c r="U26" s="715">
        <f>H26</f>
        <v>100</v>
      </c>
      <c r="V26" s="714" t="s">
        <v>17</v>
      </c>
      <c r="W26" s="715">
        <f>J26</f>
        <v>100</v>
      </c>
      <c r="X26" s="1539"/>
      <c r="Y26" s="401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4021"/>
      <c r="Q27" s="1527" t="str">
        <f t="shared" si="11"/>
        <v>人流量</v>
      </c>
      <c r="R27" s="710" t="s">
        <v>17</v>
      </c>
      <c r="S27" s="711">
        <f>F27</f>
        <v>100</v>
      </c>
      <c r="T27" s="710" t="s">
        <v>17</v>
      </c>
      <c r="U27" s="711">
        <f>H27</f>
        <v>100</v>
      </c>
      <c r="V27" s="710" t="s">
        <v>17</v>
      </c>
      <c r="W27" s="711">
        <f>J27</f>
        <v>100</v>
      </c>
      <c r="X27" s="712"/>
      <c r="Y27" s="401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402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401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4021"/>
      <c r="Q29" s="1536">
        <f t="shared" si="11"/>
        <v>111</v>
      </c>
      <c r="R29" s="714" t="s">
        <v>17</v>
      </c>
      <c r="S29" s="715">
        <f t="shared" si="12"/>
        <v>100</v>
      </c>
      <c r="T29" s="714" t="s">
        <v>17</v>
      </c>
      <c r="U29" s="715">
        <f t="shared" si="13"/>
        <v>100</v>
      </c>
      <c r="V29" s="714" t="s">
        <v>17</v>
      </c>
      <c r="W29" s="715">
        <f t="shared" si="14"/>
        <v>100</v>
      </c>
      <c r="X29" s="1539"/>
      <c r="Y29" s="401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4021"/>
      <c r="Q30" s="1536">
        <f t="shared" si="11"/>
        <v>111</v>
      </c>
      <c r="R30" s="714" t="s">
        <v>17</v>
      </c>
      <c r="S30" s="715">
        <f t="shared" si="12"/>
        <v>100</v>
      </c>
      <c r="T30" s="714" t="s">
        <v>17</v>
      </c>
      <c r="U30" s="715">
        <f t="shared" si="13"/>
        <v>100</v>
      </c>
      <c r="V30" s="714" t="s">
        <v>17</v>
      </c>
      <c r="W30" s="715">
        <f t="shared" si="14"/>
        <v>100</v>
      </c>
      <c r="X30" s="1539"/>
      <c r="Y30" s="401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4021"/>
      <c r="Q31" s="1536">
        <f t="shared" si="11"/>
        <v>111</v>
      </c>
      <c r="R31" s="714" t="s">
        <v>17</v>
      </c>
      <c r="S31" s="715">
        <f t="shared" si="12"/>
        <v>100</v>
      </c>
      <c r="T31" s="714" t="s">
        <v>17</v>
      </c>
      <c r="U31" s="715">
        <f t="shared" si="13"/>
        <v>100</v>
      </c>
      <c r="V31" s="714" t="s">
        <v>17</v>
      </c>
      <c r="W31" s="715">
        <f t="shared" si="14"/>
        <v>100</v>
      </c>
      <c r="X31" s="1539"/>
      <c r="Y31" s="401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4015" t="s">
        <v>2386</v>
      </c>
      <c r="Q32" s="1536" t="str">
        <f t="shared" si="11"/>
        <v>商业类型</v>
      </c>
      <c r="R32" s="714" t="s">
        <v>17</v>
      </c>
      <c r="S32" s="715">
        <f t="shared" si="12"/>
        <v>100</v>
      </c>
      <c r="T32" s="714" t="s">
        <v>17</v>
      </c>
      <c r="U32" s="715">
        <f t="shared" si="13"/>
        <v>100</v>
      </c>
      <c r="V32" s="714" t="s">
        <v>17</v>
      </c>
      <c r="W32" s="715">
        <f t="shared" si="14"/>
        <v>100</v>
      </c>
      <c r="X32" s="1539"/>
      <c r="Y32" s="401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4016"/>
      <c r="Q33" s="716" t="str">
        <f t="shared" si="11"/>
        <v>项目建筑规模</v>
      </c>
      <c r="R33" s="717" t="s">
        <v>17</v>
      </c>
      <c r="S33" s="718" t="e">
        <f t="shared" si="12"/>
        <v>#N/A</v>
      </c>
      <c r="T33" s="717" t="s">
        <v>17</v>
      </c>
      <c r="U33" s="718" t="e">
        <f t="shared" si="13"/>
        <v>#N/A</v>
      </c>
      <c r="V33" s="717" t="s">
        <v>17</v>
      </c>
      <c r="W33" s="718" t="e">
        <f t="shared" si="14"/>
        <v>#N/A</v>
      </c>
      <c r="X33" s="719"/>
      <c r="Y33" s="401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4016"/>
      <c r="Q34" s="1536" t="str">
        <f t="shared" si="11"/>
        <v>建筑结构</v>
      </c>
      <c r="R34" s="714" t="s">
        <v>17</v>
      </c>
      <c r="S34" s="715">
        <f t="shared" si="12"/>
        <v>100</v>
      </c>
      <c r="T34" s="714" t="s">
        <v>17</v>
      </c>
      <c r="U34" s="715">
        <f t="shared" si="13"/>
        <v>100</v>
      </c>
      <c r="V34" s="714" t="s">
        <v>17</v>
      </c>
      <c r="W34" s="715">
        <f t="shared" si="14"/>
        <v>100</v>
      </c>
      <c r="X34" s="1539"/>
      <c r="Y34" s="401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4016"/>
      <c r="Q35" s="1536" t="str">
        <f t="shared" si="11"/>
        <v>公共部分装修</v>
      </c>
      <c r="R35" s="714" t="s">
        <v>17</v>
      </c>
      <c r="S35" s="715">
        <f t="shared" si="12"/>
        <v>100</v>
      </c>
      <c r="T35" s="714" t="s">
        <v>17</v>
      </c>
      <c r="U35" s="715">
        <f t="shared" si="13"/>
        <v>100</v>
      </c>
      <c r="V35" s="714" t="s">
        <v>17</v>
      </c>
      <c r="W35" s="715">
        <f t="shared" si="14"/>
        <v>100</v>
      </c>
      <c r="X35" s="1539"/>
      <c r="Y35" s="401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4016"/>
      <c r="Q36" s="1536" t="str">
        <f t="shared" si="11"/>
        <v>成新度</v>
      </c>
      <c r="R36" s="714" t="s">
        <v>17</v>
      </c>
      <c r="S36" s="715" t="e">
        <f t="shared" si="12"/>
        <v>#N/A</v>
      </c>
      <c r="T36" s="714" t="s">
        <v>17</v>
      </c>
      <c r="U36" s="715" t="e">
        <f t="shared" si="13"/>
        <v>#N/A</v>
      </c>
      <c r="V36" s="714" t="s">
        <v>17</v>
      </c>
      <c r="W36" s="715" t="e">
        <f t="shared" si="14"/>
        <v>#N/A</v>
      </c>
      <c r="X36" s="1539"/>
      <c r="Y36" s="401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4016"/>
      <c r="Q37" s="1527" t="str">
        <f t="shared" si="11"/>
        <v>市政基础设施</v>
      </c>
      <c r="R37" s="710" t="s">
        <v>17</v>
      </c>
      <c r="S37" s="711">
        <f t="shared" si="12"/>
        <v>100</v>
      </c>
      <c r="T37" s="710" t="s">
        <v>17</v>
      </c>
      <c r="U37" s="711">
        <f t="shared" si="13"/>
        <v>100</v>
      </c>
      <c r="V37" s="710" t="s">
        <v>17</v>
      </c>
      <c r="W37" s="711">
        <f t="shared" si="14"/>
        <v>100</v>
      </c>
      <c r="X37" s="712"/>
      <c r="Y37" s="401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4016" t="s">
        <v>2386</v>
      </c>
      <c r="Q38" s="1536" t="str">
        <f t="shared" si="11"/>
        <v>业态</v>
      </c>
      <c r="R38" s="714" t="s">
        <v>17</v>
      </c>
      <c r="S38" s="715">
        <f t="shared" si="12"/>
        <v>100</v>
      </c>
      <c r="T38" s="714" t="s">
        <v>17</v>
      </c>
      <c r="U38" s="715">
        <f t="shared" si="13"/>
        <v>100</v>
      </c>
      <c r="V38" s="714" t="s">
        <v>17</v>
      </c>
      <c r="W38" s="715">
        <f t="shared" si="14"/>
        <v>100</v>
      </c>
      <c r="X38" s="1539"/>
      <c r="Y38" s="401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4016"/>
      <c r="Q39" s="1536" t="str">
        <f t="shared" si="11"/>
        <v>层高</v>
      </c>
      <c r="R39" s="714" t="s">
        <v>17</v>
      </c>
      <c r="S39" s="715">
        <f t="shared" si="12"/>
        <v>100</v>
      </c>
      <c r="T39" s="714" t="s">
        <v>17</v>
      </c>
      <c r="U39" s="715">
        <f t="shared" si="13"/>
        <v>100</v>
      </c>
      <c r="V39" s="714" t="s">
        <v>17</v>
      </c>
      <c r="W39" s="715">
        <f t="shared" si="14"/>
        <v>100</v>
      </c>
      <c r="X39" s="1539"/>
      <c r="Y39" s="401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4016"/>
      <c r="Q40" s="1536" t="str">
        <f t="shared" si="11"/>
        <v>单套建筑面积</v>
      </c>
      <c r="R40" s="714" t="s">
        <v>17</v>
      </c>
      <c r="S40" s="715">
        <f t="shared" si="12"/>
        <v>100</v>
      </c>
      <c r="T40" s="714" t="s">
        <v>17</v>
      </c>
      <c r="U40" s="715">
        <f t="shared" si="13"/>
        <v>100</v>
      </c>
      <c r="V40" s="714" t="s">
        <v>17</v>
      </c>
      <c r="W40" s="715">
        <f t="shared" si="14"/>
        <v>100</v>
      </c>
      <c r="X40" s="1539"/>
      <c r="Y40" s="401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4016"/>
      <c r="Q41" s="716" t="str">
        <f t="shared" si="11"/>
        <v>进深比</v>
      </c>
      <c r="R41" s="717" t="s">
        <v>17</v>
      </c>
      <c r="S41" s="718">
        <f t="shared" si="12"/>
        <v>100</v>
      </c>
      <c r="T41" s="717" t="s">
        <v>17</v>
      </c>
      <c r="U41" s="718">
        <f t="shared" si="13"/>
        <v>100</v>
      </c>
      <c r="V41" s="717" t="s">
        <v>17</v>
      </c>
      <c r="W41" s="718">
        <f t="shared" si="14"/>
        <v>100</v>
      </c>
      <c r="X41" s="719"/>
      <c r="Y41" s="401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4016"/>
      <c r="Q42" s="1536" t="str">
        <f t="shared" si="11"/>
        <v>内部装修</v>
      </c>
      <c r="R42" s="714" t="s">
        <v>17</v>
      </c>
      <c r="S42" s="715">
        <f t="shared" si="12"/>
        <v>100</v>
      </c>
      <c r="T42" s="714" t="s">
        <v>17</v>
      </c>
      <c r="U42" s="715">
        <f t="shared" si="13"/>
        <v>100</v>
      </c>
      <c r="V42" s="714" t="s">
        <v>17</v>
      </c>
      <c r="W42" s="715">
        <f t="shared" si="14"/>
        <v>100</v>
      </c>
      <c r="X42" s="1539"/>
      <c r="Y42" s="401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4016"/>
      <c r="Q43" s="1536" t="str">
        <f t="shared" si="11"/>
        <v>内部装修维护情况</v>
      </c>
      <c r="R43" s="714" t="s">
        <v>17</v>
      </c>
      <c r="S43" s="715">
        <f t="shared" si="12"/>
        <v>100</v>
      </c>
      <c r="T43" s="714" t="s">
        <v>17</v>
      </c>
      <c r="U43" s="715">
        <f t="shared" si="13"/>
        <v>100</v>
      </c>
      <c r="V43" s="714" t="s">
        <v>17</v>
      </c>
      <c r="W43" s="715">
        <f t="shared" si="14"/>
        <v>100</v>
      </c>
      <c r="X43" s="1539"/>
      <c r="Y43" s="401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4016"/>
      <c r="Q44" s="1527">
        <f t="shared" si="11"/>
        <v>111</v>
      </c>
      <c r="R44" s="710" t="s">
        <v>17</v>
      </c>
      <c r="S44" s="711">
        <f t="shared" si="12"/>
        <v>100</v>
      </c>
      <c r="T44" s="710" t="s">
        <v>17</v>
      </c>
      <c r="U44" s="711">
        <f t="shared" si="13"/>
        <v>100</v>
      </c>
      <c r="V44" s="710" t="s">
        <v>17</v>
      </c>
      <c r="W44" s="711">
        <f t="shared" si="14"/>
        <v>100</v>
      </c>
      <c r="X44" s="712"/>
      <c r="Y44" s="401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4016"/>
      <c r="Q45" s="1536">
        <f t="shared" si="11"/>
        <v>111</v>
      </c>
      <c r="R45" s="714" t="s">
        <v>17</v>
      </c>
      <c r="S45" s="715">
        <f t="shared" si="12"/>
        <v>100</v>
      </c>
      <c r="T45" s="714" t="s">
        <v>17</v>
      </c>
      <c r="U45" s="715">
        <f t="shared" si="13"/>
        <v>100</v>
      </c>
      <c r="V45" s="714" t="s">
        <v>17</v>
      </c>
      <c r="W45" s="715">
        <f t="shared" si="14"/>
        <v>100</v>
      </c>
      <c r="X45" s="1539"/>
      <c r="Y45" s="401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4017"/>
      <c r="Q46" s="1536">
        <f t="shared" si="11"/>
        <v>111</v>
      </c>
      <c r="R46" s="714" t="s">
        <v>17</v>
      </c>
      <c r="S46" s="715">
        <f t="shared" si="12"/>
        <v>100</v>
      </c>
      <c r="T46" s="714" t="s">
        <v>17</v>
      </c>
      <c r="U46" s="715">
        <f t="shared" si="13"/>
        <v>100</v>
      </c>
      <c r="V46" s="714" t="s">
        <v>17</v>
      </c>
      <c r="W46" s="715">
        <f t="shared" si="14"/>
        <v>100</v>
      </c>
      <c r="X46" s="1539"/>
      <c r="Y46" s="401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4011" t="str">
        <f>A47</f>
        <v>成交单价（元/平方米）</v>
      </c>
      <c r="Q47" s="4011"/>
      <c r="R47" s="4006">
        <f>E47</f>
        <v>0</v>
      </c>
      <c r="S47" s="4006"/>
      <c r="T47" s="4006">
        <f>G47</f>
        <v>0</v>
      </c>
      <c r="U47" s="4006"/>
      <c r="V47" s="4006">
        <f>I47</f>
        <v>0</v>
      </c>
      <c r="W47" s="4006"/>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4008" t="str">
        <f>A49</f>
        <v>估价对象XX用房的比较价值（楼面单价，元/平方米）</v>
      </c>
      <c r="Q49" s="4009"/>
      <c r="R49" s="4010" t="e">
        <f>IF(F1="售价",ROUND(IF(D48="简单平均",AVERAGE(R48:V48),R48*F48+T48*H48+V48*J48),0),ROUND(IF(D48="简单平均",AVERAGE(R48:V48),R48*F48+T48*H48+V48*J48),1))</f>
        <v>#DIV/0!</v>
      </c>
      <c r="S49" s="4010"/>
      <c r="T49" s="4010"/>
      <c r="U49" s="4010"/>
      <c r="V49" s="4010"/>
      <c r="W49" s="401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4028" t="s">
        <v>2472</v>
      </c>
      <c r="Q4" s="4029"/>
      <c r="R4" s="4023" t="s">
        <v>2468</v>
      </c>
      <c r="S4" s="4024"/>
      <c r="T4" s="4023" t="s">
        <v>2469</v>
      </c>
      <c r="U4" s="4024"/>
      <c r="V4" s="4032" t="s">
        <v>2470</v>
      </c>
      <c r="W4" s="4032"/>
      <c r="X4" s="2144"/>
      <c r="Y4" s="4023" t="s">
        <v>2472</v>
      </c>
      <c r="Z4" s="4024"/>
      <c r="AA4" s="4022" t="s">
        <v>2468</v>
      </c>
      <c r="AB4" s="4022" t="s">
        <v>2469</v>
      </c>
      <c r="AC4" s="4025" t="s">
        <v>2470</v>
      </c>
    </row>
    <row r="5" spans="1:29" ht="15">
      <c r="A5" s="364"/>
      <c r="B5" s="365"/>
      <c r="C5" s="3987" t="s">
        <v>2363</v>
      </c>
      <c r="D5" s="3988"/>
      <c r="E5" s="3985" t="s">
        <v>2364</v>
      </c>
      <c r="F5" s="3986"/>
      <c r="G5" s="3987" t="s">
        <v>2365</v>
      </c>
      <c r="H5" s="3988"/>
      <c r="I5" s="3987" t="s">
        <v>2366</v>
      </c>
      <c r="J5" s="3988"/>
      <c r="K5" s="567"/>
      <c r="L5" s="2944"/>
      <c r="M5" s="2945"/>
      <c r="N5" s="2945"/>
      <c r="O5" s="2945"/>
      <c r="P5" s="4030"/>
      <c r="Q5" s="4001"/>
      <c r="R5" s="3983"/>
      <c r="S5" s="3984"/>
      <c r="T5" s="3983"/>
      <c r="U5" s="3984"/>
      <c r="V5" s="4006"/>
      <c r="W5" s="4006"/>
      <c r="X5" s="1539"/>
      <c r="Y5" s="3983"/>
      <c r="Z5" s="3984"/>
      <c r="AA5" s="3977"/>
      <c r="AB5" s="3977"/>
      <c r="AC5" s="4026"/>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31"/>
      <c r="Q6" s="4003"/>
      <c r="R6" s="3983"/>
      <c r="S6" s="3984"/>
      <c r="T6" s="4004"/>
      <c r="U6" s="4005"/>
      <c r="V6" s="4006"/>
      <c r="W6" s="4006"/>
      <c r="X6" s="1539"/>
      <c r="Y6" s="4004"/>
      <c r="Z6" s="4005"/>
      <c r="AA6" s="3978"/>
      <c r="AB6" s="3978"/>
      <c r="AC6" s="4027"/>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4033"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4033" t="s">
        <v>2373</v>
      </c>
      <c r="Q8" s="3980"/>
      <c r="R8" s="710" t="s">
        <v>17</v>
      </c>
      <c r="S8" s="711">
        <f t="shared" si="0"/>
        <v>0</v>
      </c>
      <c r="T8" s="710" t="s">
        <v>17</v>
      </c>
      <c r="U8" s="711">
        <f t="shared" si="1"/>
        <v>0</v>
      </c>
      <c r="V8" s="710" t="s">
        <v>17</v>
      </c>
      <c r="W8" s="711">
        <f t="shared" si="2"/>
        <v>0</v>
      </c>
      <c r="X8" s="712"/>
      <c r="Y8" s="3979" t="s">
        <v>2373</v>
      </c>
      <c r="Z8" s="398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93"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93"/>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93"/>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93"/>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93"/>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93"/>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4020" t="s">
        <v>2381</v>
      </c>
      <c r="Q15" s="1536" t="str">
        <f t="shared" si="6"/>
        <v>办公集聚程度</v>
      </c>
      <c r="R15" s="714" t="s">
        <v>17</v>
      </c>
      <c r="S15" s="715">
        <f t="shared" si="0"/>
        <v>100</v>
      </c>
      <c r="T15" s="714" t="s">
        <v>17</v>
      </c>
      <c r="U15" s="715">
        <f t="shared" si="1"/>
        <v>100</v>
      </c>
      <c r="V15" s="714" t="s">
        <v>17</v>
      </c>
      <c r="W15" s="715">
        <f t="shared" si="2"/>
        <v>100</v>
      </c>
      <c r="X15" s="1539"/>
      <c r="Y15" s="401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4021"/>
      <c r="Q16" s="1536"/>
      <c r="R16" s="714"/>
      <c r="S16" s="715"/>
      <c r="T16" s="714"/>
      <c r="U16" s="715"/>
      <c r="V16" s="714"/>
      <c r="W16" s="715"/>
      <c r="X16" s="1539"/>
      <c r="Y16" s="4014"/>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4021"/>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4021"/>
      <c r="Q18" s="1536"/>
      <c r="R18" s="714"/>
      <c r="S18" s="715"/>
      <c r="T18" s="714"/>
      <c r="U18" s="715"/>
      <c r="V18" s="714"/>
      <c r="W18" s="715"/>
      <c r="X18" s="1539"/>
      <c r="Y18" s="4014"/>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4021"/>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4021"/>
      <c r="Q20" s="1536"/>
      <c r="R20" s="714"/>
      <c r="S20" s="715"/>
      <c r="T20" s="714"/>
      <c r="U20" s="715"/>
      <c r="V20" s="714"/>
      <c r="W20" s="715"/>
      <c r="X20" s="1539"/>
      <c r="Y20" s="4014"/>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4021"/>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4021"/>
      <c r="Q22" s="1536"/>
      <c r="R22" s="714"/>
      <c r="S22" s="715"/>
      <c r="T22" s="714"/>
      <c r="U22" s="715"/>
      <c r="V22" s="714"/>
      <c r="W22" s="715"/>
      <c r="X22" s="1539"/>
      <c r="Y22" s="4014"/>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4021"/>
      <c r="Q23" s="1536" t="str">
        <f>B23</f>
        <v>环境质量</v>
      </c>
      <c r="R23" s="714" t="s">
        <v>17</v>
      </c>
      <c r="S23" s="715">
        <f>F23</f>
        <v>100</v>
      </c>
      <c r="T23" s="714" t="s">
        <v>17</v>
      </c>
      <c r="U23" s="715">
        <f>H23</f>
        <v>100</v>
      </c>
      <c r="V23" s="714" t="s">
        <v>17</v>
      </c>
      <c r="W23" s="715">
        <f>J23</f>
        <v>100</v>
      </c>
      <c r="X23" s="1539"/>
      <c r="Y23" s="401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4021"/>
      <c r="Q24" s="1536"/>
      <c r="R24" s="714"/>
      <c r="S24" s="715"/>
      <c r="T24" s="714"/>
      <c r="U24" s="715"/>
      <c r="V24" s="714"/>
      <c r="W24" s="715"/>
      <c r="X24" s="1539"/>
      <c r="Y24" s="4014"/>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4021"/>
      <c r="Q25" s="1536" t="str">
        <f>B25</f>
        <v>毗邻道路的类型与等级</v>
      </c>
      <c r="R25" s="714" t="s">
        <v>17</v>
      </c>
      <c r="S25" s="715">
        <f>F25</f>
        <v>100</v>
      </c>
      <c r="T25" s="714" t="s">
        <v>17</v>
      </c>
      <c r="U25" s="715">
        <f>H25</f>
        <v>100</v>
      </c>
      <c r="V25" s="714" t="s">
        <v>17</v>
      </c>
      <c r="W25" s="715">
        <f>J25</f>
        <v>100</v>
      </c>
      <c r="X25" s="1539"/>
      <c r="Y25" s="401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4021"/>
      <c r="Q26" s="1536"/>
      <c r="R26" s="714"/>
      <c r="S26" s="715"/>
      <c r="T26" s="714"/>
      <c r="U26" s="715"/>
      <c r="V26" s="714"/>
      <c r="W26" s="715"/>
      <c r="X26" s="1539"/>
      <c r="Y26" s="401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4021"/>
      <c r="Q27" s="1536" t="str">
        <f t="shared" ref="Q27:Q47" si="11">B27</f>
        <v>楼层</v>
      </c>
      <c r="R27" s="714" t="s">
        <v>17</v>
      </c>
      <c r="S27" s="715">
        <f>F27</f>
        <v>100</v>
      </c>
      <c r="T27" s="714" t="s">
        <v>17</v>
      </c>
      <c r="U27" s="715">
        <f>H27</f>
        <v>100</v>
      </c>
      <c r="V27" s="714" t="s">
        <v>17</v>
      </c>
      <c r="W27" s="715">
        <f>J27</f>
        <v>100</v>
      </c>
      <c r="X27" s="1539"/>
      <c r="Y27" s="401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4021"/>
      <c r="Q28" s="1527" t="str">
        <f t="shared" si="11"/>
        <v>朝向</v>
      </c>
      <c r="R28" s="710" t="s">
        <v>17</v>
      </c>
      <c r="S28" s="711">
        <f>F28</f>
        <v>100</v>
      </c>
      <c r="T28" s="710" t="s">
        <v>17</v>
      </c>
      <c r="U28" s="711">
        <f>H28</f>
        <v>100</v>
      </c>
      <c r="V28" s="710" t="s">
        <v>17</v>
      </c>
      <c r="W28" s="711">
        <f>J28</f>
        <v>100</v>
      </c>
      <c r="X28" s="712"/>
      <c r="Y28" s="401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4021"/>
      <c r="Q29" s="1536">
        <f t="shared" si="11"/>
        <v>111</v>
      </c>
      <c r="R29" s="714" t="s">
        <v>17</v>
      </c>
      <c r="S29" s="715">
        <f t="shared" ref="S29:S47" si="12">F29</f>
        <v>100</v>
      </c>
      <c r="T29" s="714" t="s">
        <v>17</v>
      </c>
      <c r="U29" s="715">
        <f t="shared" ref="U29:U47" si="13">H29</f>
        <v>100</v>
      </c>
      <c r="V29" s="714" t="s">
        <v>17</v>
      </c>
      <c r="W29" s="715">
        <f t="shared" ref="W29:W47" si="14">J29</f>
        <v>100</v>
      </c>
      <c r="X29" s="1539"/>
      <c r="Y29" s="401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4021"/>
      <c r="Q30" s="1536">
        <f t="shared" si="11"/>
        <v>111</v>
      </c>
      <c r="R30" s="714" t="s">
        <v>17</v>
      </c>
      <c r="S30" s="715">
        <f t="shared" si="12"/>
        <v>100</v>
      </c>
      <c r="T30" s="714" t="s">
        <v>17</v>
      </c>
      <c r="U30" s="715">
        <f t="shared" si="13"/>
        <v>100</v>
      </c>
      <c r="V30" s="714" t="s">
        <v>17</v>
      </c>
      <c r="W30" s="715">
        <f t="shared" si="14"/>
        <v>100</v>
      </c>
      <c r="X30" s="1539"/>
      <c r="Y30" s="401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4021"/>
      <c r="Q31" s="1536">
        <f t="shared" si="11"/>
        <v>111</v>
      </c>
      <c r="R31" s="714" t="s">
        <v>17</v>
      </c>
      <c r="S31" s="715">
        <f t="shared" si="12"/>
        <v>100</v>
      </c>
      <c r="T31" s="714" t="s">
        <v>17</v>
      </c>
      <c r="U31" s="715">
        <f t="shared" si="13"/>
        <v>100</v>
      </c>
      <c r="V31" s="714" t="s">
        <v>17</v>
      </c>
      <c r="W31" s="715">
        <f t="shared" si="14"/>
        <v>100</v>
      </c>
      <c r="X31" s="1539"/>
      <c r="Y31" s="401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4021"/>
      <c r="Q32" s="1536">
        <f t="shared" si="11"/>
        <v>111</v>
      </c>
      <c r="R32" s="714" t="s">
        <v>17</v>
      </c>
      <c r="S32" s="715">
        <f t="shared" si="12"/>
        <v>100</v>
      </c>
      <c r="T32" s="714" t="s">
        <v>17</v>
      </c>
      <c r="U32" s="715">
        <f t="shared" si="13"/>
        <v>100</v>
      </c>
      <c r="V32" s="714" t="s">
        <v>17</v>
      </c>
      <c r="W32" s="715">
        <f t="shared" si="14"/>
        <v>100</v>
      </c>
      <c r="X32" s="1539"/>
      <c r="Y32" s="401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4015" t="s">
        <v>2386</v>
      </c>
      <c r="Q33" s="1536" t="str">
        <f t="shared" si="11"/>
        <v>建筑类型</v>
      </c>
      <c r="R33" s="714" t="s">
        <v>17</v>
      </c>
      <c r="S33" s="715">
        <f t="shared" si="12"/>
        <v>100</v>
      </c>
      <c r="T33" s="714" t="s">
        <v>17</v>
      </c>
      <c r="U33" s="715">
        <f t="shared" si="13"/>
        <v>100</v>
      </c>
      <c r="V33" s="714" t="s">
        <v>17</v>
      </c>
      <c r="W33" s="715">
        <f t="shared" si="14"/>
        <v>100</v>
      </c>
      <c r="X33" s="1539"/>
      <c r="Y33" s="401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4016"/>
      <c r="Q34" s="716" t="str">
        <f t="shared" si="11"/>
        <v>项目建筑规模</v>
      </c>
      <c r="R34" s="717" t="s">
        <v>17</v>
      </c>
      <c r="S34" s="718" t="e">
        <f t="shared" si="12"/>
        <v>#N/A</v>
      </c>
      <c r="T34" s="717" t="s">
        <v>17</v>
      </c>
      <c r="U34" s="718" t="e">
        <f t="shared" si="13"/>
        <v>#N/A</v>
      </c>
      <c r="V34" s="717" t="s">
        <v>17</v>
      </c>
      <c r="W34" s="718" t="e">
        <f t="shared" si="14"/>
        <v>#N/A</v>
      </c>
      <c r="X34" s="719"/>
      <c r="Y34" s="401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4016"/>
      <c r="Q35" s="1536" t="str">
        <f t="shared" si="11"/>
        <v>建筑结构</v>
      </c>
      <c r="R35" s="714" t="s">
        <v>17</v>
      </c>
      <c r="S35" s="715">
        <f t="shared" si="12"/>
        <v>100</v>
      </c>
      <c r="T35" s="714" t="s">
        <v>17</v>
      </c>
      <c r="U35" s="715">
        <f t="shared" si="13"/>
        <v>100</v>
      </c>
      <c r="V35" s="714" t="s">
        <v>17</v>
      </c>
      <c r="W35" s="715">
        <f t="shared" si="14"/>
        <v>100</v>
      </c>
      <c r="X35" s="1539"/>
      <c r="Y35" s="401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4016"/>
      <c r="Q36" s="1536" t="str">
        <f t="shared" si="11"/>
        <v>公共部分装修</v>
      </c>
      <c r="R36" s="714" t="s">
        <v>17</v>
      </c>
      <c r="S36" s="715">
        <f t="shared" si="12"/>
        <v>100</v>
      </c>
      <c r="T36" s="714" t="s">
        <v>17</v>
      </c>
      <c r="U36" s="715">
        <f t="shared" si="13"/>
        <v>100</v>
      </c>
      <c r="V36" s="714" t="s">
        <v>17</v>
      </c>
      <c r="W36" s="715">
        <f t="shared" si="14"/>
        <v>100</v>
      </c>
      <c r="X36" s="1539"/>
      <c r="Y36" s="401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4016"/>
      <c r="Q37" s="1536" t="str">
        <f t="shared" si="11"/>
        <v>成新度</v>
      </c>
      <c r="R37" s="714" t="s">
        <v>17</v>
      </c>
      <c r="S37" s="715" t="e">
        <f t="shared" si="12"/>
        <v>#N/A</v>
      </c>
      <c r="T37" s="714" t="s">
        <v>17</v>
      </c>
      <c r="U37" s="715" t="e">
        <f t="shared" si="13"/>
        <v>#N/A</v>
      </c>
      <c r="V37" s="714" t="s">
        <v>17</v>
      </c>
      <c r="W37" s="715" t="e">
        <f t="shared" si="14"/>
        <v>#N/A</v>
      </c>
      <c r="X37" s="1539"/>
      <c r="Y37" s="401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4016"/>
      <c r="Q38" s="1527" t="str">
        <f t="shared" si="11"/>
        <v>写字楼等级</v>
      </c>
      <c r="R38" s="710" t="s">
        <v>17</v>
      </c>
      <c r="S38" s="711">
        <f t="shared" si="12"/>
        <v>100</v>
      </c>
      <c r="T38" s="710" t="s">
        <v>17</v>
      </c>
      <c r="U38" s="711">
        <f t="shared" si="13"/>
        <v>100</v>
      </c>
      <c r="V38" s="710" t="s">
        <v>17</v>
      </c>
      <c r="W38" s="711">
        <f t="shared" si="14"/>
        <v>100</v>
      </c>
      <c r="X38" s="712"/>
      <c r="Y38" s="401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4016" t="s">
        <v>2386</v>
      </c>
      <c r="Q39" s="1536" t="str">
        <f t="shared" si="11"/>
        <v>物业管理</v>
      </c>
      <c r="R39" s="714" t="s">
        <v>17</v>
      </c>
      <c r="S39" s="715">
        <f t="shared" si="12"/>
        <v>100</v>
      </c>
      <c r="T39" s="714" t="s">
        <v>17</v>
      </c>
      <c r="U39" s="715">
        <f t="shared" si="13"/>
        <v>100</v>
      </c>
      <c r="V39" s="714" t="s">
        <v>17</v>
      </c>
      <c r="W39" s="715">
        <f t="shared" si="14"/>
        <v>100</v>
      </c>
      <c r="X39" s="1539"/>
      <c r="Y39" s="401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4016"/>
      <c r="Q40" s="1536" t="str">
        <f t="shared" si="11"/>
        <v>市政基础设施</v>
      </c>
      <c r="R40" s="714" t="s">
        <v>17</v>
      </c>
      <c r="S40" s="715">
        <f t="shared" si="12"/>
        <v>100</v>
      </c>
      <c r="T40" s="714" t="s">
        <v>17</v>
      </c>
      <c r="U40" s="715">
        <f t="shared" si="13"/>
        <v>100</v>
      </c>
      <c r="V40" s="714" t="s">
        <v>17</v>
      </c>
      <c r="W40" s="715">
        <f t="shared" si="14"/>
        <v>100</v>
      </c>
      <c r="X40" s="1539"/>
      <c r="Y40" s="401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4016"/>
      <c r="Q41" s="1536" t="str">
        <f t="shared" si="11"/>
        <v>层高</v>
      </c>
      <c r="R41" s="714" t="s">
        <v>17</v>
      </c>
      <c r="S41" s="715">
        <f t="shared" si="12"/>
        <v>100</v>
      </c>
      <c r="T41" s="714" t="s">
        <v>17</v>
      </c>
      <c r="U41" s="715">
        <f t="shared" si="13"/>
        <v>100</v>
      </c>
      <c r="V41" s="714" t="s">
        <v>17</v>
      </c>
      <c r="W41" s="715">
        <f t="shared" si="14"/>
        <v>100</v>
      </c>
      <c r="X41" s="1539"/>
      <c r="Y41" s="401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4016"/>
      <c r="Q42" s="716" t="str">
        <f t="shared" si="11"/>
        <v>单套建筑面积</v>
      </c>
      <c r="R42" s="717" t="s">
        <v>17</v>
      </c>
      <c r="S42" s="718">
        <f t="shared" si="12"/>
        <v>100</v>
      </c>
      <c r="T42" s="717" t="s">
        <v>17</v>
      </c>
      <c r="U42" s="718">
        <f t="shared" si="13"/>
        <v>100</v>
      </c>
      <c r="V42" s="717" t="s">
        <v>17</v>
      </c>
      <c r="W42" s="718">
        <f t="shared" si="14"/>
        <v>100</v>
      </c>
      <c r="X42" s="719"/>
      <c r="Y42" s="401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4016"/>
      <c r="Q43" s="1536" t="str">
        <f t="shared" si="11"/>
        <v>内部装修</v>
      </c>
      <c r="R43" s="714" t="s">
        <v>17</v>
      </c>
      <c r="S43" s="715">
        <f t="shared" si="12"/>
        <v>100</v>
      </c>
      <c r="T43" s="714" t="s">
        <v>17</v>
      </c>
      <c r="U43" s="715">
        <f t="shared" si="13"/>
        <v>100</v>
      </c>
      <c r="V43" s="714" t="s">
        <v>17</v>
      </c>
      <c r="W43" s="715">
        <f t="shared" si="14"/>
        <v>100</v>
      </c>
      <c r="X43" s="1539"/>
      <c r="Y43" s="401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4016"/>
      <c r="Q44" s="1536" t="str">
        <f t="shared" si="11"/>
        <v>内部装修维护情况</v>
      </c>
      <c r="R44" s="714" t="s">
        <v>17</v>
      </c>
      <c r="S44" s="715">
        <f t="shared" si="12"/>
        <v>100</v>
      </c>
      <c r="T44" s="714" t="s">
        <v>17</v>
      </c>
      <c r="U44" s="715">
        <f t="shared" si="13"/>
        <v>100</v>
      </c>
      <c r="V44" s="714" t="s">
        <v>17</v>
      </c>
      <c r="W44" s="715">
        <f t="shared" si="14"/>
        <v>100</v>
      </c>
      <c r="X44" s="1539"/>
      <c r="Y44" s="401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4016"/>
      <c r="Q45" s="1527">
        <f t="shared" si="11"/>
        <v>111</v>
      </c>
      <c r="R45" s="710" t="s">
        <v>17</v>
      </c>
      <c r="S45" s="711">
        <f t="shared" si="12"/>
        <v>100</v>
      </c>
      <c r="T45" s="710" t="s">
        <v>17</v>
      </c>
      <c r="U45" s="711">
        <f t="shared" si="13"/>
        <v>100</v>
      </c>
      <c r="V45" s="710" t="s">
        <v>17</v>
      </c>
      <c r="W45" s="711">
        <f t="shared" si="14"/>
        <v>100</v>
      </c>
      <c r="X45" s="712"/>
      <c r="Y45" s="401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4016"/>
      <c r="Q46" s="1536">
        <f t="shared" si="11"/>
        <v>111</v>
      </c>
      <c r="R46" s="714" t="s">
        <v>17</v>
      </c>
      <c r="S46" s="715">
        <f t="shared" si="12"/>
        <v>100</v>
      </c>
      <c r="T46" s="714" t="s">
        <v>17</v>
      </c>
      <c r="U46" s="715">
        <f t="shared" si="13"/>
        <v>100</v>
      </c>
      <c r="V46" s="714" t="s">
        <v>17</v>
      </c>
      <c r="W46" s="715">
        <f t="shared" si="14"/>
        <v>100</v>
      </c>
      <c r="X46" s="1539"/>
      <c r="Y46" s="401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4017"/>
      <c r="Q47" s="1536">
        <f t="shared" si="11"/>
        <v>111</v>
      </c>
      <c r="R47" s="714" t="s">
        <v>17</v>
      </c>
      <c r="S47" s="715">
        <f t="shared" si="12"/>
        <v>100</v>
      </c>
      <c r="T47" s="714" t="s">
        <v>17</v>
      </c>
      <c r="U47" s="715">
        <f t="shared" si="13"/>
        <v>100</v>
      </c>
      <c r="V47" s="714" t="s">
        <v>17</v>
      </c>
      <c r="W47" s="715">
        <f t="shared" si="14"/>
        <v>100</v>
      </c>
      <c r="X47" s="1539"/>
      <c r="Y47" s="401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93" t="str">
        <f>A48</f>
        <v>成交单价（元/平方米）</v>
      </c>
      <c r="Q48" s="4011"/>
      <c r="R48" s="4012">
        <f>E48</f>
        <v>0</v>
      </c>
      <c r="S48" s="4012"/>
      <c r="T48" s="4012">
        <f>G48</f>
        <v>0</v>
      </c>
      <c r="U48" s="4012"/>
      <c r="V48" s="4012">
        <f>I48</f>
        <v>0</v>
      </c>
      <c r="W48" s="4012"/>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93" t="str">
        <f>A49</f>
        <v>比较价值（元/平方米）</v>
      </c>
      <c r="Q49" s="4011"/>
      <c r="R49" s="4012" t="e">
        <f>IF(F1="售价",ROUND(PRODUCT(R48,AA7:AA47),0),ROUND(PRODUCT(R48,AA7:AA47),1))</f>
        <v>#DIV/0!</v>
      </c>
      <c r="S49" s="4012"/>
      <c r="T49" s="4012" t="e">
        <f>IF(F1="售价",ROUND(PRODUCT(T48,AB7:AB47),0),ROUND(PRODUCT(T48,AB7:AB47),1))</f>
        <v>#DIV/0!</v>
      </c>
      <c r="U49" s="4012"/>
      <c r="V49" s="4012" t="e">
        <f>IF(F1="售价",ROUND(PRODUCT(V48,AC7:AC47),0),ROUND(PRODUCT(V48,AC7:AC47),1))</f>
        <v>#DIV/0!</v>
      </c>
      <c r="W49" s="401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4034" t="str">
        <f>A50</f>
        <v>估价对象XX用房的比较价值（楼面单价，元/平方米）</v>
      </c>
      <c r="Q50" s="4035"/>
      <c r="R50" s="4036" t="e">
        <f>IF(F1="售价",ROUND(IF(D49="简单平均",AVERAGE(R49:V49),R49*F49+T49*H49+V49*J49),0),ROUND(IF(D49="简单平均",AVERAGE(R49:V49),R49*F49+T49*H49+V49*J49),1))</f>
        <v>#DIV/0!</v>
      </c>
      <c r="S50" s="4036"/>
      <c r="T50" s="4036"/>
      <c r="U50" s="4036"/>
      <c r="V50" s="4036"/>
      <c r="W50" s="403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1044"/>
      <c r="M4" s="1045"/>
      <c r="N4" s="1045"/>
      <c r="O4" s="10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1044"/>
      <c r="M5" s="1045"/>
      <c r="N5" s="1045"/>
      <c r="O5" s="10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1044"/>
      <c r="M6" s="1045"/>
      <c r="N6" s="1045"/>
      <c r="O6" s="10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979" t="s">
        <v>2373</v>
      </c>
      <c r="Q8" s="3980"/>
      <c r="R8" s="710" t="s">
        <v>17</v>
      </c>
      <c r="S8" s="711">
        <f t="shared" si="0"/>
        <v>0</v>
      </c>
      <c r="T8" s="710" t="s">
        <v>17</v>
      </c>
      <c r="U8" s="711">
        <f t="shared" si="1"/>
        <v>0</v>
      </c>
      <c r="V8" s="710" t="s">
        <v>17</v>
      </c>
      <c r="W8" s="711">
        <f t="shared" si="2"/>
        <v>0</v>
      </c>
      <c r="X8" s="712"/>
      <c r="Y8" s="3979" t="s">
        <v>2373</v>
      </c>
      <c r="Z8" s="398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4013" t="s">
        <v>2381</v>
      </c>
      <c r="Q15" s="1536" t="str">
        <f t="shared" si="6"/>
        <v>产业集聚程度</v>
      </c>
      <c r="R15" s="714" t="s">
        <v>17</v>
      </c>
      <c r="S15" s="715">
        <f t="shared" si="0"/>
        <v>100</v>
      </c>
      <c r="T15" s="714" t="s">
        <v>17</v>
      </c>
      <c r="U15" s="715">
        <f t="shared" si="1"/>
        <v>100</v>
      </c>
      <c r="V15" s="714" t="s">
        <v>17</v>
      </c>
      <c r="W15" s="715">
        <f t="shared" si="2"/>
        <v>100</v>
      </c>
      <c r="X15" s="1539"/>
      <c r="Y15" s="401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4014"/>
      <c r="Q16" s="1536"/>
      <c r="R16" s="714"/>
      <c r="S16" s="715"/>
      <c r="T16" s="714"/>
      <c r="U16" s="715"/>
      <c r="V16" s="714"/>
      <c r="W16" s="715"/>
      <c r="X16" s="1539"/>
      <c r="Y16" s="4014"/>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4014"/>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4014"/>
      <c r="Q18" s="1536"/>
      <c r="R18" s="714"/>
      <c r="S18" s="715"/>
      <c r="T18" s="714"/>
      <c r="U18" s="715"/>
      <c r="V18" s="714"/>
      <c r="W18" s="715"/>
      <c r="X18" s="1539"/>
      <c r="Y18" s="4014"/>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4014"/>
      <c r="Q19" s="1536" t="str">
        <f>B19</f>
        <v>公共配套设施</v>
      </c>
      <c r="R19" s="714" t="s">
        <v>17</v>
      </c>
      <c r="S19" s="715">
        <f>F19</f>
        <v>100</v>
      </c>
      <c r="T19" s="714" t="s">
        <v>17</v>
      </c>
      <c r="U19" s="715">
        <f>H19</f>
        <v>100</v>
      </c>
      <c r="V19" s="714" t="s">
        <v>17</v>
      </c>
      <c r="W19" s="715">
        <f>J19</f>
        <v>100</v>
      </c>
      <c r="X19" s="1539"/>
      <c r="Y19" s="40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4014"/>
      <c r="Q20" s="1536"/>
      <c r="R20" s="714"/>
      <c r="S20" s="715"/>
      <c r="T20" s="714"/>
      <c r="U20" s="715"/>
      <c r="V20" s="714"/>
      <c r="W20" s="715"/>
      <c r="X20" s="1539"/>
      <c r="Y20" s="4014"/>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4014"/>
      <c r="Q21" s="1536" t="str">
        <f>B21</f>
        <v>基础设施水平</v>
      </c>
      <c r="R21" s="714" t="s">
        <v>17</v>
      </c>
      <c r="S21" s="715">
        <f>F21</f>
        <v>100</v>
      </c>
      <c r="T21" s="714" t="s">
        <v>17</v>
      </c>
      <c r="U21" s="715">
        <f>H21</f>
        <v>100</v>
      </c>
      <c r="V21" s="714" t="s">
        <v>17</v>
      </c>
      <c r="W21" s="715">
        <f>J21</f>
        <v>100</v>
      </c>
      <c r="X21" s="1539"/>
      <c r="Y21" s="40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4014"/>
      <c r="Q22" s="1536"/>
      <c r="R22" s="714"/>
      <c r="S22" s="715"/>
      <c r="T22" s="714"/>
      <c r="U22" s="715"/>
      <c r="V22" s="714"/>
      <c r="W22" s="715"/>
      <c r="X22" s="1539"/>
      <c r="Y22" s="4014"/>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4014"/>
      <c r="Q23" s="1536" t="str">
        <f>B23</f>
        <v>环境质量</v>
      </c>
      <c r="R23" s="714" t="s">
        <v>17</v>
      </c>
      <c r="S23" s="715">
        <f>F23</f>
        <v>100</v>
      </c>
      <c r="T23" s="714" t="s">
        <v>17</v>
      </c>
      <c r="U23" s="715">
        <f>H23</f>
        <v>100</v>
      </c>
      <c r="V23" s="714" t="s">
        <v>17</v>
      </c>
      <c r="W23" s="715">
        <f>J23</f>
        <v>100</v>
      </c>
      <c r="X23" s="1539"/>
      <c r="Y23" s="401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4014"/>
      <c r="Q24" s="1536"/>
      <c r="R24" s="714"/>
      <c r="S24" s="715"/>
      <c r="T24" s="714"/>
      <c r="U24" s="715"/>
      <c r="V24" s="714"/>
      <c r="W24" s="715"/>
      <c r="X24" s="1539"/>
      <c r="Y24" s="401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4014"/>
      <c r="Q25" s="1536">
        <f>B25</f>
        <v>111</v>
      </c>
      <c r="R25" s="714" t="s">
        <v>17</v>
      </c>
      <c r="S25" s="715">
        <f>F25</f>
        <v>100</v>
      </c>
      <c r="T25" s="714" t="s">
        <v>17</v>
      </c>
      <c r="U25" s="715">
        <f>H25</f>
        <v>100</v>
      </c>
      <c r="V25" s="714" t="s">
        <v>17</v>
      </c>
      <c r="W25" s="715">
        <f>J25</f>
        <v>100</v>
      </c>
      <c r="X25" s="1539"/>
      <c r="Y25" s="401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4014"/>
      <c r="Q26" s="1536">
        <f t="shared" ref="Q26:Q40" si="11">B26</f>
        <v>111</v>
      </c>
      <c r="R26" s="714" t="s">
        <v>17</v>
      </c>
      <c r="S26" s="715">
        <f>F26</f>
        <v>100</v>
      </c>
      <c r="T26" s="714" t="s">
        <v>17</v>
      </c>
      <c r="U26" s="715">
        <f>H26</f>
        <v>100</v>
      </c>
      <c r="V26" s="714" t="s">
        <v>17</v>
      </c>
      <c r="W26" s="715">
        <f>J26</f>
        <v>100</v>
      </c>
      <c r="X26" s="1539"/>
      <c r="Y26" s="401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4014"/>
      <c r="Q27" s="1527">
        <f t="shared" si="11"/>
        <v>111</v>
      </c>
      <c r="R27" s="710" t="s">
        <v>17</v>
      </c>
      <c r="S27" s="711">
        <f>F27</f>
        <v>100</v>
      </c>
      <c r="T27" s="710" t="s">
        <v>17</v>
      </c>
      <c r="U27" s="711">
        <f>H27</f>
        <v>100</v>
      </c>
      <c r="V27" s="710" t="s">
        <v>17</v>
      </c>
      <c r="W27" s="711">
        <f>J27</f>
        <v>100</v>
      </c>
      <c r="X27" s="712"/>
      <c r="Y27" s="401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4014"/>
      <c r="Q28" s="1536">
        <f t="shared" si="11"/>
        <v>111</v>
      </c>
      <c r="R28" s="714" t="s">
        <v>17</v>
      </c>
      <c r="S28" s="715">
        <f t="shared" ref="S28:S40" si="12">F28</f>
        <v>100</v>
      </c>
      <c r="T28" s="714" t="s">
        <v>17</v>
      </c>
      <c r="U28" s="715">
        <f t="shared" ref="U28:U40" si="13">H28</f>
        <v>100</v>
      </c>
      <c r="V28" s="714" t="s">
        <v>17</v>
      </c>
      <c r="W28" s="715">
        <f t="shared" ref="W28:W40" si="14">J28</f>
        <v>100</v>
      </c>
      <c r="X28" s="1539"/>
      <c r="Y28" s="4014"/>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4037" t="s">
        <v>2386</v>
      </c>
      <c r="Q29" s="1536" t="str">
        <f t="shared" si="11"/>
        <v>建筑类型</v>
      </c>
      <c r="R29" s="714" t="s">
        <v>17</v>
      </c>
      <c r="S29" s="715">
        <f t="shared" si="12"/>
        <v>100</v>
      </c>
      <c r="T29" s="714" t="s">
        <v>17</v>
      </c>
      <c r="U29" s="715">
        <f t="shared" si="13"/>
        <v>100</v>
      </c>
      <c r="V29" s="714" t="s">
        <v>17</v>
      </c>
      <c r="W29" s="715">
        <f t="shared" si="14"/>
        <v>100</v>
      </c>
      <c r="X29" s="1539"/>
      <c r="Y29" s="401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4018"/>
      <c r="Q30" s="716" t="str">
        <f t="shared" si="11"/>
        <v>项目建筑规模</v>
      </c>
      <c r="R30" s="717" t="s">
        <v>17</v>
      </c>
      <c r="S30" s="718" t="e">
        <f t="shared" si="12"/>
        <v>#N/A</v>
      </c>
      <c r="T30" s="717" t="s">
        <v>17</v>
      </c>
      <c r="U30" s="718" t="e">
        <f t="shared" si="13"/>
        <v>#N/A</v>
      </c>
      <c r="V30" s="717" t="s">
        <v>17</v>
      </c>
      <c r="W30" s="718" t="e">
        <f t="shared" si="14"/>
        <v>#N/A</v>
      </c>
      <c r="X30" s="719"/>
      <c r="Y30" s="401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4018"/>
      <c r="Q31" s="1536" t="str">
        <f t="shared" si="11"/>
        <v>建筑结构</v>
      </c>
      <c r="R31" s="714" t="s">
        <v>17</v>
      </c>
      <c r="S31" s="715">
        <f t="shared" si="12"/>
        <v>100</v>
      </c>
      <c r="T31" s="714" t="s">
        <v>17</v>
      </c>
      <c r="U31" s="715">
        <f t="shared" si="13"/>
        <v>100</v>
      </c>
      <c r="V31" s="714" t="s">
        <v>17</v>
      </c>
      <c r="W31" s="715">
        <f t="shared" si="14"/>
        <v>100</v>
      </c>
      <c r="X31" s="1539"/>
      <c r="Y31" s="401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4018"/>
      <c r="Q32" s="1536" t="str">
        <f t="shared" si="11"/>
        <v>公共部分装修</v>
      </c>
      <c r="R32" s="714" t="s">
        <v>17</v>
      </c>
      <c r="S32" s="715">
        <f t="shared" si="12"/>
        <v>100</v>
      </c>
      <c r="T32" s="714" t="s">
        <v>17</v>
      </c>
      <c r="U32" s="715">
        <f t="shared" si="13"/>
        <v>100</v>
      </c>
      <c r="V32" s="714" t="s">
        <v>17</v>
      </c>
      <c r="W32" s="715">
        <f t="shared" si="14"/>
        <v>100</v>
      </c>
      <c r="X32" s="1539"/>
      <c r="Y32" s="401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4018"/>
      <c r="Q33" s="1536" t="str">
        <f t="shared" si="11"/>
        <v>成新度</v>
      </c>
      <c r="R33" s="714" t="s">
        <v>17</v>
      </c>
      <c r="S33" s="715" t="e">
        <f t="shared" si="12"/>
        <v>#N/A</v>
      </c>
      <c r="T33" s="714" t="s">
        <v>17</v>
      </c>
      <c r="U33" s="715" t="e">
        <f t="shared" si="13"/>
        <v>#N/A</v>
      </c>
      <c r="V33" s="714" t="s">
        <v>17</v>
      </c>
      <c r="W33" s="715" t="e">
        <f t="shared" si="14"/>
        <v>#N/A</v>
      </c>
      <c r="X33" s="1539"/>
      <c r="Y33" s="401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4018"/>
      <c r="Q34" s="1527" t="str">
        <f t="shared" si="11"/>
        <v>物业管理</v>
      </c>
      <c r="R34" s="710" t="s">
        <v>17</v>
      </c>
      <c r="S34" s="711">
        <f t="shared" si="12"/>
        <v>100</v>
      </c>
      <c r="T34" s="710" t="s">
        <v>17</v>
      </c>
      <c r="U34" s="711">
        <f t="shared" si="13"/>
        <v>100</v>
      </c>
      <c r="V34" s="710" t="s">
        <v>17</v>
      </c>
      <c r="W34" s="711">
        <f t="shared" si="14"/>
        <v>100</v>
      </c>
      <c r="X34" s="712"/>
      <c r="Y34" s="401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4018" t="s">
        <v>2386</v>
      </c>
      <c r="Q35" s="1536" t="str">
        <f t="shared" si="11"/>
        <v>市政基础设施</v>
      </c>
      <c r="R35" s="714" t="s">
        <v>17</v>
      </c>
      <c r="S35" s="715">
        <f t="shared" si="12"/>
        <v>100</v>
      </c>
      <c r="T35" s="714" t="s">
        <v>17</v>
      </c>
      <c r="U35" s="715">
        <f t="shared" si="13"/>
        <v>100</v>
      </c>
      <c r="V35" s="714" t="s">
        <v>17</v>
      </c>
      <c r="W35" s="715">
        <f t="shared" si="14"/>
        <v>100</v>
      </c>
      <c r="X35" s="1539"/>
      <c r="Y35" s="401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4018"/>
      <c r="Q36" s="1536" t="str">
        <f t="shared" si="11"/>
        <v>内部装修</v>
      </c>
      <c r="R36" s="714" t="s">
        <v>17</v>
      </c>
      <c r="S36" s="715">
        <f t="shared" si="12"/>
        <v>100</v>
      </c>
      <c r="T36" s="714" t="s">
        <v>17</v>
      </c>
      <c r="U36" s="715">
        <f t="shared" si="13"/>
        <v>100</v>
      </c>
      <c r="V36" s="714" t="s">
        <v>17</v>
      </c>
      <c r="W36" s="715">
        <f t="shared" si="14"/>
        <v>100</v>
      </c>
      <c r="X36" s="1539"/>
      <c r="Y36" s="401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4018"/>
      <c r="Q37" s="1536" t="str">
        <f t="shared" si="11"/>
        <v>内部装修状况</v>
      </c>
      <c r="R37" s="714" t="s">
        <v>17</v>
      </c>
      <c r="S37" s="715">
        <f t="shared" si="12"/>
        <v>100</v>
      </c>
      <c r="T37" s="714" t="s">
        <v>17</v>
      </c>
      <c r="U37" s="715">
        <f t="shared" si="13"/>
        <v>100</v>
      </c>
      <c r="V37" s="714" t="s">
        <v>17</v>
      </c>
      <c r="W37" s="715">
        <f t="shared" si="14"/>
        <v>100</v>
      </c>
      <c r="X37" s="1539"/>
      <c r="Y37" s="401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4018"/>
      <c r="Q38" s="716">
        <f t="shared" si="11"/>
        <v>111</v>
      </c>
      <c r="R38" s="717" t="s">
        <v>17</v>
      </c>
      <c r="S38" s="718">
        <f t="shared" si="12"/>
        <v>100</v>
      </c>
      <c r="T38" s="717" t="s">
        <v>17</v>
      </c>
      <c r="U38" s="718">
        <f t="shared" si="13"/>
        <v>100</v>
      </c>
      <c r="V38" s="717" t="s">
        <v>17</v>
      </c>
      <c r="W38" s="718">
        <f t="shared" si="14"/>
        <v>100</v>
      </c>
      <c r="X38" s="719"/>
      <c r="Y38" s="401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4018"/>
      <c r="Q39" s="1536">
        <f t="shared" si="11"/>
        <v>111</v>
      </c>
      <c r="R39" s="714" t="s">
        <v>17</v>
      </c>
      <c r="S39" s="715">
        <f t="shared" si="12"/>
        <v>100</v>
      </c>
      <c r="T39" s="714" t="s">
        <v>17</v>
      </c>
      <c r="U39" s="715">
        <f t="shared" si="13"/>
        <v>100</v>
      </c>
      <c r="V39" s="714" t="s">
        <v>17</v>
      </c>
      <c r="W39" s="715">
        <f t="shared" si="14"/>
        <v>100</v>
      </c>
      <c r="X39" s="1539"/>
      <c r="Y39" s="401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4019"/>
      <c r="Q40" s="1536">
        <f t="shared" si="11"/>
        <v>111</v>
      </c>
      <c r="R40" s="714" t="s">
        <v>17</v>
      </c>
      <c r="S40" s="715">
        <f t="shared" si="12"/>
        <v>100</v>
      </c>
      <c r="T40" s="714" t="s">
        <v>17</v>
      </c>
      <c r="U40" s="715">
        <f t="shared" si="13"/>
        <v>100</v>
      </c>
      <c r="V40" s="714" t="s">
        <v>17</v>
      </c>
      <c r="W40" s="715">
        <f t="shared" si="14"/>
        <v>100</v>
      </c>
      <c r="X40" s="1539"/>
      <c r="Y40" s="401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4011" t="str">
        <f>A41</f>
        <v>成交单价（元/平方米）</v>
      </c>
      <c r="Q41" s="4011"/>
      <c r="R41" s="4012">
        <f>E41</f>
        <v>0</v>
      </c>
      <c r="S41" s="4012"/>
      <c r="T41" s="4012">
        <f>G41</f>
        <v>0</v>
      </c>
      <c r="U41" s="4012"/>
      <c r="V41" s="4012">
        <f>I41</f>
        <v>0</v>
      </c>
      <c r="W41" s="4012"/>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4011" t="str">
        <f>A42</f>
        <v>比较价值（元/平方米）</v>
      </c>
      <c r="Q42" s="4011"/>
      <c r="R42" s="4012" t="e">
        <f>IF(F1="售价",ROUND(PRODUCT(R41,AA7:AA40),0),ROUND(PRODUCT(R41,AA7:AA40),1))</f>
        <v>#DIV/0!</v>
      </c>
      <c r="S42" s="4012"/>
      <c r="T42" s="4012" t="e">
        <f>IF(F1="售价",ROUND(PRODUCT(T41,AB7:AB40),0),ROUND(PRODUCT(T41,AB7:AB40),1))</f>
        <v>#DIV/0!</v>
      </c>
      <c r="U42" s="4012"/>
      <c r="V42" s="4012" t="e">
        <f>IF(F1="售价",ROUND(PRODUCT(V41,AC7:AC40),0),ROUND(PRODUCT(V41,AC7:AC40),1))</f>
        <v>#DIV/0!</v>
      </c>
      <c r="W42" s="401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4008" t="str">
        <f>A43</f>
        <v>估价对象XX用房的比较价值（楼面单价，元/平方米）</v>
      </c>
      <c r="Q43" s="4009"/>
      <c r="R43" s="4010" t="e">
        <f>IF(F1="售价",ROUND(IF(D42="简单平均",AVERAGE(R42:V42),R42*F42+T42*H42+V42*J42),0),ROUND(IF(D42="简单平均",AVERAGE(R42:V42),R42*F42+T42*H42+V42*J42),1))</f>
        <v>#DIV/0!</v>
      </c>
      <c r="S43" s="4010"/>
      <c r="T43" s="4010"/>
      <c r="U43" s="4010"/>
      <c r="V43" s="4010"/>
      <c r="W43" s="4010"/>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979" t="s">
        <v>2370</v>
      </c>
      <c r="Q7" s="4007"/>
      <c r="R7" s="710" t="s">
        <v>17</v>
      </c>
      <c r="S7" s="711">
        <f t="shared" ref="S7:S14" si="0">F7</f>
        <v>0</v>
      </c>
      <c r="T7" s="710" t="s">
        <v>17</v>
      </c>
      <c r="U7" s="711">
        <f t="shared" ref="U7:U14" si="1">H7</f>
        <v>0</v>
      </c>
      <c r="V7" s="710" t="s">
        <v>17</v>
      </c>
      <c r="W7" s="711">
        <f t="shared" ref="W7:W14"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4011" t="s">
        <v>2376</v>
      </c>
      <c r="Q9" s="1527" t="str">
        <f t="shared" ref="Q9:Q14" si="6">B9</f>
        <v>用途</v>
      </c>
      <c r="R9" s="710" t="s">
        <v>17</v>
      </c>
      <c r="S9" s="711">
        <f t="shared" si="0"/>
        <v>100</v>
      </c>
      <c r="T9" s="710" t="s">
        <v>17</v>
      </c>
      <c r="U9" s="711">
        <f t="shared" si="1"/>
        <v>100</v>
      </c>
      <c r="V9" s="710" t="s">
        <v>17</v>
      </c>
      <c r="W9" s="711">
        <f t="shared" si="2"/>
        <v>100</v>
      </c>
      <c r="X9" s="712"/>
      <c r="Y9" s="392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4011"/>
      <c r="Q11" s="1527">
        <f t="shared" si="6"/>
        <v>111</v>
      </c>
      <c r="R11" s="710" t="s">
        <v>17</v>
      </c>
      <c r="S11" s="711">
        <f t="shared" si="0"/>
        <v>100</v>
      </c>
      <c r="T11" s="710" t="s">
        <v>17</v>
      </c>
      <c r="U11" s="711">
        <f t="shared" si="1"/>
        <v>100</v>
      </c>
      <c r="V11" s="710" t="s">
        <v>17</v>
      </c>
      <c r="W11" s="711">
        <f t="shared" si="2"/>
        <v>100</v>
      </c>
      <c r="X11" s="712"/>
      <c r="Y11" s="39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4013" t="s">
        <v>2381</v>
      </c>
      <c r="Q14" s="1536" t="str">
        <f t="shared" si="6"/>
        <v>交通便捷度</v>
      </c>
      <c r="R14" s="714" t="s">
        <v>17</v>
      </c>
      <c r="S14" s="715">
        <f t="shared" si="0"/>
        <v>100</v>
      </c>
      <c r="T14" s="714" t="s">
        <v>17</v>
      </c>
      <c r="U14" s="715">
        <f t="shared" si="1"/>
        <v>100</v>
      </c>
      <c r="V14" s="714" t="s">
        <v>17</v>
      </c>
      <c r="W14" s="715">
        <f t="shared" si="2"/>
        <v>100</v>
      </c>
      <c r="X14" s="1539"/>
      <c r="Y14" s="401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4014"/>
      <c r="Q15" s="1536"/>
      <c r="R15" s="714"/>
      <c r="S15" s="715"/>
      <c r="T15" s="714"/>
      <c r="U15" s="715"/>
      <c r="V15" s="714"/>
      <c r="W15" s="715"/>
      <c r="X15" s="1539"/>
      <c r="Y15" s="4014"/>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4014"/>
      <c r="Q16" s="1536" t="str">
        <f>B16</f>
        <v>公共配套设施</v>
      </c>
      <c r="R16" s="714" t="s">
        <v>17</v>
      </c>
      <c r="S16" s="715">
        <f>F16</f>
        <v>100</v>
      </c>
      <c r="T16" s="714" t="s">
        <v>17</v>
      </c>
      <c r="U16" s="715">
        <f>H16</f>
        <v>100</v>
      </c>
      <c r="V16" s="714" t="s">
        <v>17</v>
      </c>
      <c r="W16" s="715">
        <f>J16</f>
        <v>100</v>
      </c>
      <c r="X16" s="1539"/>
      <c r="Y16" s="401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4014"/>
      <c r="Q17" s="1536"/>
      <c r="R17" s="714"/>
      <c r="S17" s="715"/>
      <c r="T17" s="714"/>
      <c r="U17" s="715"/>
      <c r="V17" s="714"/>
      <c r="W17" s="715"/>
      <c r="X17" s="1539"/>
      <c r="Y17" s="4014"/>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4014"/>
      <c r="Q18" s="1536" t="str">
        <f>B18</f>
        <v>基础设施水平</v>
      </c>
      <c r="R18" s="714" t="s">
        <v>17</v>
      </c>
      <c r="S18" s="715">
        <f>F18</f>
        <v>100</v>
      </c>
      <c r="T18" s="714" t="s">
        <v>17</v>
      </c>
      <c r="U18" s="715">
        <f>H18</f>
        <v>100</v>
      </c>
      <c r="V18" s="714" t="s">
        <v>17</v>
      </c>
      <c r="W18" s="715">
        <f>J18</f>
        <v>100</v>
      </c>
      <c r="X18" s="1539"/>
      <c r="Y18" s="401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4014"/>
      <c r="Q19" s="1536"/>
      <c r="R19" s="714"/>
      <c r="S19" s="715"/>
      <c r="T19" s="714"/>
      <c r="U19" s="715"/>
      <c r="V19" s="714"/>
      <c r="W19" s="715"/>
      <c r="X19" s="1539"/>
      <c r="Y19" s="4014"/>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4014"/>
      <c r="Q20" s="1536" t="str">
        <f>B20</f>
        <v>自然及人文环境</v>
      </c>
      <c r="R20" s="714" t="s">
        <v>17</v>
      </c>
      <c r="S20" s="715">
        <f>F20</f>
        <v>100</v>
      </c>
      <c r="T20" s="714" t="s">
        <v>17</v>
      </c>
      <c r="U20" s="715">
        <f>H20</f>
        <v>100</v>
      </c>
      <c r="V20" s="714" t="s">
        <v>17</v>
      </c>
      <c r="W20" s="715">
        <f>J20</f>
        <v>100</v>
      </c>
      <c r="X20" s="1539"/>
      <c r="Y20" s="401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4014"/>
      <c r="Q21" s="1536"/>
      <c r="R21" s="714"/>
      <c r="S21" s="715"/>
      <c r="T21" s="714"/>
      <c r="U21" s="715"/>
      <c r="V21" s="714"/>
      <c r="W21" s="715"/>
      <c r="X21" s="1539"/>
      <c r="Y21" s="401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4014"/>
      <c r="Q22" s="1536" t="str">
        <f>B22</f>
        <v>楼层</v>
      </c>
      <c r="R22" s="714" t="s">
        <v>17</v>
      </c>
      <c r="S22" s="715">
        <f>F22</f>
        <v>100</v>
      </c>
      <c r="T22" s="714" t="s">
        <v>17</v>
      </c>
      <c r="U22" s="715">
        <f>H22</f>
        <v>100</v>
      </c>
      <c r="V22" s="714" t="s">
        <v>17</v>
      </c>
      <c r="W22" s="715">
        <f>J22</f>
        <v>100</v>
      </c>
      <c r="X22" s="1539"/>
      <c r="Y22" s="401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4014"/>
      <c r="Q23" s="1536">
        <f>B23</f>
        <v>111</v>
      </c>
      <c r="R23" s="714" t="s">
        <v>17</v>
      </c>
      <c r="S23" s="715">
        <f>F23</f>
        <v>100</v>
      </c>
      <c r="T23" s="714" t="s">
        <v>17</v>
      </c>
      <c r="U23" s="715">
        <f>H23</f>
        <v>100</v>
      </c>
      <c r="V23" s="714" t="s">
        <v>17</v>
      </c>
      <c r="W23" s="715">
        <f>J23</f>
        <v>100</v>
      </c>
      <c r="X23" s="1539"/>
      <c r="Y23" s="401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4014"/>
      <c r="Q24" s="1536">
        <f t="shared" ref="Q24:Q36" si="11">B24</f>
        <v>111</v>
      </c>
      <c r="R24" s="714" t="s">
        <v>17</v>
      </c>
      <c r="S24" s="715">
        <f>F24</f>
        <v>100</v>
      </c>
      <c r="T24" s="714" t="s">
        <v>17</v>
      </c>
      <c r="U24" s="715">
        <f>H24</f>
        <v>100</v>
      </c>
      <c r="V24" s="714" t="s">
        <v>17</v>
      </c>
      <c r="W24" s="715">
        <f>J24</f>
        <v>100</v>
      </c>
      <c r="X24" s="1539"/>
      <c r="Y24" s="401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4014"/>
      <c r="Q25" s="1527">
        <f t="shared" si="11"/>
        <v>111</v>
      </c>
      <c r="R25" s="710" t="s">
        <v>17</v>
      </c>
      <c r="S25" s="711">
        <f>F25</f>
        <v>100</v>
      </c>
      <c r="T25" s="710" t="s">
        <v>17</v>
      </c>
      <c r="U25" s="711">
        <f>H25</f>
        <v>100</v>
      </c>
      <c r="V25" s="710" t="s">
        <v>17</v>
      </c>
      <c r="W25" s="711">
        <f>J25</f>
        <v>100</v>
      </c>
      <c r="X25" s="712"/>
      <c r="Y25" s="4014"/>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403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401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4018"/>
      <c r="Q27" s="716" t="str">
        <f t="shared" si="11"/>
        <v>项目停车位配比</v>
      </c>
      <c r="R27" s="717" t="s">
        <v>17</v>
      </c>
      <c r="S27" s="718">
        <f t="shared" si="12"/>
        <v>100</v>
      </c>
      <c r="T27" s="717" t="s">
        <v>17</v>
      </c>
      <c r="U27" s="718">
        <f t="shared" si="13"/>
        <v>100</v>
      </c>
      <c r="V27" s="717" t="s">
        <v>17</v>
      </c>
      <c r="W27" s="718">
        <f t="shared" si="14"/>
        <v>100</v>
      </c>
      <c r="X27" s="719"/>
      <c r="Y27" s="401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4018"/>
      <c r="Q28" s="1536" t="str">
        <f t="shared" si="11"/>
        <v>公共部分装修</v>
      </c>
      <c r="R28" s="714" t="s">
        <v>17</v>
      </c>
      <c r="S28" s="715">
        <f t="shared" si="12"/>
        <v>100</v>
      </c>
      <c r="T28" s="714" t="s">
        <v>17</v>
      </c>
      <c r="U28" s="715">
        <f t="shared" si="13"/>
        <v>100</v>
      </c>
      <c r="V28" s="714" t="s">
        <v>17</v>
      </c>
      <c r="W28" s="715">
        <f t="shared" si="14"/>
        <v>100</v>
      </c>
      <c r="X28" s="1539"/>
      <c r="Y28" s="401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4018"/>
      <c r="Q29" s="1536" t="str">
        <f t="shared" si="11"/>
        <v>成新率</v>
      </c>
      <c r="R29" s="714" t="s">
        <v>17</v>
      </c>
      <c r="S29" s="715" t="e">
        <f t="shared" si="12"/>
        <v>#N/A</v>
      </c>
      <c r="T29" s="714" t="s">
        <v>17</v>
      </c>
      <c r="U29" s="715" t="e">
        <f t="shared" si="13"/>
        <v>#N/A</v>
      </c>
      <c r="V29" s="714" t="s">
        <v>17</v>
      </c>
      <c r="W29" s="715" t="e">
        <f t="shared" si="14"/>
        <v>#N/A</v>
      </c>
      <c r="X29" s="1539"/>
      <c r="Y29" s="401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4018"/>
      <c r="Q30" s="1536" t="str">
        <f t="shared" si="11"/>
        <v>物业等级</v>
      </c>
      <c r="R30" s="714" t="s">
        <v>17</v>
      </c>
      <c r="S30" s="715">
        <f t="shared" si="12"/>
        <v>100</v>
      </c>
      <c r="T30" s="714" t="s">
        <v>17</v>
      </c>
      <c r="U30" s="715">
        <f t="shared" si="13"/>
        <v>100</v>
      </c>
      <c r="V30" s="714" t="s">
        <v>17</v>
      </c>
      <c r="W30" s="715">
        <f t="shared" si="14"/>
        <v>100</v>
      </c>
      <c r="X30" s="1539"/>
      <c r="Y30" s="401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4018"/>
      <c r="Q31" s="1527" t="str">
        <f t="shared" si="11"/>
        <v>停车位面积</v>
      </c>
      <c r="R31" s="710" t="s">
        <v>17</v>
      </c>
      <c r="S31" s="711" t="e">
        <f t="shared" si="12"/>
        <v>#N/A</v>
      </c>
      <c r="T31" s="710" t="s">
        <v>17</v>
      </c>
      <c r="U31" s="711" t="e">
        <f t="shared" si="13"/>
        <v>#N/A</v>
      </c>
      <c r="V31" s="710" t="s">
        <v>17</v>
      </c>
      <c r="W31" s="711" t="e">
        <f t="shared" si="14"/>
        <v>#N/A</v>
      </c>
      <c r="X31" s="712"/>
      <c r="Y31" s="401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4018" t="s">
        <v>2386</v>
      </c>
      <c r="Q32" s="1536" t="str">
        <f t="shared" si="11"/>
        <v>车位类型</v>
      </c>
      <c r="R32" s="714" t="s">
        <v>17</v>
      </c>
      <c r="S32" s="715">
        <f t="shared" si="12"/>
        <v>100</v>
      </c>
      <c r="T32" s="714" t="s">
        <v>17</v>
      </c>
      <c r="U32" s="715">
        <f t="shared" si="13"/>
        <v>100</v>
      </c>
      <c r="V32" s="714" t="s">
        <v>17</v>
      </c>
      <c r="W32" s="715">
        <f t="shared" si="14"/>
        <v>100</v>
      </c>
      <c r="X32" s="1539"/>
      <c r="Y32" s="401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4018"/>
      <c r="Q33" s="1536" t="str">
        <f t="shared" si="11"/>
        <v>是否直接入户</v>
      </c>
      <c r="R33" s="714" t="s">
        <v>17</v>
      </c>
      <c r="S33" s="715">
        <f t="shared" si="12"/>
        <v>100</v>
      </c>
      <c r="T33" s="714" t="s">
        <v>17</v>
      </c>
      <c r="U33" s="715">
        <f t="shared" si="13"/>
        <v>100</v>
      </c>
      <c r="V33" s="714" t="s">
        <v>17</v>
      </c>
      <c r="W33" s="715">
        <f t="shared" si="14"/>
        <v>100</v>
      </c>
      <c r="X33" s="1539"/>
      <c r="Y33" s="401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4018"/>
      <c r="Q34" s="1536">
        <f t="shared" si="11"/>
        <v>111</v>
      </c>
      <c r="R34" s="714" t="s">
        <v>17</v>
      </c>
      <c r="S34" s="715">
        <f t="shared" si="12"/>
        <v>100</v>
      </c>
      <c r="T34" s="714" t="s">
        <v>17</v>
      </c>
      <c r="U34" s="715">
        <f t="shared" si="13"/>
        <v>100</v>
      </c>
      <c r="V34" s="714" t="s">
        <v>17</v>
      </c>
      <c r="W34" s="715">
        <f t="shared" si="14"/>
        <v>100</v>
      </c>
      <c r="X34" s="1539"/>
      <c r="Y34" s="401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4018"/>
      <c r="Q35" s="716">
        <f t="shared" si="11"/>
        <v>111</v>
      </c>
      <c r="R35" s="717" t="s">
        <v>17</v>
      </c>
      <c r="S35" s="718">
        <f t="shared" si="12"/>
        <v>100</v>
      </c>
      <c r="T35" s="717" t="s">
        <v>17</v>
      </c>
      <c r="U35" s="718">
        <f t="shared" si="13"/>
        <v>100</v>
      </c>
      <c r="V35" s="717" t="s">
        <v>17</v>
      </c>
      <c r="W35" s="718">
        <f t="shared" si="14"/>
        <v>100</v>
      </c>
      <c r="X35" s="719"/>
      <c r="Y35" s="401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4018"/>
      <c r="Q36" s="1536">
        <f t="shared" si="11"/>
        <v>111</v>
      </c>
      <c r="R36" s="714" t="s">
        <v>17</v>
      </c>
      <c r="S36" s="715">
        <f t="shared" si="12"/>
        <v>100</v>
      </c>
      <c r="T36" s="714" t="s">
        <v>17</v>
      </c>
      <c r="U36" s="715">
        <f t="shared" si="13"/>
        <v>100</v>
      </c>
      <c r="V36" s="714" t="s">
        <v>17</v>
      </c>
      <c r="W36" s="715">
        <f t="shared" si="14"/>
        <v>100</v>
      </c>
      <c r="X36" s="1539"/>
      <c r="Y36" s="401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4011" t="str">
        <f>A37</f>
        <v>成交单价</v>
      </c>
      <c r="Q37" s="4011"/>
      <c r="R37" s="4012">
        <f>E37</f>
        <v>0</v>
      </c>
      <c r="S37" s="4012"/>
      <c r="T37" s="4012">
        <f>G37</f>
        <v>0</v>
      </c>
      <c r="U37" s="4012"/>
      <c r="V37" s="4012">
        <f>I37</f>
        <v>0</v>
      </c>
      <c r="W37" s="4012"/>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4011" t="str">
        <f>A38</f>
        <v>比较价值（元/平方米）</v>
      </c>
      <c r="Q38" s="4011"/>
      <c r="R38" s="4012" t="e">
        <f>IF(F1="售价",ROUND(PRODUCT(R37,AA7:AA36),0),ROUND(PRODUCT(R37,AA7:AA36),1))</f>
        <v>#DIV/0!</v>
      </c>
      <c r="S38" s="4012"/>
      <c r="T38" s="4012" t="e">
        <f>IF(F1="售价",ROUND(PRODUCT(T37,AB7:AB36),0),ROUND(PRODUCT(T37,AB7:AB36),1))</f>
        <v>#DIV/0!</v>
      </c>
      <c r="U38" s="4012"/>
      <c r="V38" s="4012" t="e">
        <f>IF(F1="售价",ROUND(PRODUCT(V37,AC7:AC36),0),ROUND(PRODUCT(V37,AC7:AC36),1))</f>
        <v>#DIV/0!</v>
      </c>
      <c r="W38" s="401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4008" t="str">
        <f>A39</f>
        <v>估价对象XX用房的比较价值（楼面单价，元/平方米）</v>
      </c>
      <c r="Q39" s="4009"/>
      <c r="R39" s="4038" t="e">
        <f>IF(F1="售价",ROUND(IF(D38="简单平均",AVERAGE(R38:W38),R38*F38+T38*H38+V38*J38),0),ROUND(IF(D38="简单平均",AVERAGE(R38:V38),R38*F38+T38*H38+V38*J38),1))</f>
        <v>#DIV/0!</v>
      </c>
      <c r="S39" s="4038"/>
      <c r="T39" s="4038"/>
      <c r="U39" s="4038"/>
      <c r="V39" s="4038"/>
      <c r="W39" s="403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979" t="s">
        <v>2370</v>
      </c>
      <c r="Q7" s="4007"/>
      <c r="R7" s="710" t="s">
        <v>17</v>
      </c>
      <c r="S7" s="711">
        <f t="shared" ref="S7:S14" si="0">F7</f>
        <v>0</v>
      </c>
      <c r="T7" s="710" t="s">
        <v>17</v>
      </c>
      <c r="U7" s="711">
        <f t="shared" ref="U7:U14" si="1">H7</f>
        <v>0</v>
      </c>
      <c r="V7" s="710" t="s">
        <v>17</v>
      </c>
      <c r="W7" s="711">
        <f t="shared" ref="W7:W14" si="2">J7</f>
        <v>0</v>
      </c>
      <c r="X7" s="712"/>
      <c r="Y7" s="3979" t="s">
        <v>2370</v>
      </c>
      <c r="Z7" s="398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4011" t="s">
        <v>2376</v>
      </c>
      <c r="Q9" s="1527" t="str">
        <f t="shared" ref="Q9:Q14" si="6">B9</f>
        <v>用途</v>
      </c>
      <c r="R9" s="710" t="s">
        <v>17</v>
      </c>
      <c r="S9" s="711">
        <f t="shared" si="0"/>
        <v>100</v>
      </c>
      <c r="T9" s="710" t="s">
        <v>17</v>
      </c>
      <c r="U9" s="711">
        <f t="shared" si="1"/>
        <v>100</v>
      </c>
      <c r="V9" s="710" t="s">
        <v>17</v>
      </c>
      <c r="W9" s="711">
        <f t="shared" si="2"/>
        <v>100</v>
      </c>
      <c r="X9" s="712"/>
      <c r="Y9" s="392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4011"/>
      <c r="Q11" s="1527">
        <f t="shared" si="6"/>
        <v>111</v>
      </c>
      <c r="R11" s="710" t="s">
        <v>17</v>
      </c>
      <c r="S11" s="711">
        <f t="shared" si="0"/>
        <v>100</v>
      </c>
      <c r="T11" s="710" t="s">
        <v>17</v>
      </c>
      <c r="U11" s="711">
        <f t="shared" si="1"/>
        <v>100</v>
      </c>
      <c r="V11" s="710" t="s">
        <v>17</v>
      </c>
      <c r="W11" s="711">
        <f t="shared" si="2"/>
        <v>100</v>
      </c>
      <c r="X11" s="712"/>
      <c r="Y11" s="392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4013" t="s">
        <v>2381</v>
      </c>
      <c r="Q14" s="1536" t="str">
        <f t="shared" si="6"/>
        <v>交通便捷度</v>
      </c>
      <c r="R14" s="714" t="s">
        <v>17</v>
      </c>
      <c r="S14" s="715">
        <f t="shared" si="0"/>
        <v>100</v>
      </c>
      <c r="T14" s="714" t="s">
        <v>17</v>
      </c>
      <c r="U14" s="715">
        <f t="shared" si="1"/>
        <v>100</v>
      </c>
      <c r="V14" s="714" t="s">
        <v>17</v>
      </c>
      <c r="W14" s="715">
        <f t="shared" si="2"/>
        <v>100</v>
      </c>
      <c r="X14" s="1539"/>
      <c r="Y14" s="401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4014"/>
      <c r="Q15" s="1536"/>
      <c r="R15" s="714"/>
      <c r="S15" s="715"/>
      <c r="T15" s="714"/>
      <c r="U15" s="715"/>
      <c r="V15" s="714"/>
      <c r="W15" s="715"/>
      <c r="X15" s="1539"/>
      <c r="Y15" s="4014"/>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4014"/>
      <c r="Q16" s="1536" t="str">
        <f>B16</f>
        <v>公共配套设施</v>
      </c>
      <c r="R16" s="714" t="s">
        <v>17</v>
      </c>
      <c r="S16" s="715">
        <f>F16</f>
        <v>100</v>
      </c>
      <c r="T16" s="714" t="s">
        <v>17</v>
      </c>
      <c r="U16" s="715">
        <f>H16</f>
        <v>100</v>
      </c>
      <c r="V16" s="714" t="s">
        <v>17</v>
      </c>
      <c r="W16" s="715">
        <f>J16</f>
        <v>100</v>
      </c>
      <c r="X16" s="1539"/>
      <c r="Y16" s="401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4014"/>
      <c r="Q17" s="1536"/>
      <c r="R17" s="714"/>
      <c r="S17" s="715"/>
      <c r="T17" s="714"/>
      <c r="U17" s="715"/>
      <c r="V17" s="714"/>
      <c r="W17" s="715"/>
      <c r="X17" s="1539"/>
      <c r="Y17" s="4014"/>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4014"/>
      <c r="Q18" s="1536" t="str">
        <f>B18</f>
        <v>基础设施水平</v>
      </c>
      <c r="R18" s="714" t="s">
        <v>17</v>
      </c>
      <c r="S18" s="715">
        <f>F18</f>
        <v>100</v>
      </c>
      <c r="T18" s="714" t="s">
        <v>17</v>
      </c>
      <c r="U18" s="715">
        <f>H18</f>
        <v>100</v>
      </c>
      <c r="V18" s="714" t="s">
        <v>17</v>
      </c>
      <c r="W18" s="715">
        <f>J18</f>
        <v>100</v>
      </c>
      <c r="X18" s="1539"/>
      <c r="Y18" s="401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4014"/>
      <c r="Q19" s="1536"/>
      <c r="R19" s="714"/>
      <c r="S19" s="715"/>
      <c r="T19" s="714"/>
      <c r="U19" s="715"/>
      <c r="V19" s="714"/>
      <c r="W19" s="715"/>
      <c r="X19" s="1539"/>
      <c r="Y19" s="4014"/>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4014"/>
      <c r="Q20" s="1536" t="str">
        <f>B20</f>
        <v>自然及人文环境</v>
      </c>
      <c r="R20" s="714" t="s">
        <v>17</v>
      </c>
      <c r="S20" s="715">
        <f>F20</f>
        <v>100</v>
      </c>
      <c r="T20" s="714" t="s">
        <v>17</v>
      </c>
      <c r="U20" s="715">
        <f>H20</f>
        <v>100</v>
      </c>
      <c r="V20" s="714" t="s">
        <v>17</v>
      </c>
      <c r="W20" s="715">
        <f>J20</f>
        <v>100</v>
      </c>
      <c r="X20" s="1539"/>
      <c r="Y20" s="401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4014"/>
      <c r="Q21" s="1536"/>
      <c r="R21" s="714"/>
      <c r="S21" s="715"/>
      <c r="T21" s="714"/>
      <c r="U21" s="715"/>
      <c r="V21" s="714"/>
      <c r="W21" s="715"/>
      <c r="X21" s="1539"/>
      <c r="Y21" s="401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4014"/>
      <c r="Q22" s="1536" t="str">
        <f>B22</f>
        <v>楼层</v>
      </c>
      <c r="R22" s="714" t="s">
        <v>17</v>
      </c>
      <c r="S22" s="715">
        <f>F22</f>
        <v>100</v>
      </c>
      <c r="T22" s="714" t="s">
        <v>17</v>
      </c>
      <c r="U22" s="715">
        <f>H22</f>
        <v>100</v>
      </c>
      <c r="V22" s="714" t="s">
        <v>17</v>
      </c>
      <c r="W22" s="715">
        <f>J22</f>
        <v>100</v>
      </c>
      <c r="X22" s="1539"/>
      <c r="Y22" s="401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4014"/>
      <c r="Q23" s="1536">
        <f>B23</f>
        <v>111</v>
      </c>
      <c r="R23" s="714" t="s">
        <v>17</v>
      </c>
      <c r="S23" s="715">
        <f>F23</f>
        <v>100</v>
      </c>
      <c r="T23" s="714" t="s">
        <v>17</v>
      </c>
      <c r="U23" s="715">
        <f>H23</f>
        <v>100</v>
      </c>
      <c r="V23" s="714" t="s">
        <v>17</v>
      </c>
      <c r="W23" s="715">
        <f>J23</f>
        <v>100</v>
      </c>
      <c r="X23" s="1539"/>
      <c r="Y23" s="401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4014"/>
      <c r="Q24" s="1536">
        <f t="shared" ref="Q24:Q34" si="11">B24</f>
        <v>111</v>
      </c>
      <c r="R24" s="714" t="s">
        <v>17</v>
      </c>
      <c r="S24" s="715">
        <f>F24</f>
        <v>100</v>
      </c>
      <c r="T24" s="714" t="s">
        <v>17</v>
      </c>
      <c r="U24" s="715">
        <f>H24</f>
        <v>100</v>
      </c>
      <c r="V24" s="714" t="s">
        <v>17</v>
      </c>
      <c r="W24" s="715">
        <f>J24</f>
        <v>100</v>
      </c>
      <c r="X24" s="1539"/>
      <c r="Y24" s="401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4014"/>
      <c r="Q25" s="1527">
        <f t="shared" si="11"/>
        <v>111</v>
      </c>
      <c r="R25" s="710" t="s">
        <v>17</v>
      </c>
      <c r="S25" s="711">
        <f>F25</f>
        <v>100</v>
      </c>
      <c r="T25" s="710" t="s">
        <v>17</v>
      </c>
      <c r="U25" s="711">
        <f>H25</f>
        <v>100</v>
      </c>
      <c r="V25" s="710" t="s">
        <v>17</v>
      </c>
      <c r="W25" s="711">
        <f>J25</f>
        <v>100</v>
      </c>
      <c r="X25" s="712"/>
      <c r="Y25" s="4014"/>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403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401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4018"/>
      <c r="Q27" s="716" t="str">
        <f t="shared" si="11"/>
        <v>成新率</v>
      </c>
      <c r="R27" s="717" t="s">
        <v>17</v>
      </c>
      <c r="S27" s="718" t="e">
        <f t="shared" si="12"/>
        <v>#N/A</v>
      </c>
      <c r="T27" s="717" t="s">
        <v>17</v>
      </c>
      <c r="U27" s="718" t="e">
        <f t="shared" si="13"/>
        <v>#N/A</v>
      </c>
      <c r="V27" s="717" t="s">
        <v>17</v>
      </c>
      <c r="W27" s="718" t="e">
        <f t="shared" si="14"/>
        <v>#N/A</v>
      </c>
      <c r="X27" s="719"/>
      <c r="Y27" s="401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4018"/>
      <c r="Q28" s="1536" t="str">
        <f t="shared" si="11"/>
        <v>物业等级</v>
      </c>
      <c r="R28" s="714" t="s">
        <v>17</v>
      </c>
      <c r="S28" s="715">
        <f t="shared" si="12"/>
        <v>100</v>
      </c>
      <c r="T28" s="714" t="s">
        <v>17</v>
      </c>
      <c r="U28" s="715">
        <f t="shared" si="13"/>
        <v>100</v>
      </c>
      <c r="V28" s="714" t="s">
        <v>17</v>
      </c>
      <c r="W28" s="715">
        <f t="shared" si="14"/>
        <v>100</v>
      </c>
      <c r="X28" s="1539"/>
      <c r="Y28" s="401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4018"/>
      <c r="Q29" s="1536" t="str">
        <f t="shared" si="11"/>
        <v>有无电梯</v>
      </c>
      <c r="R29" s="714" t="s">
        <v>17</v>
      </c>
      <c r="S29" s="715">
        <f t="shared" si="12"/>
        <v>100</v>
      </c>
      <c r="T29" s="714" t="s">
        <v>17</v>
      </c>
      <c r="U29" s="715">
        <f t="shared" si="13"/>
        <v>100</v>
      </c>
      <c r="V29" s="714" t="s">
        <v>17</v>
      </c>
      <c r="W29" s="715">
        <f t="shared" si="14"/>
        <v>100</v>
      </c>
      <c r="X29" s="1539"/>
      <c r="Y29" s="401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4018"/>
      <c r="Q30" s="1536" t="str">
        <f t="shared" si="11"/>
        <v>建筑面积</v>
      </c>
      <c r="R30" s="714" t="s">
        <v>17</v>
      </c>
      <c r="S30" s="715" t="e">
        <f t="shared" si="12"/>
        <v>#N/A</v>
      </c>
      <c r="T30" s="714" t="s">
        <v>17</v>
      </c>
      <c r="U30" s="715" t="e">
        <f t="shared" si="13"/>
        <v>#N/A</v>
      </c>
      <c r="V30" s="714" t="s">
        <v>17</v>
      </c>
      <c r="W30" s="715" t="e">
        <f t="shared" si="14"/>
        <v>#N/A</v>
      </c>
      <c r="X30" s="1539"/>
      <c r="Y30" s="401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4018"/>
      <c r="Q31" s="1527" t="str">
        <f t="shared" si="11"/>
        <v>是否封闭</v>
      </c>
      <c r="R31" s="710" t="s">
        <v>17</v>
      </c>
      <c r="S31" s="711">
        <f t="shared" si="12"/>
        <v>100</v>
      </c>
      <c r="T31" s="710" t="s">
        <v>17</v>
      </c>
      <c r="U31" s="711">
        <f t="shared" si="13"/>
        <v>100</v>
      </c>
      <c r="V31" s="710" t="s">
        <v>17</v>
      </c>
      <c r="W31" s="711">
        <f t="shared" si="14"/>
        <v>100</v>
      </c>
      <c r="X31" s="712"/>
      <c r="Y31" s="401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4018" t="s">
        <v>2386</v>
      </c>
      <c r="Q32" s="1536">
        <f t="shared" si="11"/>
        <v>111</v>
      </c>
      <c r="R32" s="714" t="s">
        <v>17</v>
      </c>
      <c r="S32" s="715">
        <f t="shared" si="12"/>
        <v>100</v>
      </c>
      <c r="T32" s="714" t="s">
        <v>17</v>
      </c>
      <c r="U32" s="715">
        <f t="shared" si="13"/>
        <v>100</v>
      </c>
      <c r="V32" s="714" t="s">
        <v>17</v>
      </c>
      <c r="W32" s="715">
        <f t="shared" si="14"/>
        <v>100</v>
      </c>
      <c r="X32" s="1539"/>
      <c r="Y32" s="401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4018"/>
      <c r="Q33" s="1536">
        <f t="shared" si="11"/>
        <v>111</v>
      </c>
      <c r="R33" s="714" t="s">
        <v>17</v>
      </c>
      <c r="S33" s="715">
        <f t="shared" si="12"/>
        <v>100</v>
      </c>
      <c r="T33" s="714" t="s">
        <v>17</v>
      </c>
      <c r="U33" s="715">
        <f t="shared" si="13"/>
        <v>100</v>
      </c>
      <c r="V33" s="714" t="s">
        <v>17</v>
      </c>
      <c r="W33" s="715">
        <f t="shared" si="14"/>
        <v>100</v>
      </c>
      <c r="X33" s="1539"/>
      <c r="Y33" s="401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4018"/>
      <c r="Q34" s="1536">
        <f t="shared" si="11"/>
        <v>111</v>
      </c>
      <c r="R34" s="714" t="s">
        <v>17</v>
      </c>
      <c r="S34" s="715">
        <f t="shared" si="12"/>
        <v>100</v>
      </c>
      <c r="T34" s="714" t="s">
        <v>17</v>
      </c>
      <c r="U34" s="715">
        <f t="shared" si="13"/>
        <v>100</v>
      </c>
      <c r="V34" s="714" t="s">
        <v>17</v>
      </c>
      <c r="W34" s="715">
        <f t="shared" si="14"/>
        <v>100</v>
      </c>
      <c r="X34" s="1539"/>
      <c r="Y34" s="401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4011" t="str">
        <f>A35</f>
        <v>成交单价（元/平方米）</v>
      </c>
      <c r="Q35" s="4011"/>
      <c r="R35" s="4012">
        <f>E35</f>
        <v>0</v>
      </c>
      <c r="S35" s="4012"/>
      <c r="T35" s="4012">
        <f>G35</f>
        <v>0</v>
      </c>
      <c r="U35" s="4012"/>
      <c r="V35" s="4012">
        <f>I35</f>
        <v>0</v>
      </c>
      <c r="W35" s="4012"/>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4011" t="str">
        <f>A36</f>
        <v>比较价值（元/平方米）</v>
      </c>
      <c r="Q36" s="4011"/>
      <c r="R36" s="4012" t="e">
        <f>IF(F1="售价",ROUND(PRODUCT(R35,AA7:AA34),0),ROUND(PRODUCT(R35,AA7:AA34),1))</f>
        <v>#DIV/0!</v>
      </c>
      <c r="S36" s="4012"/>
      <c r="T36" s="4012" t="e">
        <f>IF(F1="售价",ROUND(PRODUCT(T35,AB7:AB34),0),ROUND(PRODUCT(T35,AB7:AB34),1))</f>
        <v>#DIV/0!</v>
      </c>
      <c r="U36" s="4012"/>
      <c r="V36" s="4012" t="e">
        <f>IF(F1="售价",ROUND(PRODUCT(V35,AC7:AC34),0),ROUND(PRODUCT(V35,AC7:AC34),1))</f>
        <v>#DIV/0!</v>
      </c>
      <c r="W36" s="401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4008" t="str">
        <f>A37</f>
        <v>估价对象XX用房的比较价值（楼面单价，元/平方米）</v>
      </c>
      <c r="Q37" s="4009"/>
      <c r="R37" s="4038" t="e">
        <f>IF(F1="售价",ROUND(IF(D36="简单平均",AVERAGE(R36:W36),R36*F36+T36*H36+V36*J36),0),ROUND(IF(D36="简单平均",AVERAGE(R36:V36),R36*F36+T36*H36+V36*J36),1))</f>
        <v>#DIV/0!</v>
      </c>
      <c r="S37" s="4038"/>
      <c r="T37" s="4038"/>
      <c r="U37" s="4038"/>
      <c r="V37" s="4038"/>
      <c r="W37" s="403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30"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30" ht="15.75" thickBot="1">
      <c r="A6" s="366"/>
      <c r="B6" s="367"/>
      <c r="C6" s="3989" t="s">
        <v>2367</v>
      </c>
      <c r="D6" s="3990"/>
      <c r="E6" s="3991" t="s">
        <v>2367</v>
      </c>
      <c r="F6" s="3992"/>
      <c r="G6" s="3989" t="s">
        <v>2367</v>
      </c>
      <c r="H6" s="3990"/>
      <c r="I6" s="3989" t="s">
        <v>2367</v>
      </c>
      <c r="J6" s="3990"/>
      <c r="K6" s="567" t="s">
        <v>2368</v>
      </c>
      <c r="L6" s="2944"/>
      <c r="M6" s="2945"/>
      <c r="N6" s="2945"/>
      <c r="O6" s="2945"/>
      <c r="P6" s="4002"/>
      <c r="Q6" s="4003"/>
      <c r="R6" s="3983"/>
      <c r="S6" s="3984"/>
      <c r="T6" s="4004"/>
      <c r="U6" s="4005"/>
      <c r="V6" s="4006"/>
      <c r="W6" s="4006"/>
      <c r="X6" s="1539"/>
      <c r="Y6" s="4004"/>
      <c r="Z6" s="4005"/>
      <c r="AA6" s="3978"/>
      <c r="AB6" s="3978"/>
      <c r="AC6" s="3978"/>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4011"/>
      <c r="Q12" s="1527" t="str">
        <f t="shared" si="6"/>
        <v>配建</v>
      </c>
      <c r="R12" s="710" t="s">
        <v>17</v>
      </c>
      <c r="S12" s="711">
        <f t="shared" si="0"/>
        <v>100</v>
      </c>
      <c r="T12" s="710" t="s">
        <v>17</v>
      </c>
      <c r="U12" s="711">
        <f t="shared" si="1"/>
        <v>100</v>
      </c>
      <c r="V12" s="710" t="s">
        <v>17</v>
      </c>
      <c r="W12" s="711">
        <f t="shared" si="2"/>
        <v>100</v>
      </c>
      <c r="X12" s="712"/>
      <c r="Y12" s="392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4013" t="s">
        <v>2381</v>
      </c>
      <c r="Q15" s="1536" t="str">
        <f t="shared" si="6"/>
        <v>居住社区成熟度</v>
      </c>
      <c r="R15" s="714" t="s">
        <v>17</v>
      </c>
      <c r="S15" s="715">
        <f t="shared" si="0"/>
        <v>100</v>
      </c>
      <c r="T15" s="714" t="s">
        <v>17</v>
      </c>
      <c r="U15" s="715">
        <f t="shared" si="1"/>
        <v>100</v>
      </c>
      <c r="V15" s="714" t="s">
        <v>17</v>
      </c>
      <c r="W15" s="715">
        <f t="shared" si="2"/>
        <v>100</v>
      </c>
      <c r="X15" s="1539"/>
      <c r="Y15" s="401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4014"/>
      <c r="Q16" s="1536"/>
      <c r="R16" s="714"/>
      <c r="S16" s="715"/>
      <c r="T16" s="714"/>
      <c r="U16" s="715"/>
      <c r="V16" s="714"/>
      <c r="W16" s="715"/>
      <c r="X16" s="1539"/>
      <c r="Y16" s="4014"/>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4014"/>
      <c r="Q17" s="1536" t="str">
        <f>B17</f>
        <v>商业繁华度</v>
      </c>
      <c r="R17" s="714" t="s">
        <v>17</v>
      </c>
      <c r="S17" s="715">
        <f>F17</f>
        <v>100</v>
      </c>
      <c r="T17" s="714" t="s">
        <v>17</v>
      </c>
      <c r="U17" s="715">
        <f>H17</f>
        <v>100</v>
      </c>
      <c r="V17" s="714" t="s">
        <v>17</v>
      </c>
      <c r="W17" s="715">
        <f>J17</f>
        <v>100</v>
      </c>
      <c r="X17" s="1539"/>
      <c r="Y17" s="401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4014"/>
      <c r="Q18" s="1536"/>
      <c r="R18" s="714"/>
      <c r="S18" s="715"/>
      <c r="T18" s="714"/>
      <c r="U18" s="715"/>
      <c r="V18" s="714"/>
      <c r="W18" s="715"/>
      <c r="X18" s="1539"/>
      <c r="Y18" s="4014"/>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4014"/>
      <c r="Q19" s="1536" t="str">
        <f>B19</f>
        <v>办公集聚程度</v>
      </c>
      <c r="R19" s="714" t="s">
        <v>17</v>
      </c>
      <c r="S19" s="715">
        <f>F19</f>
        <v>100</v>
      </c>
      <c r="T19" s="714" t="s">
        <v>17</v>
      </c>
      <c r="U19" s="715">
        <f>H19</f>
        <v>100</v>
      </c>
      <c r="V19" s="714" t="s">
        <v>17</v>
      </c>
      <c r="W19" s="715">
        <f>J19</f>
        <v>100</v>
      </c>
      <c r="X19" s="1539"/>
      <c r="Y19" s="401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4014"/>
      <c r="Q20" s="1536"/>
      <c r="R20" s="714"/>
      <c r="S20" s="715"/>
      <c r="T20" s="714"/>
      <c r="U20" s="715"/>
      <c r="V20" s="714"/>
      <c r="W20" s="715"/>
      <c r="X20" s="1539"/>
      <c r="Y20" s="4014"/>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4014"/>
      <c r="Q21" s="1536" t="str">
        <f>B21</f>
        <v>交通便捷度</v>
      </c>
      <c r="R21" s="714" t="s">
        <v>17</v>
      </c>
      <c r="S21" s="715">
        <f>F21</f>
        <v>100</v>
      </c>
      <c r="T21" s="714" t="s">
        <v>17</v>
      </c>
      <c r="U21" s="715">
        <f>H21</f>
        <v>100</v>
      </c>
      <c r="V21" s="714" t="s">
        <v>17</v>
      </c>
      <c r="W21" s="715">
        <f>J21</f>
        <v>100</v>
      </c>
      <c r="X21" s="1539"/>
      <c r="Y21" s="401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4014"/>
      <c r="Q22" s="1536"/>
      <c r="R22" s="714"/>
      <c r="S22" s="715"/>
      <c r="T22" s="714"/>
      <c r="U22" s="715"/>
      <c r="V22" s="714"/>
      <c r="W22" s="715"/>
      <c r="X22" s="1539"/>
      <c r="Y22" s="4014"/>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4014"/>
      <c r="Q23" s="1536" t="str">
        <f t="shared" ref="Q23:Q37" si="8">B23</f>
        <v>区域土地利用方向</v>
      </c>
      <c r="R23" s="714" t="s">
        <v>17</v>
      </c>
      <c r="S23" s="715">
        <f>F23</f>
        <v>100</v>
      </c>
      <c r="T23" s="714" t="s">
        <v>17</v>
      </c>
      <c r="U23" s="715">
        <f>H23</f>
        <v>100</v>
      </c>
      <c r="V23" s="714" t="s">
        <v>17</v>
      </c>
      <c r="W23" s="715">
        <f>J23</f>
        <v>100</v>
      </c>
      <c r="X23" s="1539"/>
      <c r="Y23" s="401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4014"/>
      <c r="Q24" s="1536"/>
      <c r="R24" s="714"/>
      <c r="S24" s="715"/>
      <c r="T24" s="714"/>
      <c r="U24" s="715"/>
      <c r="V24" s="714"/>
      <c r="W24" s="715"/>
      <c r="X24" s="1539"/>
      <c r="Y24" s="4014"/>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4014"/>
      <c r="Q25" s="1536" t="str">
        <f t="shared" si="8"/>
        <v>自然及人文环境状况</v>
      </c>
      <c r="R25" s="714" t="s">
        <v>17</v>
      </c>
      <c r="S25" s="715">
        <f>F25</f>
        <v>100</v>
      </c>
      <c r="T25" s="714" t="s">
        <v>17</v>
      </c>
      <c r="U25" s="715">
        <f>H25</f>
        <v>100</v>
      </c>
      <c r="V25" s="714" t="s">
        <v>17</v>
      </c>
      <c r="W25" s="715">
        <f>J25</f>
        <v>100</v>
      </c>
      <c r="X25" s="1539"/>
      <c r="Y25" s="401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4014"/>
      <c r="Q26" s="1536"/>
      <c r="R26" s="714"/>
      <c r="S26" s="715"/>
      <c r="T26" s="714"/>
      <c r="U26" s="715"/>
      <c r="V26" s="714"/>
      <c r="W26" s="715"/>
      <c r="X26" s="1539"/>
      <c r="Y26" s="4014"/>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4014"/>
      <c r="Q27" s="1527" t="str">
        <f t="shared" si="8"/>
        <v>公共配套设施</v>
      </c>
      <c r="R27" s="710" t="s">
        <v>17</v>
      </c>
      <c r="S27" s="711">
        <f>F27</f>
        <v>100</v>
      </c>
      <c r="T27" s="710" t="s">
        <v>17</v>
      </c>
      <c r="U27" s="711">
        <f>H27</f>
        <v>100</v>
      </c>
      <c r="V27" s="710" t="s">
        <v>17</v>
      </c>
      <c r="W27" s="711">
        <f>J27</f>
        <v>100</v>
      </c>
      <c r="X27" s="712"/>
      <c r="Y27" s="401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4014"/>
      <c r="Q28" s="1527"/>
      <c r="R28" s="710"/>
      <c r="S28" s="711"/>
      <c r="T28" s="710"/>
      <c r="U28" s="711"/>
      <c r="V28" s="710"/>
      <c r="W28" s="711"/>
      <c r="X28" s="712"/>
      <c r="Y28" s="4014"/>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4014"/>
      <c r="Q29" s="1527" t="str">
        <f t="shared" ref="Q29" si="9">B29</f>
        <v>基础设施水平</v>
      </c>
      <c r="R29" s="710" t="s">
        <v>17</v>
      </c>
      <c r="S29" s="711">
        <f>F29</f>
        <v>100</v>
      </c>
      <c r="T29" s="710" t="s">
        <v>17</v>
      </c>
      <c r="U29" s="711">
        <f>H29</f>
        <v>100</v>
      </c>
      <c r="V29" s="710" t="s">
        <v>17</v>
      </c>
      <c r="W29" s="711">
        <f>J29</f>
        <v>100</v>
      </c>
      <c r="X29" s="712"/>
      <c r="Y29" s="401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4014"/>
      <c r="Q30" s="1527"/>
      <c r="R30" s="710"/>
      <c r="S30" s="711"/>
      <c r="T30" s="710"/>
      <c r="U30" s="711"/>
      <c r="V30" s="710"/>
      <c r="W30" s="711"/>
      <c r="X30" s="712"/>
      <c r="Y30" s="401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401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4014"/>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4014"/>
      <c r="Q32" s="1536" t="str">
        <f t="shared" si="8"/>
        <v>毗邻道路的类型与等级</v>
      </c>
      <c r="R32" s="714" t="s">
        <v>17</v>
      </c>
      <c r="S32" s="715">
        <f t="shared" si="10"/>
        <v>100</v>
      </c>
      <c r="T32" s="714" t="s">
        <v>17</v>
      </c>
      <c r="U32" s="715">
        <f t="shared" si="11"/>
        <v>100</v>
      </c>
      <c r="V32" s="714" t="s">
        <v>17</v>
      </c>
      <c r="W32" s="715">
        <f t="shared" si="12"/>
        <v>100</v>
      </c>
      <c r="X32" s="1539"/>
      <c r="Y32" s="401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4014"/>
      <c r="Q33" s="1536"/>
      <c r="R33" s="714"/>
      <c r="S33" s="715"/>
      <c r="T33" s="714"/>
      <c r="U33" s="715"/>
      <c r="V33" s="714"/>
      <c r="W33" s="715"/>
      <c r="X33" s="1539"/>
      <c r="Y33" s="401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4014"/>
      <c r="Q34" s="1536" t="str">
        <f t="shared" si="8"/>
        <v>土地级别</v>
      </c>
      <c r="R34" s="714" t="s">
        <v>17</v>
      </c>
      <c r="S34" s="715">
        <f t="shared" si="10"/>
        <v>100</v>
      </c>
      <c r="T34" s="714" t="s">
        <v>17</v>
      </c>
      <c r="U34" s="715">
        <f t="shared" si="11"/>
        <v>100</v>
      </c>
      <c r="V34" s="714" t="s">
        <v>17</v>
      </c>
      <c r="W34" s="715">
        <f t="shared" si="12"/>
        <v>100</v>
      </c>
      <c r="X34" s="1539"/>
      <c r="Y34" s="401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4014"/>
      <c r="Q35" s="1536">
        <f t="shared" si="8"/>
        <v>111</v>
      </c>
      <c r="R35" s="714" t="s">
        <v>17</v>
      </c>
      <c r="S35" s="715">
        <f t="shared" si="10"/>
        <v>100</v>
      </c>
      <c r="T35" s="714" t="s">
        <v>17</v>
      </c>
      <c r="U35" s="715">
        <f t="shared" si="11"/>
        <v>100</v>
      </c>
      <c r="V35" s="714" t="s">
        <v>17</v>
      </c>
      <c r="W35" s="715">
        <f t="shared" si="12"/>
        <v>100</v>
      </c>
      <c r="X35" s="1539"/>
      <c r="Y35" s="401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4037" t="s">
        <v>2386</v>
      </c>
      <c r="Q36" s="1536">
        <f t="shared" si="8"/>
        <v>111</v>
      </c>
      <c r="R36" s="714" t="s">
        <v>17</v>
      </c>
      <c r="S36" s="715">
        <f t="shared" si="10"/>
        <v>100</v>
      </c>
      <c r="T36" s="714" t="s">
        <v>17</v>
      </c>
      <c r="U36" s="715">
        <f t="shared" si="11"/>
        <v>100</v>
      </c>
      <c r="V36" s="714" t="s">
        <v>17</v>
      </c>
      <c r="W36" s="715">
        <f t="shared" si="12"/>
        <v>100</v>
      </c>
      <c r="X36" s="1539"/>
      <c r="Y36" s="401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4018"/>
      <c r="Q37" s="1536">
        <f t="shared" si="8"/>
        <v>111</v>
      </c>
      <c r="R37" s="717" t="s">
        <v>17</v>
      </c>
      <c r="S37" s="718">
        <f t="shared" si="10"/>
        <v>100</v>
      </c>
      <c r="T37" s="717" t="s">
        <v>17</v>
      </c>
      <c r="U37" s="718">
        <f t="shared" si="11"/>
        <v>100</v>
      </c>
      <c r="V37" s="717" t="s">
        <v>17</v>
      </c>
      <c r="W37" s="718">
        <f t="shared" si="12"/>
        <v>100</v>
      </c>
      <c r="X37" s="719"/>
      <c r="Y37" s="401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4018"/>
      <c r="Q38" s="1536" t="str">
        <f>B38</f>
        <v>宗地面积</v>
      </c>
      <c r="R38" s="714" t="s">
        <v>17</v>
      </c>
      <c r="S38" s="715" t="e">
        <f t="shared" si="10"/>
        <v>#N/A</v>
      </c>
      <c r="T38" s="714" t="s">
        <v>17</v>
      </c>
      <c r="U38" s="715" t="e">
        <f t="shared" si="11"/>
        <v>#N/A</v>
      </c>
      <c r="V38" s="714" t="s">
        <v>17</v>
      </c>
      <c r="W38" s="715" t="e">
        <f t="shared" si="12"/>
        <v>#N/A</v>
      </c>
      <c r="X38" s="1539"/>
      <c r="Y38" s="401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4018"/>
      <c r="Q39" s="1536" t="str">
        <f t="shared" ref="Q39:Q45" si="14">B39</f>
        <v>宗地形状</v>
      </c>
      <c r="R39" s="714" t="s">
        <v>17</v>
      </c>
      <c r="S39" s="715">
        <f t="shared" si="10"/>
        <v>100</v>
      </c>
      <c r="T39" s="714" t="s">
        <v>17</v>
      </c>
      <c r="U39" s="715">
        <f t="shared" si="11"/>
        <v>100</v>
      </c>
      <c r="V39" s="714" t="s">
        <v>17</v>
      </c>
      <c r="W39" s="715">
        <f t="shared" si="12"/>
        <v>100</v>
      </c>
      <c r="X39" s="1539"/>
      <c r="Y39" s="401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4018"/>
      <c r="Q40" s="1536" t="str">
        <f t="shared" si="14"/>
        <v>临街宽度及深度</v>
      </c>
      <c r="R40" s="714" t="s">
        <v>17</v>
      </c>
      <c r="S40" s="715">
        <f t="shared" si="10"/>
        <v>100</v>
      </c>
      <c r="T40" s="714" t="s">
        <v>17</v>
      </c>
      <c r="U40" s="715">
        <f t="shared" si="11"/>
        <v>100</v>
      </c>
      <c r="V40" s="714" t="s">
        <v>17</v>
      </c>
      <c r="W40" s="715">
        <f t="shared" si="12"/>
        <v>100</v>
      </c>
      <c r="X40" s="1539"/>
      <c r="Y40" s="401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4018"/>
      <c r="Q41" s="1536" t="str">
        <f t="shared" si="14"/>
        <v>宗地开发程度</v>
      </c>
      <c r="R41" s="710" t="s">
        <v>17</v>
      </c>
      <c r="S41" s="711">
        <f t="shared" si="10"/>
        <v>100</v>
      </c>
      <c r="T41" s="710" t="s">
        <v>17</v>
      </c>
      <c r="U41" s="711">
        <f t="shared" si="11"/>
        <v>100</v>
      </c>
      <c r="V41" s="710" t="s">
        <v>17</v>
      </c>
      <c r="W41" s="711">
        <f t="shared" si="12"/>
        <v>100</v>
      </c>
      <c r="X41" s="712"/>
      <c r="Y41" s="401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4018" t="s">
        <v>2386</v>
      </c>
      <c r="Q42" s="1536" t="str">
        <f t="shared" si="14"/>
        <v>工程地质条件</v>
      </c>
      <c r="R42" s="714" t="s">
        <v>17</v>
      </c>
      <c r="S42" s="715">
        <f t="shared" si="10"/>
        <v>100</v>
      </c>
      <c r="T42" s="714" t="s">
        <v>17</v>
      </c>
      <c r="U42" s="715">
        <f t="shared" si="11"/>
        <v>100</v>
      </c>
      <c r="V42" s="714" t="s">
        <v>17</v>
      </c>
      <c r="W42" s="715">
        <f t="shared" si="12"/>
        <v>100</v>
      </c>
      <c r="X42" s="1539"/>
      <c r="Y42" s="401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4018"/>
      <c r="Q43" s="1536">
        <f t="shared" si="14"/>
        <v>111</v>
      </c>
      <c r="R43" s="714" t="s">
        <v>17</v>
      </c>
      <c r="S43" s="715">
        <f t="shared" si="10"/>
        <v>100</v>
      </c>
      <c r="T43" s="714" t="s">
        <v>17</v>
      </c>
      <c r="U43" s="715">
        <f t="shared" si="11"/>
        <v>100</v>
      </c>
      <c r="V43" s="714" t="s">
        <v>17</v>
      </c>
      <c r="W43" s="715">
        <f t="shared" si="12"/>
        <v>100</v>
      </c>
      <c r="X43" s="1539"/>
      <c r="Y43" s="401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4018"/>
      <c r="Q44" s="1536">
        <f t="shared" si="14"/>
        <v>111</v>
      </c>
      <c r="R44" s="714" t="s">
        <v>17</v>
      </c>
      <c r="S44" s="715">
        <f t="shared" si="10"/>
        <v>100</v>
      </c>
      <c r="T44" s="714" t="s">
        <v>17</v>
      </c>
      <c r="U44" s="715">
        <f t="shared" si="11"/>
        <v>100</v>
      </c>
      <c r="V44" s="714" t="s">
        <v>17</v>
      </c>
      <c r="W44" s="715">
        <f t="shared" si="12"/>
        <v>100</v>
      </c>
      <c r="X44" s="1539"/>
      <c r="Y44" s="401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4018"/>
      <c r="Q45" s="1536">
        <f t="shared" si="14"/>
        <v>111</v>
      </c>
      <c r="R45" s="717" t="s">
        <v>17</v>
      </c>
      <c r="S45" s="718">
        <f t="shared" si="10"/>
        <v>100</v>
      </c>
      <c r="T45" s="717" t="s">
        <v>17</v>
      </c>
      <c r="U45" s="718">
        <f t="shared" si="11"/>
        <v>100</v>
      </c>
      <c r="V45" s="717" t="s">
        <v>17</v>
      </c>
      <c r="W45" s="718">
        <f t="shared" si="12"/>
        <v>100</v>
      </c>
      <c r="X45" s="719"/>
      <c r="Y45" s="401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4011" t="str">
        <f>A46</f>
        <v>成交单价</v>
      </c>
      <c r="Q46" s="4011"/>
      <c r="R46" s="4006">
        <f>E46</f>
        <v>0</v>
      </c>
      <c r="S46" s="4006"/>
      <c r="T46" s="4006">
        <f>G46</f>
        <v>0</v>
      </c>
      <c r="U46" s="4006"/>
      <c r="V46" s="4006">
        <f>I46</f>
        <v>0</v>
      </c>
      <c r="W46" s="4006"/>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4011" t="str">
        <f>A47</f>
        <v>比较价值（元/平方米）</v>
      </c>
      <c r="Q47" s="4011"/>
      <c r="R47" s="4039" t="e">
        <f>ROUND(PRODUCT(R46,AA7:AA45),0)</f>
        <v>#DIV/0!</v>
      </c>
      <c r="S47" s="4039"/>
      <c r="T47" s="4039" t="e">
        <f>ROUND(PRODUCT(T46,AB7:AB45),0)</f>
        <v>#DIV/0!</v>
      </c>
      <c r="U47" s="4039"/>
      <c r="V47" s="4039" t="e">
        <f>ROUND(PRODUCT(V46,AC7:AC45),0)</f>
        <v>#DIV/0!</v>
      </c>
      <c r="W47" s="403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4008" t="str">
        <f>A48</f>
        <v>估价对象XX用房的比较价值（楼面单价，元/平方米）</v>
      </c>
      <c r="Q48" s="4009"/>
      <c r="R48" s="4040" t="e">
        <f>ROUND(IF(D47="简单平均",AVERAGE(R47:W47),R47*F47+T47*H47+V47*J47),0)</f>
        <v>#DIV/0!</v>
      </c>
      <c r="S48" s="4040"/>
      <c r="T48" s="4040"/>
      <c r="U48" s="4040"/>
      <c r="V48" s="4040"/>
      <c r="W48" s="404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94" t="s">
        <v>2585</v>
      </c>
      <c r="H55" s="404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93"/>
      <c r="H56" s="401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404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404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404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404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4" t="s">
        <v>2467</v>
      </c>
      <c r="D4" s="3995"/>
      <c r="E4" s="3996" t="s">
        <v>2468</v>
      </c>
      <c r="F4" s="3997"/>
      <c r="G4" s="3994" t="s">
        <v>2469</v>
      </c>
      <c r="H4" s="3995"/>
      <c r="I4" s="3994" t="s">
        <v>2470</v>
      </c>
      <c r="J4" s="3995"/>
      <c r="K4" s="567" t="s">
        <v>2471</v>
      </c>
      <c r="L4" s="2944"/>
      <c r="M4" s="2945"/>
      <c r="N4" s="2945"/>
      <c r="O4" s="2945"/>
      <c r="P4" s="3998" t="s">
        <v>2472</v>
      </c>
      <c r="Q4" s="3999"/>
      <c r="R4" s="3981" t="s">
        <v>2468</v>
      </c>
      <c r="S4" s="3982"/>
      <c r="T4" s="3981" t="s">
        <v>2469</v>
      </c>
      <c r="U4" s="3982"/>
      <c r="V4" s="4006" t="s">
        <v>2470</v>
      </c>
      <c r="W4" s="4006"/>
      <c r="X4" s="1539"/>
      <c r="Y4" s="3981" t="s">
        <v>2472</v>
      </c>
      <c r="Z4" s="3982"/>
      <c r="AA4" s="3976" t="s">
        <v>2468</v>
      </c>
      <c r="AB4" s="3977" t="s">
        <v>2469</v>
      </c>
      <c r="AC4" s="3976" t="s">
        <v>2470</v>
      </c>
    </row>
    <row r="5" spans="1:29" ht="15">
      <c r="A5" s="364"/>
      <c r="B5" s="365"/>
      <c r="C5" s="3987" t="s">
        <v>2363</v>
      </c>
      <c r="D5" s="3988"/>
      <c r="E5" s="3985" t="s">
        <v>2364</v>
      </c>
      <c r="F5" s="3986"/>
      <c r="G5" s="3987" t="s">
        <v>2365</v>
      </c>
      <c r="H5" s="3988"/>
      <c r="I5" s="3987" t="s">
        <v>2366</v>
      </c>
      <c r="J5" s="3988"/>
      <c r="K5" s="567"/>
      <c r="L5" s="2944"/>
      <c r="M5" s="2945"/>
      <c r="N5" s="2945"/>
      <c r="O5" s="2945"/>
      <c r="P5" s="4000"/>
      <c r="Q5" s="4001"/>
      <c r="R5" s="3983"/>
      <c r="S5" s="3984"/>
      <c r="T5" s="3983"/>
      <c r="U5" s="3984"/>
      <c r="V5" s="4006"/>
      <c r="W5" s="4006"/>
      <c r="X5" s="1539"/>
      <c r="Y5" s="3983"/>
      <c r="Z5" s="3984"/>
      <c r="AA5" s="3977"/>
      <c r="AB5" s="3977"/>
      <c r="AC5" s="3977"/>
    </row>
    <row r="6" spans="1:29" ht="15.75" thickBot="1">
      <c r="A6" s="366"/>
      <c r="B6" s="367"/>
      <c r="C6" s="4043" t="s">
        <v>2618</v>
      </c>
      <c r="D6" s="4044"/>
      <c r="E6" s="4045" t="s">
        <v>2618</v>
      </c>
      <c r="F6" s="4046"/>
      <c r="G6" s="4043" t="s">
        <v>2618</v>
      </c>
      <c r="H6" s="4044"/>
      <c r="I6" s="4043" t="s">
        <v>2618</v>
      </c>
      <c r="J6" s="4044"/>
      <c r="K6" s="567" t="s">
        <v>2368</v>
      </c>
      <c r="L6" s="2944"/>
      <c r="M6" s="2945"/>
      <c r="N6" s="2945"/>
      <c r="O6" s="2945"/>
      <c r="P6" s="4002"/>
      <c r="Q6" s="4003"/>
      <c r="R6" s="3983"/>
      <c r="S6" s="3984"/>
      <c r="T6" s="4004"/>
      <c r="U6" s="4005"/>
      <c r="V6" s="4006"/>
      <c r="W6" s="4006"/>
      <c r="X6" s="1539"/>
      <c r="Y6" s="4004"/>
      <c r="Z6" s="4005"/>
      <c r="AA6" s="3978"/>
      <c r="AB6" s="3978"/>
      <c r="AC6" s="3978"/>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979" t="s">
        <v>2370</v>
      </c>
      <c r="Q7" s="4007"/>
      <c r="R7" s="710" t="s">
        <v>17</v>
      </c>
      <c r="S7" s="711">
        <f t="shared" ref="S7:S15" si="0">F7</f>
        <v>0</v>
      </c>
      <c r="T7" s="710" t="s">
        <v>17</v>
      </c>
      <c r="U7" s="711">
        <f t="shared" ref="U7:U15" si="1">H7</f>
        <v>0</v>
      </c>
      <c r="V7" s="710" t="s">
        <v>17</v>
      </c>
      <c r="W7" s="711">
        <f t="shared" ref="W7:W15" si="2">J7</f>
        <v>0</v>
      </c>
      <c r="X7" s="712"/>
      <c r="Y7" s="3979" t="s">
        <v>2370</v>
      </c>
      <c r="Z7" s="398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979" t="s">
        <v>2373</v>
      </c>
      <c r="Q8" s="3980"/>
      <c r="R8" s="710" t="s">
        <v>17</v>
      </c>
      <c r="S8" s="711">
        <f t="shared" si="0"/>
        <v>0</v>
      </c>
      <c r="T8" s="710" t="s">
        <v>17</v>
      </c>
      <c r="U8" s="711">
        <f t="shared" si="1"/>
        <v>0</v>
      </c>
      <c r="V8" s="710" t="s">
        <v>17</v>
      </c>
      <c r="W8" s="711">
        <f t="shared" si="2"/>
        <v>0</v>
      </c>
      <c r="X8" s="712"/>
      <c r="Y8" s="3979" t="s">
        <v>2373</v>
      </c>
      <c r="Z8" s="398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4011" t="s">
        <v>2376</v>
      </c>
      <c r="Q9" s="1527" t="str">
        <f t="shared" ref="Q9:Q15" si="6">B9</f>
        <v>用途</v>
      </c>
      <c r="R9" s="710" t="s">
        <v>17</v>
      </c>
      <c r="S9" s="711">
        <f t="shared" si="0"/>
        <v>100</v>
      </c>
      <c r="T9" s="710" t="s">
        <v>17</v>
      </c>
      <c r="U9" s="711">
        <f t="shared" si="1"/>
        <v>100</v>
      </c>
      <c r="V9" s="710" t="s">
        <v>17</v>
      </c>
      <c r="W9" s="711">
        <f t="shared" si="2"/>
        <v>100</v>
      </c>
      <c r="X9" s="712"/>
      <c r="Y9" s="392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4011"/>
      <c r="Q10" s="1527" t="str">
        <f t="shared" si="6"/>
        <v>土地使用年限（年）</v>
      </c>
      <c r="R10" s="710" t="s">
        <v>17</v>
      </c>
      <c r="S10" s="711">
        <f t="shared" si="0"/>
        <v>100</v>
      </c>
      <c r="T10" s="710" t="s">
        <v>17</v>
      </c>
      <c r="U10" s="711">
        <f t="shared" si="1"/>
        <v>100</v>
      </c>
      <c r="V10" s="710" t="s">
        <v>17</v>
      </c>
      <c r="W10" s="711">
        <f t="shared" si="2"/>
        <v>100</v>
      </c>
      <c r="X10" s="712"/>
      <c r="Y10" s="392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4011"/>
      <c r="Q11" s="1527" t="str">
        <f t="shared" si="6"/>
        <v>容积率</v>
      </c>
      <c r="R11" s="710" t="s">
        <v>17</v>
      </c>
      <c r="S11" s="711" t="e">
        <f t="shared" si="0"/>
        <v>#N/A</v>
      </c>
      <c r="T11" s="710" t="s">
        <v>17</v>
      </c>
      <c r="U11" s="711" t="e">
        <f t="shared" si="1"/>
        <v>#N/A</v>
      </c>
      <c r="V11" s="710" t="s">
        <v>17</v>
      </c>
      <c r="W11" s="711" t="e">
        <f t="shared" si="2"/>
        <v>#N/A</v>
      </c>
      <c r="X11" s="712"/>
      <c r="Y11" s="392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4011"/>
      <c r="Q12" s="1527">
        <f t="shared" si="6"/>
        <v>111</v>
      </c>
      <c r="R12" s="710" t="s">
        <v>17</v>
      </c>
      <c r="S12" s="711">
        <f t="shared" si="0"/>
        <v>100</v>
      </c>
      <c r="T12" s="710" t="s">
        <v>17</v>
      </c>
      <c r="U12" s="711">
        <f t="shared" si="1"/>
        <v>100</v>
      </c>
      <c r="V12" s="710" t="s">
        <v>17</v>
      </c>
      <c r="W12" s="711">
        <f t="shared" si="2"/>
        <v>100</v>
      </c>
      <c r="X12" s="712"/>
      <c r="Y12" s="392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4011"/>
      <c r="Q13" s="1527">
        <f t="shared" si="6"/>
        <v>111</v>
      </c>
      <c r="R13" s="710" t="s">
        <v>17</v>
      </c>
      <c r="S13" s="711">
        <f t="shared" si="0"/>
        <v>100</v>
      </c>
      <c r="T13" s="710" t="s">
        <v>17</v>
      </c>
      <c r="U13" s="711">
        <f t="shared" si="1"/>
        <v>100</v>
      </c>
      <c r="V13" s="710" t="s">
        <v>17</v>
      </c>
      <c r="W13" s="711">
        <f t="shared" si="2"/>
        <v>100</v>
      </c>
      <c r="X13" s="712"/>
      <c r="Y13" s="3921"/>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4011"/>
      <c r="Q14" s="1527">
        <f t="shared" si="6"/>
        <v>111</v>
      </c>
      <c r="R14" s="710" t="s">
        <v>17</v>
      </c>
      <c r="S14" s="711">
        <f t="shared" si="0"/>
        <v>100</v>
      </c>
      <c r="T14" s="710" t="s">
        <v>17</v>
      </c>
      <c r="U14" s="711">
        <f t="shared" si="1"/>
        <v>100</v>
      </c>
      <c r="V14" s="710" t="s">
        <v>17</v>
      </c>
      <c r="W14" s="711">
        <f t="shared" si="2"/>
        <v>100</v>
      </c>
      <c r="X14" s="712"/>
      <c r="Y14" s="3921"/>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4013" t="s">
        <v>2381</v>
      </c>
      <c r="Q15" s="1536" t="str">
        <f t="shared" si="6"/>
        <v>产业集聚程度</v>
      </c>
      <c r="R15" s="714" t="s">
        <v>17</v>
      </c>
      <c r="S15" s="715">
        <f t="shared" si="0"/>
        <v>100</v>
      </c>
      <c r="T15" s="714" t="s">
        <v>17</v>
      </c>
      <c r="U15" s="715">
        <f t="shared" si="1"/>
        <v>100</v>
      </c>
      <c r="V15" s="714" t="s">
        <v>17</v>
      </c>
      <c r="W15" s="715">
        <f t="shared" si="2"/>
        <v>100</v>
      </c>
      <c r="X15" s="1539"/>
      <c r="Y15" s="401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4014"/>
      <c r="Q16" s="1536"/>
      <c r="R16" s="714"/>
      <c r="S16" s="715"/>
      <c r="T16" s="714"/>
      <c r="U16" s="715"/>
      <c r="V16" s="714"/>
      <c r="W16" s="715"/>
      <c r="X16" s="1539"/>
      <c r="Y16" s="4014"/>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4014"/>
      <c r="Q17" s="1536" t="str">
        <f>B17</f>
        <v>交通便捷度</v>
      </c>
      <c r="R17" s="714" t="s">
        <v>17</v>
      </c>
      <c r="S17" s="715">
        <f>F17</f>
        <v>100</v>
      </c>
      <c r="T17" s="714" t="s">
        <v>17</v>
      </c>
      <c r="U17" s="715">
        <f>H17</f>
        <v>100</v>
      </c>
      <c r="V17" s="714" t="s">
        <v>17</v>
      </c>
      <c r="W17" s="715">
        <f>J17</f>
        <v>100</v>
      </c>
      <c r="X17" s="1539"/>
      <c r="Y17" s="401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4014"/>
      <c r="Q18" s="1536"/>
      <c r="R18" s="714"/>
      <c r="S18" s="715"/>
      <c r="T18" s="714"/>
      <c r="U18" s="715"/>
      <c r="V18" s="714"/>
      <c r="W18" s="715"/>
      <c r="X18" s="1539"/>
      <c r="Y18" s="4014"/>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4014"/>
      <c r="Q19" s="1536" t="str">
        <f t="shared" ref="Q19:Q33" si="8">B19</f>
        <v>区域土地利用方向</v>
      </c>
      <c r="R19" s="714" t="s">
        <v>17</v>
      </c>
      <c r="S19" s="715">
        <f>F19</f>
        <v>100</v>
      </c>
      <c r="T19" s="714" t="s">
        <v>17</v>
      </c>
      <c r="U19" s="715">
        <f>H19</f>
        <v>100</v>
      </c>
      <c r="V19" s="714" t="s">
        <v>17</v>
      </c>
      <c r="W19" s="715">
        <f>J19</f>
        <v>100</v>
      </c>
      <c r="X19" s="1539"/>
      <c r="Y19" s="401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4014"/>
      <c r="Q20" s="1536"/>
      <c r="R20" s="714"/>
      <c r="S20" s="715"/>
      <c r="T20" s="714"/>
      <c r="U20" s="715"/>
      <c r="V20" s="714"/>
      <c r="W20" s="715"/>
      <c r="X20" s="1539"/>
      <c r="Y20" s="4014"/>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4014"/>
      <c r="Q21" s="1536" t="str">
        <f t="shared" si="8"/>
        <v>环境状况</v>
      </c>
      <c r="R21" s="714" t="s">
        <v>17</v>
      </c>
      <c r="S21" s="715">
        <f>F21</f>
        <v>100</v>
      </c>
      <c r="T21" s="714" t="s">
        <v>17</v>
      </c>
      <c r="U21" s="715">
        <f>H21</f>
        <v>100</v>
      </c>
      <c r="V21" s="714" t="s">
        <v>17</v>
      </c>
      <c r="W21" s="715">
        <f>J21</f>
        <v>100</v>
      </c>
      <c r="X21" s="1539"/>
      <c r="Y21" s="401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4014"/>
      <c r="Q22" s="1536"/>
      <c r="R22" s="714"/>
      <c r="S22" s="715"/>
      <c r="T22" s="714"/>
      <c r="U22" s="715"/>
      <c r="V22" s="714"/>
      <c r="W22" s="715"/>
      <c r="X22" s="1539"/>
      <c r="Y22" s="4014"/>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4014"/>
      <c r="Q23" s="1527" t="str">
        <f t="shared" si="8"/>
        <v>公共配套设施</v>
      </c>
      <c r="R23" s="710" t="s">
        <v>17</v>
      </c>
      <c r="S23" s="711">
        <f>F23</f>
        <v>100</v>
      </c>
      <c r="T23" s="710" t="s">
        <v>17</v>
      </c>
      <c r="U23" s="711">
        <f>H23</f>
        <v>100</v>
      </c>
      <c r="V23" s="710" t="s">
        <v>17</v>
      </c>
      <c r="W23" s="711">
        <f>J23</f>
        <v>100</v>
      </c>
      <c r="X23" s="712"/>
      <c r="Y23" s="401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4014"/>
      <c r="Q24" s="1527"/>
      <c r="R24" s="710"/>
      <c r="S24" s="711"/>
      <c r="T24" s="710"/>
      <c r="U24" s="711"/>
      <c r="V24" s="710"/>
      <c r="W24" s="711"/>
      <c r="X24" s="712"/>
      <c r="Y24" s="4014"/>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4014"/>
      <c r="Q25" s="1527" t="str">
        <f t="shared" ref="Q25" si="9">B25</f>
        <v>基础设施水平</v>
      </c>
      <c r="R25" s="710" t="s">
        <v>17</v>
      </c>
      <c r="S25" s="711">
        <f>F25</f>
        <v>100</v>
      </c>
      <c r="T25" s="710" t="s">
        <v>17</v>
      </c>
      <c r="U25" s="711">
        <f>H25</f>
        <v>100</v>
      </c>
      <c r="V25" s="710" t="s">
        <v>17</v>
      </c>
      <c r="W25" s="711">
        <f>J25</f>
        <v>100</v>
      </c>
      <c r="X25" s="712"/>
      <c r="Y25" s="401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4014"/>
      <c r="Q26" s="1527"/>
      <c r="R26" s="710"/>
      <c r="S26" s="711"/>
      <c r="T26" s="710"/>
      <c r="U26" s="711"/>
      <c r="V26" s="710"/>
      <c r="W26" s="711"/>
      <c r="X26" s="712"/>
      <c r="Y26" s="401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401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4014"/>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4014"/>
      <c r="Q28" s="1536" t="str">
        <f t="shared" si="8"/>
        <v>毗邻道路的类型与等级</v>
      </c>
      <c r="R28" s="714" t="s">
        <v>17</v>
      </c>
      <c r="S28" s="715">
        <f t="shared" si="10"/>
        <v>100</v>
      </c>
      <c r="T28" s="714" t="s">
        <v>17</v>
      </c>
      <c r="U28" s="715">
        <f t="shared" si="11"/>
        <v>100</v>
      </c>
      <c r="V28" s="714" t="s">
        <v>17</v>
      </c>
      <c r="W28" s="715">
        <f t="shared" si="12"/>
        <v>100</v>
      </c>
      <c r="X28" s="1539"/>
      <c r="Y28" s="401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4014"/>
      <c r="Q29" s="1536"/>
      <c r="R29" s="714"/>
      <c r="S29" s="715"/>
      <c r="T29" s="714"/>
      <c r="U29" s="715"/>
      <c r="V29" s="714"/>
      <c r="W29" s="715"/>
      <c r="X29" s="1539"/>
      <c r="Y29" s="401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4014"/>
      <c r="Q30" s="1536" t="str">
        <f t="shared" si="8"/>
        <v>土地级别</v>
      </c>
      <c r="R30" s="714" t="s">
        <v>17</v>
      </c>
      <c r="S30" s="715">
        <f t="shared" si="10"/>
        <v>100</v>
      </c>
      <c r="T30" s="714" t="s">
        <v>17</v>
      </c>
      <c r="U30" s="715">
        <f t="shared" si="11"/>
        <v>100</v>
      </c>
      <c r="V30" s="714" t="s">
        <v>17</v>
      </c>
      <c r="W30" s="715">
        <f t="shared" si="12"/>
        <v>100</v>
      </c>
      <c r="X30" s="1539"/>
      <c r="Y30" s="401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4014"/>
      <c r="Q31" s="1536">
        <f t="shared" si="8"/>
        <v>111</v>
      </c>
      <c r="R31" s="714" t="s">
        <v>17</v>
      </c>
      <c r="S31" s="715">
        <f t="shared" si="10"/>
        <v>100</v>
      </c>
      <c r="T31" s="714" t="s">
        <v>17</v>
      </c>
      <c r="U31" s="715">
        <f t="shared" si="11"/>
        <v>100</v>
      </c>
      <c r="V31" s="714" t="s">
        <v>17</v>
      </c>
      <c r="W31" s="715">
        <f t="shared" si="12"/>
        <v>100</v>
      </c>
      <c r="X31" s="1539"/>
      <c r="Y31" s="401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4037" t="s">
        <v>2386</v>
      </c>
      <c r="Q32" s="1536">
        <f t="shared" si="8"/>
        <v>111</v>
      </c>
      <c r="R32" s="714" t="s">
        <v>17</v>
      </c>
      <c r="S32" s="715">
        <f t="shared" si="10"/>
        <v>100</v>
      </c>
      <c r="T32" s="714" t="s">
        <v>17</v>
      </c>
      <c r="U32" s="715">
        <f t="shared" si="11"/>
        <v>100</v>
      </c>
      <c r="V32" s="714" t="s">
        <v>17</v>
      </c>
      <c r="W32" s="715">
        <f t="shared" si="12"/>
        <v>100</v>
      </c>
      <c r="X32" s="1539"/>
      <c r="Y32" s="4018"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4018"/>
      <c r="Q33" s="1536">
        <f t="shared" si="8"/>
        <v>111</v>
      </c>
      <c r="R33" s="717" t="s">
        <v>17</v>
      </c>
      <c r="S33" s="718">
        <f t="shared" si="10"/>
        <v>100</v>
      </c>
      <c r="T33" s="717" t="s">
        <v>17</v>
      </c>
      <c r="U33" s="718">
        <f t="shared" si="11"/>
        <v>100</v>
      </c>
      <c r="V33" s="717" t="s">
        <v>17</v>
      </c>
      <c r="W33" s="718">
        <f t="shared" si="12"/>
        <v>100</v>
      </c>
      <c r="X33" s="719"/>
      <c r="Y33" s="401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4018"/>
      <c r="Q34" s="1536" t="str">
        <f>B34</f>
        <v>宗地面积</v>
      </c>
      <c r="R34" s="714" t="s">
        <v>17</v>
      </c>
      <c r="S34" s="715" t="e">
        <f t="shared" si="10"/>
        <v>#N/A</v>
      </c>
      <c r="T34" s="714" t="s">
        <v>17</v>
      </c>
      <c r="U34" s="715" t="e">
        <f t="shared" si="11"/>
        <v>#N/A</v>
      </c>
      <c r="V34" s="714" t="s">
        <v>17</v>
      </c>
      <c r="W34" s="715" t="e">
        <f t="shared" si="12"/>
        <v>#N/A</v>
      </c>
      <c r="X34" s="1539"/>
      <c r="Y34" s="401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4018"/>
      <c r="Q35" s="1536" t="str">
        <f t="shared" ref="Q35:Q40" si="14">B35</f>
        <v>宗地形状</v>
      </c>
      <c r="R35" s="714" t="s">
        <v>17</v>
      </c>
      <c r="S35" s="715">
        <f t="shared" si="10"/>
        <v>100</v>
      </c>
      <c r="T35" s="714" t="s">
        <v>17</v>
      </c>
      <c r="U35" s="715">
        <f t="shared" si="11"/>
        <v>100</v>
      </c>
      <c r="V35" s="714" t="s">
        <v>17</v>
      </c>
      <c r="W35" s="715">
        <f t="shared" si="12"/>
        <v>100</v>
      </c>
      <c r="X35" s="1539"/>
      <c r="Y35" s="401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4018"/>
      <c r="Q36" s="1536" t="str">
        <f t="shared" si="14"/>
        <v>宗地开发程度</v>
      </c>
      <c r="R36" s="710" t="s">
        <v>17</v>
      </c>
      <c r="S36" s="711">
        <f t="shared" si="10"/>
        <v>100</v>
      </c>
      <c r="T36" s="710" t="s">
        <v>17</v>
      </c>
      <c r="U36" s="711">
        <f t="shared" si="11"/>
        <v>100</v>
      </c>
      <c r="V36" s="710" t="s">
        <v>17</v>
      </c>
      <c r="W36" s="711">
        <f t="shared" si="12"/>
        <v>100</v>
      </c>
      <c r="X36" s="712"/>
      <c r="Y36" s="401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4018" t="s">
        <v>2386</v>
      </c>
      <c r="Q37" s="1536" t="str">
        <f t="shared" si="14"/>
        <v>工程地质条件</v>
      </c>
      <c r="R37" s="714" t="s">
        <v>17</v>
      </c>
      <c r="S37" s="715">
        <f t="shared" si="10"/>
        <v>100</v>
      </c>
      <c r="T37" s="714" t="s">
        <v>17</v>
      </c>
      <c r="U37" s="715">
        <f t="shared" si="11"/>
        <v>100</v>
      </c>
      <c r="V37" s="714" t="s">
        <v>17</v>
      </c>
      <c r="W37" s="715">
        <f t="shared" si="12"/>
        <v>100</v>
      </c>
      <c r="X37" s="1539"/>
      <c r="Y37" s="401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4018"/>
      <c r="Q38" s="1536">
        <f t="shared" si="14"/>
        <v>111</v>
      </c>
      <c r="R38" s="714" t="s">
        <v>17</v>
      </c>
      <c r="S38" s="715">
        <f t="shared" si="10"/>
        <v>100</v>
      </c>
      <c r="T38" s="714" t="s">
        <v>17</v>
      </c>
      <c r="U38" s="715">
        <f t="shared" si="11"/>
        <v>100</v>
      </c>
      <c r="V38" s="714" t="s">
        <v>17</v>
      </c>
      <c r="W38" s="715">
        <f t="shared" si="12"/>
        <v>100</v>
      </c>
      <c r="X38" s="1539"/>
      <c r="Y38" s="401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4018"/>
      <c r="Q39" s="1536">
        <f t="shared" si="14"/>
        <v>111</v>
      </c>
      <c r="R39" s="714" t="s">
        <v>17</v>
      </c>
      <c r="S39" s="715">
        <f t="shared" si="10"/>
        <v>100</v>
      </c>
      <c r="T39" s="714" t="s">
        <v>17</v>
      </c>
      <c r="U39" s="715">
        <f t="shared" si="11"/>
        <v>100</v>
      </c>
      <c r="V39" s="714" t="s">
        <v>17</v>
      </c>
      <c r="W39" s="715">
        <f t="shared" si="12"/>
        <v>100</v>
      </c>
      <c r="X39" s="1539"/>
      <c r="Y39" s="401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4018"/>
      <c r="Q40" s="1536">
        <f t="shared" si="14"/>
        <v>111</v>
      </c>
      <c r="R40" s="717" t="s">
        <v>17</v>
      </c>
      <c r="S40" s="718">
        <f t="shared" si="10"/>
        <v>100</v>
      </c>
      <c r="T40" s="717" t="s">
        <v>17</v>
      </c>
      <c r="U40" s="718">
        <f t="shared" si="11"/>
        <v>100</v>
      </c>
      <c r="V40" s="717" t="s">
        <v>17</v>
      </c>
      <c r="W40" s="718">
        <f t="shared" si="12"/>
        <v>100</v>
      </c>
      <c r="X40" s="719"/>
      <c r="Y40" s="4018"/>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4011" t="str">
        <f>A41</f>
        <v>成交单价</v>
      </c>
      <c r="Q41" s="4011"/>
      <c r="R41" s="4006">
        <f>E41</f>
        <v>0</v>
      </c>
      <c r="S41" s="4006"/>
      <c r="T41" s="4006">
        <f>G41</f>
        <v>0</v>
      </c>
      <c r="U41" s="4006"/>
      <c r="V41" s="4006">
        <f>I41</f>
        <v>0</v>
      </c>
      <c r="W41" s="4006"/>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4011" t="str">
        <f>A42</f>
        <v>比较价值（元/平方米）</v>
      </c>
      <c r="Q42" s="4011"/>
      <c r="R42" s="4039" t="e">
        <f>ROUND(PRODUCT(R41,AA7:AA40),0)</f>
        <v>#DIV/0!</v>
      </c>
      <c r="S42" s="4039"/>
      <c r="T42" s="4039" t="e">
        <f>ROUND(PRODUCT(T41,AB7:AB40),0)</f>
        <v>#DIV/0!</v>
      </c>
      <c r="U42" s="4039"/>
      <c r="V42" s="4039" t="e">
        <f>ROUND(PRODUCT(V41,AC7:AC40),0)</f>
        <v>#DIV/0!</v>
      </c>
      <c r="W42" s="403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4008" t="str">
        <f>A43</f>
        <v>估价对象XX用房的比较价值（楼面单价，元/平方米）</v>
      </c>
      <c r="Q43" s="4009"/>
      <c r="R43" s="4040" t="e">
        <f>ROUND(IF(D42="简单平均",AVERAGE(R42:W42),R42*F42+T42*H42+V42*J42),0)</f>
        <v>#DIV/0!</v>
      </c>
      <c r="S43" s="4040"/>
      <c r="T43" s="4040"/>
      <c r="U43" s="4040"/>
      <c r="V43" s="4040"/>
      <c r="W43" s="404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94" t="s">
        <v>2585</v>
      </c>
      <c r="H50" s="4041"/>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93"/>
      <c r="H51" s="401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404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404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404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404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4066"/>
      <c r="B4" s="4067"/>
      <c r="C4" s="4067"/>
      <c r="D4" s="4068"/>
      <c r="E4" s="4068"/>
      <c r="F4" s="4068"/>
      <c r="G4" s="4068"/>
      <c r="H4" s="4068"/>
      <c r="I4" s="4068"/>
      <c r="J4" s="4069"/>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4047"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70"/>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4063" t="s">
        <v>2661</v>
      </c>
      <c r="X8" s="4064"/>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70"/>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4065"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70"/>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406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70"/>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4065"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4047"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4065"/>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71"/>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4065"/>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71"/>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72"/>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4047" t="s">
        <v>2704</v>
      </c>
      <c r="B16" s="2209" t="s">
        <v>2705</v>
      </c>
      <c r="C16" s="2371" t="e">
        <f>ROUND(IF(F17="与级别开发程度一致",0,(G17-E17)/C17),0)</f>
        <v>#DIV/0!</v>
      </c>
      <c r="D16" s="4060" t="s">
        <v>2709</v>
      </c>
      <c r="E16" s="4061"/>
      <c r="F16" s="4060" t="s">
        <v>2706</v>
      </c>
      <c r="G16" s="406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4048"/>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4057"/>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4062"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4058"/>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5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4058"/>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405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4059"/>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405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4049" t="s">
        <v>2792</v>
      </c>
      <c r="B90" s="4049"/>
      <c r="C90" s="4049"/>
      <c r="D90" s="4049"/>
      <c r="E90" s="4049"/>
      <c r="F90" s="4049"/>
      <c r="G90" s="4049"/>
      <c r="H90" s="4049"/>
      <c r="I90" s="4049"/>
      <c r="J90" s="4049"/>
      <c r="K90" s="2343"/>
      <c r="L90" s="2343"/>
      <c r="M90" s="2343"/>
      <c r="N90" s="2343"/>
    </row>
    <row r="91" spans="1:37">
      <c r="A91" s="4051" t="s">
        <v>2793</v>
      </c>
      <c r="B91" s="4051" t="s">
        <v>2794</v>
      </c>
      <c r="C91" s="2297" t="s">
        <v>2795</v>
      </c>
      <c r="D91" s="2298"/>
      <c r="E91" s="2298"/>
      <c r="F91" s="2298"/>
      <c r="G91" s="2298"/>
      <c r="H91" s="2298"/>
      <c r="I91" s="2298"/>
      <c r="J91" s="2344"/>
      <c r="K91" s="2345"/>
      <c r="L91" s="2345"/>
      <c r="M91" s="2345"/>
      <c r="N91" s="2345"/>
    </row>
    <row r="92" spans="1:37">
      <c r="A92" s="4051"/>
      <c r="B92" s="405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4052"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405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405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405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405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405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4053"/>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405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4052"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4053"/>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4053"/>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4053"/>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4053"/>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4053"/>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4053"/>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4053"/>
      <c r="B108" s="4055"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4054"/>
      <c r="B109" s="4056"/>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4050" t="s">
        <v>2800</v>
      </c>
      <c r="B110" s="4050"/>
      <c r="C110" s="4050"/>
      <c r="D110" s="4050"/>
      <c r="E110" s="4050"/>
      <c r="F110" s="4050"/>
      <c r="G110" s="4050"/>
      <c r="H110" s="4050"/>
      <c r="I110" s="4050"/>
      <c r="J110" s="4050"/>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73" t="s">
        <v>183</v>
      </c>
      <c r="B18" s="821" t="s">
        <v>560</v>
      </c>
      <c r="C18" s="822" t="s">
        <v>561</v>
      </c>
      <c r="D18" s="823"/>
      <c r="E18" s="821">
        <v>1</v>
      </c>
      <c r="F18" s="824" t="s">
        <v>562</v>
      </c>
      <c r="G18" s="825"/>
      <c r="H18" s="817"/>
      <c r="I18" s="817"/>
    </row>
    <row r="19" spans="1:9" s="826" customFormat="1" ht="19.5" customHeight="1">
      <c r="A19" s="4073"/>
      <c r="B19" s="4073" t="s">
        <v>563</v>
      </c>
      <c r="C19" s="822" t="s">
        <v>564</v>
      </c>
      <c r="D19" s="823"/>
      <c r="E19" s="821">
        <v>0.9</v>
      </c>
      <c r="F19" s="824" t="s">
        <v>565</v>
      </c>
      <c r="G19" s="825"/>
      <c r="H19" s="817"/>
      <c r="I19" s="817"/>
    </row>
    <row r="20" spans="1:9" s="826" customFormat="1" ht="19.5" customHeight="1">
      <c r="A20" s="4073"/>
      <c r="B20" s="4073"/>
      <c r="C20" s="822" t="s">
        <v>566</v>
      </c>
      <c r="D20" s="823"/>
      <c r="E20" s="821">
        <v>1.1000000000000001</v>
      </c>
      <c r="F20" s="824" t="s">
        <v>567</v>
      </c>
      <c r="G20" s="825"/>
      <c r="H20" s="817"/>
      <c r="I20" s="817"/>
    </row>
    <row r="21" spans="1:9" s="826" customFormat="1" ht="19.5" customHeight="1">
      <c r="A21" s="4073"/>
      <c r="B21" s="4073"/>
      <c r="C21" s="822" t="s">
        <v>568</v>
      </c>
      <c r="D21" s="823"/>
      <c r="E21" s="821">
        <v>0.8</v>
      </c>
      <c r="F21" s="824" t="s">
        <v>569</v>
      </c>
      <c r="G21" s="825"/>
      <c r="H21" s="817"/>
      <c r="I21" s="817"/>
    </row>
    <row r="22" spans="1:9" s="826" customFormat="1" ht="19.5" customHeight="1">
      <c r="A22" s="4073"/>
      <c r="B22" s="4073"/>
      <c r="C22" s="822" t="s">
        <v>570</v>
      </c>
      <c r="D22" s="823"/>
      <c r="E22" s="821">
        <v>0.5</v>
      </c>
      <c r="F22" s="824"/>
      <c r="G22" s="825"/>
      <c r="H22" s="817"/>
      <c r="I22" s="817"/>
    </row>
    <row r="23" spans="1:9" s="826" customFormat="1" ht="19.5" customHeight="1">
      <c r="A23" s="4073" t="s">
        <v>184</v>
      </c>
      <c r="B23" s="821" t="s">
        <v>560</v>
      </c>
      <c r="C23" s="822" t="s">
        <v>571</v>
      </c>
      <c r="D23" s="823"/>
      <c r="E23" s="821">
        <v>1</v>
      </c>
      <c r="F23" s="824" t="s">
        <v>572</v>
      </c>
      <c r="G23" s="825"/>
      <c r="H23" s="817"/>
      <c r="I23" s="817"/>
    </row>
    <row r="24" spans="1:9" s="826" customFormat="1" ht="19.5" customHeight="1">
      <c r="A24" s="4073"/>
      <c r="B24" s="4073" t="s">
        <v>563</v>
      </c>
      <c r="C24" s="822" t="s">
        <v>573</v>
      </c>
      <c r="D24" s="823"/>
      <c r="E24" s="821">
        <v>0.5</v>
      </c>
      <c r="F24" s="824"/>
      <c r="G24" s="825"/>
      <c r="H24" s="817"/>
      <c r="I24" s="817"/>
    </row>
    <row r="25" spans="1:9" s="826" customFormat="1" ht="19.5" customHeight="1">
      <c r="A25" s="4073"/>
      <c r="B25" s="4073"/>
      <c r="C25" s="822" t="s">
        <v>574</v>
      </c>
      <c r="D25" s="823"/>
      <c r="E25" s="821">
        <v>1.1000000000000001</v>
      </c>
      <c r="F25" s="824"/>
      <c r="G25" s="825"/>
      <c r="H25" s="817"/>
      <c r="I25" s="817"/>
    </row>
    <row r="26" spans="1:9" s="826" customFormat="1" ht="19.5" customHeight="1">
      <c r="A26" s="4073"/>
      <c r="B26" s="4073"/>
      <c r="C26" s="822" t="s">
        <v>575</v>
      </c>
      <c r="D26" s="823"/>
      <c r="E26" s="821">
        <v>1.1000000000000001</v>
      </c>
      <c r="F26" s="824"/>
      <c r="G26" s="825"/>
      <c r="H26" s="817"/>
      <c r="I26" s="817"/>
    </row>
    <row r="27" spans="1:9" s="826" customFormat="1" ht="19.5" customHeight="1">
      <c r="A27" s="4073"/>
      <c r="B27" s="4073"/>
      <c r="C27" s="822" t="s">
        <v>576</v>
      </c>
      <c r="D27" s="823"/>
      <c r="E27" s="821">
        <v>0.9</v>
      </c>
      <c r="F27" s="824" t="s">
        <v>577</v>
      </c>
      <c r="G27" s="825"/>
      <c r="H27" s="817"/>
      <c r="I27" s="817"/>
    </row>
    <row r="28" spans="1:9" s="826" customFormat="1" ht="19.5" customHeight="1">
      <c r="A28" s="4073"/>
      <c r="B28" s="4073"/>
      <c r="C28" s="822" t="s">
        <v>578</v>
      </c>
      <c r="D28" s="823"/>
      <c r="E28" s="821">
        <v>0.9</v>
      </c>
      <c r="F28" s="824" t="s">
        <v>579</v>
      </c>
      <c r="G28" s="825"/>
      <c r="H28" s="817"/>
      <c r="I28" s="817"/>
    </row>
    <row r="29" spans="1:9" s="826" customFormat="1" ht="19.5" customHeight="1">
      <c r="A29" s="4073"/>
      <c r="B29" s="4073"/>
      <c r="C29" s="822" t="s">
        <v>580</v>
      </c>
      <c r="D29" s="823"/>
      <c r="E29" s="821">
        <v>0.9</v>
      </c>
      <c r="F29" s="824" t="s">
        <v>581</v>
      </c>
      <c r="G29" s="825"/>
      <c r="H29" s="817"/>
      <c r="I29" s="817"/>
    </row>
    <row r="30" spans="1:9" s="826" customFormat="1" ht="19.5" customHeight="1">
      <c r="A30" s="4073"/>
      <c r="B30" s="4073"/>
      <c r="C30" s="822" t="s">
        <v>582</v>
      </c>
      <c r="D30" s="823"/>
      <c r="E30" s="821">
        <v>0.9</v>
      </c>
      <c r="F30" s="824" t="s">
        <v>583</v>
      </c>
      <c r="G30" s="825"/>
      <c r="H30" s="817"/>
      <c r="I30" s="817"/>
    </row>
    <row r="31" spans="1:9" s="826" customFormat="1" ht="19.5" customHeight="1">
      <c r="A31" s="4073"/>
      <c r="B31" s="4073"/>
      <c r="C31" s="822" t="s">
        <v>584</v>
      </c>
      <c r="D31" s="823"/>
      <c r="E31" s="821">
        <v>0.8</v>
      </c>
      <c r="F31" s="824" t="s">
        <v>585</v>
      </c>
      <c r="G31" s="825"/>
      <c r="H31" s="817"/>
      <c r="I31" s="817"/>
    </row>
    <row r="32" spans="1:9" s="826" customFormat="1" ht="19.5" customHeight="1">
      <c r="A32" s="4073"/>
      <c r="B32" s="4073"/>
      <c r="C32" s="822" t="s">
        <v>586</v>
      </c>
      <c r="D32" s="823"/>
      <c r="E32" s="821">
        <v>0.8</v>
      </c>
      <c r="F32" s="824" t="s">
        <v>587</v>
      </c>
      <c r="G32" s="825"/>
      <c r="H32" s="817"/>
      <c r="I32" s="817"/>
    </row>
    <row r="33" spans="1:9" s="826" customFormat="1" ht="19.5" customHeight="1">
      <c r="A33" s="4073" t="s">
        <v>185</v>
      </c>
      <c r="B33" s="821" t="s">
        <v>560</v>
      </c>
      <c r="C33" s="822" t="s">
        <v>588</v>
      </c>
      <c r="D33" s="823"/>
      <c r="E33" s="821">
        <v>1</v>
      </c>
      <c r="F33" s="824" t="s">
        <v>589</v>
      </c>
      <c r="G33" s="825"/>
      <c r="H33" s="817"/>
      <c r="I33" s="817"/>
    </row>
    <row r="34" spans="1:9" s="826" customFormat="1" ht="19.5" customHeight="1">
      <c r="A34" s="4073"/>
      <c r="B34" s="821" t="s">
        <v>563</v>
      </c>
      <c r="C34" s="822" t="s">
        <v>590</v>
      </c>
      <c r="D34" s="823"/>
      <c r="E34" s="821">
        <v>1.5</v>
      </c>
      <c r="F34" s="824" t="s">
        <v>591</v>
      </c>
      <c r="G34" s="825"/>
      <c r="H34" s="817"/>
      <c r="I34" s="817"/>
    </row>
    <row r="35" spans="1:9" s="826" customFormat="1" ht="19.5" customHeight="1">
      <c r="A35" s="4073" t="s">
        <v>186</v>
      </c>
      <c r="B35" s="821" t="s">
        <v>560</v>
      </c>
      <c r="C35" s="822" t="s">
        <v>592</v>
      </c>
      <c r="D35" s="823"/>
      <c r="E35" s="821">
        <v>1</v>
      </c>
      <c r="F35" s="824" t="s">
        <v>593</v>
      </c>
      <c r="G35" s="825"/>
      <c r="H35" s="817"/>
      <c r="I35" s="817"/>
    </row>
    <row r="36" spans="1:9" s="826" customFormat="1" ht="19.5" customHeight="1">
      <c r="A36" s="4073"/>
      <c r="B36" s="4073" t="s">
        <v>563</v>
      </c>
      <c r="C36" s="822" t="s">
        <v>594</v>
      </c>
      <c r="D36" s="823"/>
      <c r="E36" s="821">
        <v>1</v>
      </c>
      <c r="F36" s="824" t="s">
        <v>595</v>
      </c>
      <c r="G36" s="825"/>
      <c r="H36" s="817"/>
      <c r="I36" s="817"/>
    </row>
    <row r="37" spans="1:9" s="826" customFormat="1" ht="19.5" customHeight="1">
      <c r="A37" s="4073"/>
      <c r="B37" s="4073"/>
      <c r="C37" s="822" t="s">
        <v>596</v>
      </c>
      <c r="D37" s="823"/>
      <c r="E37" s="821">
        <v>1.5</v>
      </c>
      <c r="F37" s="824" t="s">
        <v>597</v>
      </c>
      <c r="G37" s="825"/>
      <c r="H37" s="817"/>
      <c r="I37" s="817"/>
    </row>
    <row r="38" spans="1:9" s="826" customFormat="1" ht="19.5" customHeight="1">
      <c r="A38" s="4073"/>
      <c r="B38" s="4073"/>
      <c r="C38" s="822" t="s">
        <v>598</v>
      </c>
      <c r="D38" s="823"/>
      <c r="E38" s="821">
        <v>1</v>
      </c>
      <c r="F38" s="824" t="s">
        <v>599</v>
      </c>
      <c r="G38" s="825"/>
      <c r="H38" s="817"/>
      <c r="I38" s="817"/>
    </row>
    <row r="39" spans="1:9" s="826" customFormat="1" ht="19.5" customHeight="1">
      <c r="A39" s="4073"/>
      <c r="B39" s="40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73" t="s">
        <v>614</v>
      </c>
      <c r="C61" s="757" t="s">
        <v>615</v>
      </c>
      <c r="D61" s="757" t="s">
        <v>616</v>
      </c>
      <c r="E61" s="834">
        <v>0.5</v>
      </c>
      <c r="F61" s="821">
        <v>80</v>
      </c>
    </row>
    <row r="62" spans="1:8" s="817" customFormat="1" ht="24">
      <c r="A62" s="821">
        <v>2</v>
      </c>
      <c r="B62" s="4073"/>
      <c r="C62" s="757" t="s">
        <v>617</v>
      </c>
      <c r="D62" s="757" t="s">
        <v>618</v>
      </c>
      <c r="E62" s="834">
        <v>0.5</v>
      </c>
      <c r="F62" s="821">
        <v>80</v>
      </c>
    </row>
    <row r="63" spans="1:8" s="817" customFormat="1" ht="36">
      <c r="A63" s="821">
        <v>3</v>
      </c>
      <c r="B63" s="4073"/>
      <c r="C63" s="757" t="s">
        <v>619</v>
      </c>
      <c r="D63" s="757" t="s">
        <v>620</v>
      </c>
      <c r="E63" s="834">
        <v>0.5</v>
      </c>
      <c r="F63" s="821">
        <v>80</v>
      </c>
    </row>
    <row r="64" spans="1:8" s="817" customFormat="1" ht="36">
      <c r="A64" s="821">
        <v>4</v>
      </c>
      <c r="B64" s="4073"/>
      <c r="C64" s="757" t="s">
        <v>621</v>
      </c>
      <c r="D64" s="757" t="s">
        <v>622</v>
      </c>
      <c r="E64" s="834">
        <v>0.4</v>
      </c>
      <c r="F64" s="821">
        <v>60</v>
      </c>
    </row>
    <row r="65" spans="1:6" s="817" customFormat="1" ht="36">
      <c r="A65" s="821">
        <v>5</v>
      </c>
      <c r="B65" s="4073"/>
      <c r="C65" s="757" t="s">
        <v>623</v>
      </c>
      <c r="D65" s="757" t="s">
        <v>624</v>
      </c>
      <c r="E65" s="834">
        <v>0.2</v>
      </c>
      <c r="F65" s="821">
        <v>30</v>
      </c>
    </row>
    <row r="66" spans="1:6" s="817" customFormat="1" ht="36">
      <c r="A66" s="821">
        <v>6</v>
      </c>
      <c r="B66" s="4073"/>
      <c r="C66" s="757" t="s">
        <v>625</v>
      </c>
      <c r="D66" s="757" t="s">
        <v>626</v>
      </c>
      <c r="E66" s="834">
        <v>0.3</v>
      </c>
      <c r="F66" s="821">
        <v>50</v>
      </c>
    </row>
    <row r="67" spans="1:6" s="817" customFormat="1" ht="36">
      <c r="A67" s="821">
        <v>7</v>
      </c>
      <c r="B67" s="4073"/>
      <c r="C67" s="757" t="s">
        <v>627</v>
      </c>
      <c r="D67" s="757" t="s">
        <v>628</v>
      </c>
      <c r="E67" s="834">
        <v>0.2</v>
      </c>
      <c r="F67" s="821">
        <v>30</v>
      </c>
    </row>
    <row r="68" spans="1:6" s="817" customFormat="1" ht="36">
      <c r="A68" s="821">
        <v>8</v>
      </c>
      <c r="B68" s="4073"/>
      <c r="C68" s="757" t="s">
        <v>629</v>
      </c>
      <c r="D68" s="757" t="s">
        <v>630</v>
      </c>
      <c r="E68" s="834">
        <v>0.2</v>
      </c>
      <c r="F68" s="821">
        <v>30</v>
      </c>
    </row>
    <row r="69" spans="1:6" s="817" customFormat="1" ht="36">
      <c r="A69" s="821">
        <v>9</v>
      </c>
      <c r="B69" s="4073"/>
      <c r="C69" s="757" t="s">
        <v>631</v>
      </c>
      <c r="D69" s="757" t="s">
        <v>632</v>
      </c>
      <c r="E69" s="834">
        <v>0.2</v>
      </c>
      <c r="F69" s="821">
        <v>30</v>
      </c>
    </row>
    <row r="70" spans="1:6" s="817" customFormat="1" ht="48">
      <c r="A70" s="821">
        <v>10</v>
      </c>
      <c r="B70" s="4073"/>
      <c r="C70" s="757" t="s">
        <v>633</v>
      </c>
      <c r="D70" s="757" t="s">
        <v>634</v>
      </c>
      <c r="E70" s="834">
        <v>0.2</v>
      </c>
      <c r="F70" s="821">
        <v>30</v>
      </c>
    </row>
    <row r="71" spans="1:6" s="817" customFormat="1" ht="48">
      <c r="A71" s="821">
        <v>11</v>
      </c>
      <c r="B71" s="4073"/>
      <c r="C71" s="757" t="s">
        <v>635</v>
      </c>
      <c r="D71" s="757" t="s">
        <v>636</v>
      </c>
      <c r="E71" s="834">
        <v>0.2</v>
      </c>
      <c r="F71" s="821">
        <v>30</v>
      </c>
    </row>
    <row r="72" spans="1:6" s="817" customFormat="1" ht="36">
      <c r="A72" s="821">
        <v>12</v>
      </c>
      <c r="B72" s="4073"/>
      <c r="C72" s="757" t="s">
        <v>637</v>
      </c>
      <c r="D72" s="757" t="s">
        <v>638</v>
      </c>
      <c r="E72" s="834">
        <v>0.5</v>
      </c>
      <c r="F72" s="821">
        <v>80</v>
      </c>
    </row>
    <row r="73" spans="1:6" s="817" customFormat="1" ht="24">
      <c r="A73" s="821">
        <v>13</v>
      </c>
      <c r="B73" s="4073"/>
      <c r="C73" s="757" t="s">
        <v>639</v>
      </c>
      <c r="D73" s="757" t="s">
        <v>640</v>
      </c>
      <c r="E73" s="834">
        <v>0.4</v>
      </c>
      <c r="F73" s="821">
        <v>60</v>
      </c>
    </row>
    <row r="74" spans="1:6" s="817" customFormat="1" ht="24">
      <c r="A74" s="821">
        <v>14</v>
      </c>
      <c r="B74" s="4073"/>
      <c r="C74" s="757" t="s">
        <v>641</v>
      </c>
      <c r="D74" s="757" t="s">
        <v>642</v>
      </c>
      <c r="E74" s="834">
        <v>0.2</v>
      </c>
      <c r="F74" s="821">
        <v>30</v>
      </c>
    </row>
    <row r="75" spans="1:6" s="817" customFormat="1" ht="24">
      <c r="A75" s="821">
        <v>15</v>
      </c>
      <c r="B75" s="4073"/>
      <c r="C75" s="757" t="s">
        <v>643</v>
      </c>
      <c r="D75" s="757" t="s">
        <v>644</v>
      </c>
      <c r="E75" s="834">
        <v>0.2</v>
      </c>
      <c r="F75" s="821">
        <v>30</v>
      </c>
    </row>
    <row r="76" spans="1:6" s="817" customFormat="1" ht="24">
      <c r="A76" s="821">
        <v>16</v>
      </c>
      <c r="B76" s="4073" t="s">
        <v>645</v>
      </c>
      <c r="C76" s="757" t="s">
        <v>646</v>
      </c>
      <c r="D76" s="757" t="s">
        <v>647</v>
      </c>
      <c r="E76" s="834">
        <v>0.5</v>
      </c>
      <c r="F76" s="821">
        <v>80</v>
      </c>
    </row>
    <row r="77" spans="1:6" s="817" customFormat="1" ht="24">
      <c r="A77" s="821">
        <v>17</v>
      </c>
      <c r="B77" s="4073"/>
      <c r="C77" s="757" t="s">
        <v>648</v>
      </c>
      <c r="D77" s="757" t="s">
        <v>649</v>
      </c>
      <c r="E77" s="834">
        <v>0.5</v>
      </c>
      <c r="F77" s="821">
        <v>80</v>
      </c>
    </row>
    <row r="78" spans="1:6" s="817" customFormat="1" ht="24">
      <c r="A78" s="821">
        <v>18</v>
      </c>
      <c r="B78" s="4073"/>
      <c r="C78" s="757" t="s">
        <v>650</v>
      </c>
      <c r="D78" s="757" t="s">
        <v>651</v>
      </c>
      <c r="E78" s="834">
        <v>0.2</v>
      </c>
      <c r="F78" s="821">
        <v>30</v>
      </c>
    </row>
    <row r="79" spans="1:6" s="817" customFormat="1" ht="24">
      <c r="A79" s="821">
        <v>19</v>
      </c>
      <c r="B79" s="4073"/>
      <c r="C79" s="757" t="s">
        <v>652</v>
      </c>
      <c r="D79" s="757" t="s">
        <v>653</v>
      </c>
      <c r="E79" s="834">
        <v>0.5</v>
      </c>
      <c r="F79" s="821">
        <v>80</v>
      </c>
    </row>
    <row r="80" spans="1:6" s="817" customFormat="1" ht="36">
      <c r="A80" s="821">
        <v>20</v>
      </c>
      <c r="B80" s="4073"/>
      <c r="C80" s="757" t="s">
        <v>654</v>
      </c>
      <c r="D80" s="757" t="s">
        <v>655</v>
      </c>
      <c r="E80" s="834">
        <v>0.2</v>
      </c>
      <c r="F80" s="821">
        <v>30</v>
      </c>
    </row>
    <row r="81" spans="1:6" s="817" customFormat="1" ht="36">
      <c r="A81" s="821">
        <v>21</v>
      </c>
      <c r="B81" s="4073"/>
      <c r="C81" s="757" t="s">
        <v>656</v>
      </c>
      <c r="D81" s="757" t="s">
        <v>657</v>
      </c>
      <c r="E81" s="834">
        <v>0.2</v>
      </c>
      <c r="F81" s="821">
        <v>30</v>
      </c>
    </row>
    <row r="82" spans="1:6" s="817" customFormat="1" ht="48">
      <c r="A82" s="821">
        <v>22</v>
      </c>
      <c r="B82" s="4073"/>
      <c r="C82" s="757" t="s">
        <v>658</v>
      </c>
      <c r="D82" s="757" t="s">
        <v>659</v>
      </c>
      <c r="E82" s="834">
        <v>0.2</v>
      </c>
      <c r="F82" s="821">
        <v>30</v>
      </c>
    </row>
    <row r="83" spans="1:6" s="817" customFormat="1" ht="48">
      <c r="A83" s="821">
        <v>23</v>
      </c>
      <c r="B83" s="4073"/>
      <c r="C83" s="757" t="s">
        <v>660</v>
      </c>
      <c r="D83" s="757" t="s">
        <v>661</v>
      </c>
      <c r="E83" s="834">
        <v>0.2</v>
      </c>
      <c r="F83" s="821">
        <v>30</v>
      </c>
    </row>
    <row r="84" spans="1:6" s="817" customFormat="1" ht="36">
      <c r="A84" s="821">
        <v>24</v>
      </c>
      <c r="B84" s="4073"/>
      <c r="C84" s="757" t="s">
        <v>662</v>
      </c>
      <c r="D84" s="757" t="s">
        <v>663</v>
      </c>
      <c r="E84" s="834">
        <v>0.2</v>
      </c>
      <c r="F84" s="821">
        <v>30</v>
      </c>
    </row>
    <row r="85" spans="1:6" s="817" customFormat="1" ht="36">
      <c r="A85" s="821">
        <v>25</v>
      </c>
      <c r="B85" s="4073"/>
      <c r="C85" s="757" t="s">
        <v>664</v>
      </c>
      <c r="D85" s="757" t="s">
        <v>665</v>
      </c>
      <c r="E85" s="834">
        <v>0.5</v>
      </c>
      <c r="F85" s="821">
        <v>80</v>
      </c>
    </row>
    <row r="86" spans="1:6" s="817" customFormat="1" ht="36">
      <c r="A86" s="821">
        <v>26</v>
      </c>
      <c r="B86" s="4073"/>
      <c r="C86" s="757" t="s">
        <v>666</v>
      </c>
      <c r="D86" s="757" t="s">
        <v>667</v>
      </c>
      <c r="E86" s="834">
        <v>0.2</v>
      </c>
      <c r="F86" s="821">
        <v>30</v>
      </c>
    </row>
    <row r="87" spans="1:6" s="817" customFormat="1" ht="36">
      <c r="A87" s="821">
        <v>27</v>
      </c>
      <c r="B87" s="4073"/>
      <c r="C87" s="757" t="s">
        <v>668</v>
      </c>
      <c r="D87" s="757" t="s">
        <v>669</v>
      </c>
      <c r="E87" s="834">
        <v>0.2</v>
      </c>
      <c r="F87" s="821">
        <v>30</v>
      </c>
    </row>
    <row r="88" spans="1:6" s="817" customFormat="1" ht="36">
      <c r="A88" s="821">
        <v>28</v>
      </c>
      <c r="B88" s="4073"/>
      <c r="C88" s="757" t="s">
        <v>670</v>
      </c>
      <c r="D88" s="757" t="s">
        <v>671</v>
      </c>
      <c r="E88" s="834">
        <v>0.2</v>
      </c>
      <c r="F88" s="821">
        <v>30</v>
      </c>
    </row>
    <row r="89" spans="1:6" s="817" customFormat="1" ht="24">
      <c r="A89" s="821">
        <v>29</v>
      </c>
      <c r="B89" s="4073"/>
      <c r="C89" s="757" t="s">
        <v>672</v>
      </c>
      <c r="D89" s="757" t="s">
        <v>673</v>
      </c>
      <c r="E89" s="834">
        <v>0.2</v>
      </c>
      <c r="F89" s="821">
        <v>30</v>
      </c>
    </row>
    <row r="90" spans="1:6" s="817" customFormat="1" ht="24">
      <c r="A90" s="821">
        <v>30</v>
      </c>
      <c r="B90" s="4073"/>
      <c r="C90" s="757" t="s">
        <v>674</v>
      </c>
      <c r="D90" s="757" t="s">
        <v>675</v>
      </c>
      <c r="E90" s="834">
        <v>0.2</v>
      </c>
      <c r="F90" s="821">
        <v>30</v>
      </c>
    </row>
    <row r="91" spans="1:6" s="817" customFormat="1" ht="36">
      <c r="A91" s="821">
        <v>31</v>
      </c>
      <c r="B91" s="4073"/>
      <c r="C91" s="757" t="s">
        <v>676</v>
      </c>
      <c r="D91" s="757" t="s">
        <v>677</v>
      </c>
      <c r="E91" s="834">
        <v>0.2</v>
      </c>
      <c r="F91" s="821">
        <v>30</v>
      </c>
    </row>
    <row r="92" spans="1:6" s="817" customFormat="1" ht="24">
      <c r="A92" s="821">
        <v>32</v>
      </c>
      <c r="B92" s="4073" t="s">
        <v>678</v>
      </c>
      <c r="C92" s="821" t="s">
        <v>679</v>
      </c>
      <c r="D92" s="757" t="s">
        <v>680</v>
      </c>
      <c r="E92" s="834">
        <v>0.2</v>
      </c>
      <c r="F92" s="821">
        <v>30</v>
      </c>
    </row>
    <row r="93" spans="1:6" s="817" customFormat="1" ht="36">
      <c r="A93" s="821">
        <v>33</v>
      </c>
      <c r="B93" s="4073"/>
      <c r="C93" s="821" t="s">
        <v>681</v>
      </c>
      <c r="D93" s="757" t="s">
        <v>682</v>
      </c>
      <c r="E93" s="834">
        <v>0.2</v>
      </c>
      <c r="F93" s="821">
        <v>30</v>
      </c>
    </row>
    <row r="94" spans="1:6" s="817" customFormat="1" ht="48">
      <c r="A94" s="821">
        <v>34</v>
      </c>
      <c r="B94" s="4073"/>
      <c r="C94" s="821" t="s">
        <v>683</v>
      </c>
      <c r="D94" s="757" t="s">
        <v>684</v>
      </c>
      <c r="E94" s="834">
        <v>0.2</v>
      </c>
      <c r="F94" s="821">
        <v>30</v>
      </c>
    </row>
    <row r="95" spans="1:6" s="817" customFormat="1" ht="36">
      <c r="A95" s="821">
        <v>35</v>
      </c>
      <c r="B95" s="4073"/>
      <c r="C95" s="821" t="s">
        <v>685</v>
      </c>
      <c r="D95" s="757" t="s">
        <v>686</v>
      </c>
      <c r="E95" s="834">
        <v>0.2</v>
      </c>
      <c r="F95" s="821">
        <v>30</v>
      </c>
    </row>
    <row r="96" spans="1:6" s="817" customFormat="1" ht="48">
      <c r="A96" s="821">
        <v>36</v>
      </c>
      <c r="B96" s="4073"/>
      <c r="C96" s="757" t="s">
        <v>687</v>
      </c>
      <c r="D96" s="757" t="s">
        <v>688</v>
      </c>
      <c r="E96" s="834">
        <v>0.2</v>
      </c>
      <c r="F96" s="821">
        <v>30</v>
      </c>
    </row>
    <row r="97" spans="1:6" s="817" customFormat="1" ht="36">
      <c r="A97" s="821">
        <v>37</v>
      </c>
      <c r="B97" s="4073"/>
      <c r="C97" s="821" t="s">
        <v>689</v>
      </c>
      <c r="D97" s="757" t="s">
        <v>690</v>
      </c>
      <c r="E97" s="834">
        <v>0.2</v>
      </c>
      <c r="F97" s="821">
        <v>30</v>
      </c>
    </row>
    <row r="98" spans="1:6" s="817" customFormat="1" ht="36">
      <c r="A98" s="821">
        <v>38</v>
      </c>
      <c r="B98" s="4073"/>
      <c r="C98" s="821" t="s">
        <v>691</v>
      </c>
      <c r="D98" s="757" t="s">
        <v>692</v>
      </c>
      <c r="E98" s="834">
        <v>0.2</v>
      </c>
      <c r="F98" s="821">
        <v>30</v>
      </c>
    </row>
    <row r="99" spans="1:6" s="817" customFormat="1" ht="36">
      <c r="A99" s="821">
        <v>39</v>
      </c>
      <c r="B99" s="4073" t="s">
        <v>693</v>
      </c>
      <c r="C99" s="821" t="s">
        <v>694</v>
      </c>
      <c r="D99" s="757" t="s">
        <v>695</v>
      </c>
      <c r="E99" s="834">
        <v>0.3</v>
      </c>
      <c r="F99" s="821">
        <v>50</v>
      </c>
    </row>
    <row r="100" spans="1:6" s="817" customFormat="1" ht="24">
      <c r="A100" s="821">
        <v>40</v>
      </c>
      <c r="B100" s="4073"/>
      <c r="C100" s="821" t="s">
        <v>696</v>
      </c>
      <c r="D100" s="757" t="s">
        <v>697</v>
      </c>
      <c r="E100" s="834">
        <v>0.2</v>
      </c>
      <c r="F100" s="821">
        <v>30</v>
      </c>
    </row>
    <row r="101" spans="1:6" s="817" customFormat="1" ht="36">
      <c r="A101" s="821">
        <v>41</v>
      </c>
      <c r="B101" s="40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73" t="s">
        <v>708</v>
      </c>
      <c r="C105" s="821" t="s">
        <v>709</v>
      </c>
      <c r="D105" s="757" t="s">
        <v>710</v>
      </c>
      <c r="E105" s="834">
        <v>0.2</v>
      </c>
      <c r="F105" s="821">
        <v>30</v>
      </c>
    </row>
    <row r="106" spans="1:6" s="817" customFormat="1" ht="36">
      <c r="A106" s="821">
        <v>46</v>
      </c>
      <c r="B106" s="4073"/>
      <c r="C106" s="821" t="s">
        <v>711</v>
      </c>
      <c r="D106" s="757" t="s">
        <v>712</v>
      </c>
      <c r="E106" s="834">
        <v>0.2</v>
      </c>
      <c r="F106" s="821">
        <v>30</v>
      </c>
    </row>
    <row r="107" spans="1:6" s="817" customFormat="1" ht="36">
      <c r="A107" s="821">
        <v>47</v>
      </c>
      <c r="B107" s="4073" t="s">
        <v>713</v>
      </c>
      <c r="C107" s="821" t="s">
        <v>714</v>
      </c>
      <c r="D107" s="757" t="s">
        <v>715</v>
      </c>
      <c r="E107" s="834">
        <v>0.3</v>
      </c>
      <c r="F107" s="821">
        <v>50</v>
      </c>
    </row>
    <row r="108" spans="1:6" s="817" customFormat="1" ht="36">
      <c r="A108" s="821">
        <v>48</v>
      </c>
      <c r="B108" s="40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73" t="s">
        <v>724</v>
      </c>
      <c r="C111" s="821" t="s">
        <v>725</v>
      </c>
      <c r="D111" s="757" t="s">
        <v>726</v>
      </c>
      <c r="E111" s="834">
        <v>0.2</v>
      </c>
      <c r="F111" s="821">
        <v>30</v>
      </c>
    </row>
    <row r="112" spans="1:6" s="817" customFormat="1" ht="24">
      <c r="A112" s="821">
        <v>52</v>
      </c>
      <c r="B112" s="4073"/>
      <c r="C112" s="821" t="s">
        <v>727</v>
      </c>
      <c r="D112" s="757" t="s">
        <v>728</v>
      </c>
      <c r="E112" s="834">
        <v>0.2</v>
      </c>
      <c r="F112" s="821">
        <v>30</v>
      </c>
    </row>
    <row r="113" spans="1:6" s="817" customFormat="1" ht="24">
      <c r="A113" s="821">
        <v>53</v>
      </c>
      <c r="B113" s="40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73" t="s">
        <v>737</v>
      </c>
      <c r="C116" s="821" t="s">
        <v>738</v>
      </c>
      <c r="D116" s="757" t="s">
        <v>739</v>
      </c>
      <c r="E116" s="834">
        <v>0.2</v>
      </c>
      <c r="F116" s="821">
        <v>30</v>
      </c>
    </row>
    <row r="117" spans="1:6" ht="36">
      <c r="A117" s="821">
        <v>57</v>
      </c>
      <c r="B117" s="40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5"/>
      <c r="C2" s="3725"/>
      <c r="D2" s="3725"/>
      <c r="E2" s="3725"/>
    </row>
    <row r="3" spans="1:5" ht="18">
      <c r="A3" s="3726" t="str">
        <f>IF(项目基本情况!B9="房地产市场价值","估价结果一览表（市场价值不需“结果表-1”）","估价结果一览表")</f>
        <v>估价结果一览表（市场价值不需“结果表-1”）</v>
      </c>
      <c r="B3" s="3726"/>
      <c r="C3" s="3726"/>
      <c r="D3" s="3726"/>
      <c r="E3" s="3726"/>
    </row>
    <row r="4" spans="1:5" ht="19.5" thickBot="1">
      <c r="A4" s="1678"/>
      <c r="B4" s="3724" t="s">
        <v>1595</v>
      </c>
      <c r="C4" s="3724"/>
      <c r="D4" s="3724"/>
      <c r="E4" s="1678"/>
    </row>
    <row r="5" spans="1:5" ht="16.5" thickTop="1">
      <c r="A5" s="1676"/>
      <c r="B5" s="3722" t="s">
        <v>1587</v>
      </c>
      <c r="C5" s="1679" t="s">
        <v>1588</v>
      </c>
      <c r="D5" s="959">
        <f ca="1">结果表!H101</f>
        <v>1111</v>
      </c>
      <c r="E5" s="1676"/>
    </row>
    <row r="6" spans="1:5" ht="15.75">
      <c r="A6" s="1676"/>
      <c r="B6" s="3722"/>
      <c r="C6" s="1679" t="s">
        <v>1589</v>
      </c>
      <c r="D6" s="959" t="str">
        <f ca="1">NUMBERSTRING(INT(D5*10000),2)&amp;"元整"</f>
        <v>壹仟壹佰壹拾壹万元整</v>
      </c>
      <c r="E6" s="1676"/>
    </row>
    <row r="7" spans="1:5" ht="15.75">
      <c r="A7" s="1676"/>
      <c r="B7" s="3727"/>
      <c r="C7" s="1680" t="s">
        <v>1590</v>
      </c>
      <c r="D7" s="960">
        <f ca="1">结果表!H102</f>
        <v>35424</v>
      </c>
      <c r="E7" s="1676"/>
    </row>
    <row r="8" spans="1:5" ht="15.75">
      <c r="A8" s="1676"/>
      <c r="B8" s="3728" t="str">
        <f>结果表!E103</f>
        <v>2.估价师知悉的法定优先受偿款</v>
      </c>
      <c r="C8" s="1681" t="s">
        <v>1591</v>
      </c>
      <c r="D8" s="960">
        <f>结果表!H103</f>
        <v>0</v>
      </c>
      <c r="E8" s="1676"/>
    </row>
    <row r="9" spans="1:5" ht="15.75">
      <c r="A9" s="1676"/>
      <c r="B9" s="373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721" t="str">
        <f>结果表!E107</f>
        <v>——</v>
      </c>
      <c r="C13" s="1684" t="s">
        <v>1588</v>
      </c>
      <c r="D13" s="962" t="str">
        <f>结果表!H107</f>
        <v>——</v>
      </c>
      <c r="E13" s="1676"/>
    </row>
    <row r="14" spans="1:5" ht="15.75">
      <c r="A14" s="1676"/>
      <c r="B14" s="3722"/>
      <c r="C14" s="1679" t="s">
        <v>1589</v>
      </c>
      <c r="D14" s="959" t="e">
        <f>NUMBERSTRING(INT(D13*10000),2)&amp;"元整"</f>
        <v>#VALUE!</v>
      </c>
      <c r="E14" s="1676"/>
    </row>
    <row r="15" spans="1:5" ht="15">
      <c r="A15" s="1676"/>
      <c r="B15" s="3727"/>
      <c r="C15" s="1680" t="s">
        <v>1599</v>
      </c>
      <c r="D15" s="968" t="e">
        <f>结果表!H108</f>
        <v>#VALUE!</v>
      </c>
      <c r="E15" s="1676"/>
    </row>
    <row r="16" spans="1:5" ht="15">
      <c r="A16" s="1676"/>
      <c r="B16" s="3728" t="str">
        <f>结果表!E109</f>
        <v>3.抵押担保权已注销时的房地产抵押价值</v>
      </c>
      <c r="C16" s="1684" t="s">
        <v>1600</v>
      </c>
      <c r="D16" s="1685">
        <f ca="1">结果表!H109</f>
        <v>1111</v>
      </c>
      <c r="E16" s="1676"/>
    </row>
    <row r="17" spans="1:5" ht="15.75">
      <c r="A17" s="1676"/>
      <c r="B17" s="3729"/>
      <c r="C17" s="1679" t="s">
        <v>1601</v>
      </c>
      <c r="D17" s="959" t="str">
        <f ca="1">NUMBERSTRING(INT(D16*10000),2)&amp;"元整"</f>
        <v>壹仟壹佰壹拾壹万元整</v>
      </c>
      <c r="E17" s="1676"/>
    </row>
    <row r="18" spans="1:5" ht="15">
      <c r="A18" s="1676"/>
      <c r="B18" s="3730"/>
      <c r="C18" s="1680" t="s">
        <v>1590</v>
      </c>
      <c r="D18" s="968">
        <f ca="1">结果表!H110</f>
        <v>35424</v>
      </c>
      <c r="E18" s="1676"/>
    </row>
    <row r="19" spans="1:5" ht="15.75">
      <c r="A19" s="1676"/>
      <c r="B19" s="3721" t="str">
        <f>结果表!E111</f>
        <v>——</v>
      </c>
      <c r="C19" s="1684" t="s">
        <v>1588</v>
      </c>
      <c r="D19" s="960" t="str">
        <f>结果表!H111</f>
        <v>——</v>
      </c>
      <c r="E19" s="1676"/>
    </row>
    <row r="20" spans="1:5" ht="15.75">
      <c r="A20" s="1676"/>
      <c r="B20" s="3722"/>
      <c r="C20" s="1679" t="s">
        <v>1601</v>
      </c>
      <c r="D20" s="959" t="e">
        <f>NUMBERSTRING(INT(D19*10000),2)&amp;"元整"</f>
        <v>#VALUE!</v>
      </c>
      <c r="E20" s="1676"/>
    </row>
    <row r="21" spans="1:5" ht="15.75" thickBot="1">
      <c r="A21" s="1676"/>
      <c r="B21" s="372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79" t="s">
        <v>1117</v>
      </c>
      <c r="C1" s="4079"/>
      <c r="D1" s="4079"/>
      <c r="E1" s="4079"/>
      <c r="F1" s="4079"/>
      <c r="G1" s="4075" t="s">
        <v>1118</v>
      </c>
      <c r="H1" s="4075"/>
      <c r="I1" s="4075"/>
      <c r="J1" s="4075"/>
      <c r="K1" s="4075"/>
      <c r="L1" s="4075"/>
      <c r="N1" s="4075" t="s">
        <v>1119</v>
      </c>
      <c r="O1" s="4075"/>
      <c r="P1" s="4075"/>
      <c r="Q1" s="4075"/>
      <c r="S1" s="4075" t="s">
        <v>1120</v>
      </c>
      <c r="T1" s="4075"/>
      <c r="U1" s="4075"/>
      <c r="V1" s="4075"/>
      <c r="X1" s="4074" t="s">
        <v>1121</v>
      </c>
      <c r="Y1" s="4075"/>
      <c r="Z1" s="4075"/>
      <c r="AA1" s="4075"/>
      <c r="AB1" s="4075"/>
      <c r="AD1" s="4074" t="s">
        <v>1122</v>
      </c>
      <c r="AE1" s="4075"/>
      <c r="AF1" s="4075"/>
      <c r="AG1" s="4075"/>
      <c r="AH1" s="407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77">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77"/>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77"/>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84"/>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80">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77"/>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77"/>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84"/>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80">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77"/>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77"/>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78"/>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76">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77"/>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77"/>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78"/>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76">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77"/>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77"/>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78"/>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81">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82"/>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82"/>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83"/>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76">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77"/>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77"/>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78"/>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76">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77">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77">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78">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76">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77">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77">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78">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76">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77">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77">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78">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76">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77">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77">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78">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76">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77">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77">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78">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76">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77">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77">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78">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76">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77">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77">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78">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76">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77">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77">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78">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76">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77">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77">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78">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76">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77">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77">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78">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88" t="s">
        <v>2826</v>
      </c>
      <c r="D1" s="4089"/>
      <c r="E1" s="4089"/>
      <c r="F1" s="4089"/>
      <c r="G1" s="4089"/>
      <c r="H1" s="4089"/>
      <c r="I1" s="4089"/>
      <c r="J1" s="4089"/>
      <c r="K1" s="4089"/>
      <c r="L1" s="4089"/>
      <c r="M1" s="4089"/>
      <c r="N1" s="4089"/>
      <c r="O1" s="4089"/>
      <c r="P1" s="4089"/>
      <c r="Q1" s="4089"/>
      <c r="R1" s="4089"/>
      <c r="S1" s="4090"/>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85" t="s">
        <v>33</v>
      </c>
      <c r="D22" s="4086"/>
      <c r="E22" s="4086"/>
      <c r="F22" s="4086"/>
      <c r="G22" s="4086"/>
      <c r="H22" s="4086"/>
      <c r="I22" s="4086"/>
      <c r="J22" s="4086"/>
      <c r="K22" s="4086"/>
      <c r="L22" s="4086"/>
      <c r="M22" s="4086"/>
      <c r="N22" s="4086"/>
      <c r="O22" s="4086"/>
      <c r="P22" s="4086"/>
      <c r="Q22" s="4087"/>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28020</v>
      </c>
      <c r="C2" s="2" t="s">
        <v>133</v>
      </c>
      <c r="D2" s="205"/>
      <c r="E2" s="205"/>
      <c r="F2" s="205"/>
      <c r="G2" s="205"/>
    </row>
    <row r="3" spans="1:7" s="206" customFormat="1" ht="18" customHeight="1" thickBot="1">
      <c r="A3" s="209" t="s">
        <v>85</v>
      </c>
      <c r="B3" s="210">
        <f ca="1">ROUND(B2*10000/'数据-汇总表'!E3,0)</f>
        <v>893409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3185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3185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0.1</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313.63</v>
      </c>
      <c r="E37" s="255">
        <f>'数据-取费表'!B35</f>
        <v>100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945" t="s">
        <v>121</v>
      </c>
    </row>
    <row r="43" spans="1:7" ht="13.5" customHeight="1">
      <c r="A43" s="888" t="s">
        <v>792</v>
      </c>
      <c r="B43" s="221" t="s">
        <v>1032</v>
      </c>
      <c r="C43" s="244">
        <f ca="1">ROUND(IF('数据-取费表'!B22&lt;=1,C39*F22*'数据-取费表'!B21/2,C39*(POWER((1+F22),'数据-取费表'!B21/2)-1)),0)</f>
        <v>0</v>
      </c>
      <c r="D43" s="244"/>
      <c r="E43" s="244"/>
      <c r="F43" s="245"/>
      <c r="G43" s="3946"/>
    </row>
    <row r="44" spans="1:7" ht="13.5" customHeight="1">
      <c r="A44" s="888" t="s">
        <v>793</v>
      </c>
      <c r="B44" s="221" t="s">
        <v>1034</v>
      </c>
      <c r="C44" s="244">
        <f ca="1">ROUND(IF('数据-取费表'!B22&lt;=1,C40*F22*'数据-取费表'!B21/2,C40*(POWER((1+F22),'数据-取费表'!B21/2)-1)),4)</f>
        <v>5.0000000000000001E-4</v>
      </c>
      <c r="D44" s="244"/>
      <c r="E44" s="244"/>
      <c r="F44" s="245"/>
      <c r="G44" s="3947"/>
    </row>
    <row r="45" spans="1:7" s="220" customFormat="1" ht="13.5" customHeight="1">
      <c r="A45" s="885" t="s">
        <v>786</v>
      </c>
      <c r="B45" s="250" t="s">
        <v>112</v>
      </c>
      <c r="C45" s="251">
        <f>C46</f>
        <v>14</v>
      </c>
      <c r="D45" s="241">
        <f>C47</f>
        <v>3.8E-3</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94</v>
      </c>
      <c r="D51" s="238"/>
      <c r="E51" s="238"/>
      <c r="F51" s="270"/>
      <c r="G51" s="240" t="s">
        <v>64</v>
      </c>
    </row>
    <row r="52" spans="1:7" s="214" customFormat="1" ht="16.5" thickBot="1">
      <c r="A52" s="271" t="s">
        <v>65</v>
      </c>
      <c r="B52" s="272"/>
      <c r="C52" s="273">
        <f ca="1">C31+C51</f>
        <v>28020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91" t="s">
        <v>156</v>
      </c>
      <c r="B1" s="4091"/>
      <c r="C1" s="4091"/>
      <c r="D1" s="4091"/>
      <c r="E1" s="4091"/>
      <c r="F1" s="40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92" t="s">
        <v>169</v>
      </c>
      <c r="B2" s="4092"/>
      <c r="C2" s="4092"/>
      <c r="D2" s="4092"/>
      <c r="E2" s="4092"/>
      <c r="F2" s="40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91" t="s">
        <v>839</v>
      </c>
      <c r="B1" s="40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D259"/>
  <sheetViews>
    <sheetView view="pageBreakPreview" topLeftCell="A28"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3086</v>
      </c>
      <c r="B1" s="3061"/>
      <c r="C1" s="3062" t="s">
        <v>3087</v>
      </c>
      <c r="D1" s="3063" t="s">
        <v>3088</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3089</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3090</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3091</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3092</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3093</v>
      </c>
      <c r="B6" s="3090"/>
      <c r="C6" s="4123" t="s">
        <v>3094</v>
      </c>
      <c r="D6" s="4124"/>
      <c r="E6" s="4123" t="s">
        <v>3095</v>
      </c>
      <c r="F6" s="4124"/>
      <c r="G6" s="4123" t="s">
        <v>3096</v>
      </c>
      <c r="H6" s="4124"/>
      <c r="I6" s="4123" t="s">
        <v>3097</v>
      </c>
      <c r="J6" s="4124"/>
      <c r="K6" s="3091" t="s">
        <v>3098</v>
      </c>
      <c r="L6" s="3092"/>
      <c r="M6" s="3069"/>
      <c r="N6" s="3069"/>
      <c r="O6" s="3093"/>
      <c r="P6" s="4125" t="s">
        <v>3099</v>
      </c>
      <c r="Q6" s="4126"/>
      <c r="R6" s="4113" t="s">
        <v>3095</v>
      </c>
      <c r="S6" s="4114"/>
      <c r="T6" s="4113" t="s">
        <v>3096</v>
      </c>
      <c r="U6" s="4114"/>
      <c r="V6" s="4109" t="s">
        <v>3097</v>
      </c>
      <c r="W6" s="4109"/>
      <c r="X6" s="3094"/>
      <c r="Y6" s="4113" t="s">
        <v>3099</v>
      </c>
      <c r="Z6" s="4114"/>
      <c r="AA6" s="4119" t="s">
        <v>3095</v>
      </c>
      <c r="AB6" s="4120" t="s">
        <v>3096</v>
      </c>
      <c r="AC6" s="4119" t="s">
        <v>3097</v>
      </c>
    </row>
    <row r="7" spans="1:30" ht="36.75" customHeight="1">
      <c r="A7" s="3096"/>
      <c r="B7" s="3097"/>
      <c r="C7" s="4131" t="str">
        <f>[2]项目基本情况!F10</f>
        <v>爱丹路1709号101</v>
      </c>
      <c r="D7" s="4132"/>
      <c r="E7" s="4133" t="str">
        <f>'土地案例（延吉）'!A11</f>
        <v>延吉市开发区人民路北侧</v>
      </c>
      <c r="F7" s="4132"/>
      <c r="G7" s="4133" t="str">
        <f>'土地案例（延吉）'!A18</f>
        <v>延吉市北山街,延北路南侧、朝阳街西侧</v>
      </c>
      <c r="H7" s="4132"/>
      <c r="I7" s="4133" t="str">
        <f>'土地案例（延吉）'!A26</f>
        <v>延吉市小营镇民主村,公园路北侧(高铁变电所东侧)</v>
      </c>
      <c r="J7" s="4132"/>
      <c r="K7" s="3091"/>
      <c r="L7" s="3092"/>
      <c r="M7" s="3069"/>
      <c r="N7" s="3069"/>
      <c r="O7" s="3093"/>
      <c r="P7" s="4127"/>
      <c r="Q7" s="4128"/>
      <c r="R7" s="4115"/>
      <c r="S7" s="4116"/>
      <c r="T7" s="4115"/>
      <c r="U7" s="4116"/>
      <c r="V7" s="4109"/>
      <c r="W7" s="4109"/>
      <c r="X7" s="3094"/>
      <c r="Y7" s="4115"/>
      <c r="Z7" s="4116"/>
      <c r="AA7" s="4120"/>
      <c r="AB7" s="4120"/>
      <c r="AC7" s="4120"/>
    </row>
    <row r="8" spans="1:30" ht="21" thickBot="1">
      <c r="A8" s="3096"/>
      <c r="B8" s="3097"/>
      <c r="C8" s="4134" t="s">
        <v>3100</v>
      </c>
      <c r="D8" s="4135"/>
      <c r="E8" s="4134" t="s">
        <v>3100</v>
      </c>
      <c r="F8" s="4135"/>
      <c r="G8" s="4136" t="s">
        <v>3100</v>
      </c>
      <c r="H8" s="4137"/>
      <c r="I8" s="4136" t="s">
        <v>3100</v>
      </c>
      <c r="J8" s="4137"/>
      <c r="K8" s="3091" t="s">
        <v>3101</v>
      </c>
      <c r="L8" s="3092"/>
      <c r="M8" s="3069"/>
      <c r="N8" s="3069"/>
      <c r="O8" s="3093"/>
      <c r="P8" s="4129"/>
      <c r="Q8" s="4130"/>
      <c r="R8" s="4115"/>
      <c r="S8" s="4116"/>
      <c r="T8" s="4117"/>
      <c r="U8" s="4118"/>
      <c r="V8" s="4109"/>
      <c r="W8" s="4109"/>
      <c r="X8" s="3094"/>
      <c r="Y8" s="4117"/>
      <c r="Z8" s="4118"/>
      <c r="AA8" s="4121"/>
      <c r="AB8" s="4121"/>
      <c r="AC8" s="4121"/>
    </row>
    <row r="9" spans="1:30" s="3112" customFormat="1" ht="21" thickBot="1">
      <c r="A9" s="3098"/>
      <c r="B9" s="3099" t="s">
        <v>3102</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110" t="s">
        <v>3103</v>
      </c>
      <c r="Q9" s="4122"/>
      <c r="R9" s="3108" t="s">
        <v>3104</v>
      </c>
      <c r="S9" s="3109">
        <f t="shared" ref="S9:S17" si="0">F9</f>
        <v>100</v>
      </c>
      <c r="T9" s="3108" t="s">
        <v>3104</v>
      </c>
      <c r="U9" s="3109">
        <f t="shared" ref="U9:U17" si="1">H9</f>
        <v>100</v>
      </c>
      <c r="V9" s="3108" t="s">
        <v>3104</v>
      </c>
      <c r="W9" s="3109">
        <f t="shared" ref="W9:W17" si="2">J9</f>
        <v>100</v>
      </c>
      <c r="X9" s="3110"/>
      <c r="Y9" s="4110" t="s">
        <v>3103</v>
      </c>
      <c r="Z9" s="4111"/>
      <c r="AA9" s="3111">
        <f>D9/F9</f>
        <v>1</v>
      </c>
      <c r="AB9" s="3111">
        <f>D9/H9</f>
        <v>1</v>
      </c>
      <c r="AC9" s="3111">
        <f>D9/J9</f>
        <v>1</v>
      </c>
    </row>
    <row r="10" spans="1:30" s="3112" customFormat="1" ht="21" thickBot="1">
      <c r="A10" s="3113"/>
      <c r="B10" s="3114" t="s">
        <v>3105</v>
      </c>
      <c r="C10" s="3115" t="s">
        <v>3106</v>
      </c>
      <c r="D10" s="3101">
        <v>100</v>
      </c>
      <c r="E10" s="3116" t="s">
        <v>3107</v>
      </c>
      <c r="F10" s="3103">
        <f>SUMIF(75:75,E10,76:76)-SUMIF(75:75,C10,76:76)+100</f>
        <v>100</v>
      </c>
      <c r="G10" s="3116" t="s">
        <v>3107</v>
      </c>
      <c r="H10" s="3101">
        <f>SUMIF(75:75,G10,76:76)-SUMIF(75:75,C10,76:76)+100</f>
        <v>100</v>
      </c>
      <c r="I10" s="3116" t="s">
        <v>3107</v>
      </c>
      <c r="J10" s="3101">
        <f>SUMIF(75:75,I10,76:76)-SUMIF(75:75,C10,76:76)+100</f>
        <v>100</v>
      </c>
      <c r="K10" s="3105"/>
      <c r="L10" s="3106"/>
      <c r="M10" s="3069"/>
      <c r="N10" s="3069"/>
      <c r="O10" s="3107"/>
      <c r="P10" s="4110" t="s">
        <v>3108</v>
      </c>
      <c r="Q10" s="4111"/>
      <c r="R10" s="3108" t="s">
        <v>3104</v>
      </c>
      <c r="S10" s="3109">
        <f t="shared" si="0"/>
        <v>100</v>
      </c>
      <c r="T10" s="3108" t="s">
        <v>3104</v>
      </c>
      <c r="U10" s="3109">
        <f t="shared" si="1"/>
        <v>100</v>
      </c>
      <c r="V10" s="3108" t="s">
        <v>3104</v>
      </c>
      <c r="W10" s="3109">
        <f t="shared" si="2"/>
        <v>100</v>
      </c>
      <c r="X10" s="3110"/>
      <c r="Y10" s="4110" t="s">
        <v>3108</v>
      </c>
      <c r="Z10" s="4111"/>
      <c r="AA10" s="3111">
        <f t="shared" ref="AA10:AA47" si="3">D10/F10</f>
        <v>1</v>
      </c>
      <c r="AB10" s="3111">
        <f t="shared" ref="AB10:AB47" si="4">D10/H10</f>
        <v>1</v>
      </c>
      <c r="AC10" s="3111">
        <f t="shared" ref="AC10:AC47" si="5">D10/J10</f>
        <v>1</v>
      </c>
    </row>
    <row r="11" spans="1:30" s="3112" customFormat="1" ht="20.25">
      <c r="A11" s="3117"/>
      <c r="B11" s="3118" t="s">
        <v>3109</v>
      </c>
      <c r="C11" s="3119" t="s">
        <v>3110</v>
      </c>
      <c r="D11" s="3120">
        <v>100</v>
      </c>
      <c r="E11" s="3121" t="s">
        <v>3110</v>
      </c>
      <c r="F11" s="3120">
        <f>SUMIF(77:77,E11,78:78)-SUMIF(77:77,C11,78:78)+100</f>
        <v>100</v>
      </c>
      <c r="G11" s="3121" t="s">
        <v>3110</v>
      </c>
      <c r="H11" s="3120">
        <f>SUMIF(77:77,G11,78:78)-SUMIF(77:77,C11,78:78)+100</f>
        <v>100</v>
      </c>
      <c r="I11" s="3121" t="s">
        <v>3111</v>
      </c>
      <c r="J11" s="3120">
        <f>SUMIF(77:77,I11,78:78)-SUMIF(77:77,C11,78:78)+100</f>
        <v>100</v>
      </c>
      <c r="K11" s="3105"/>
      <c r="L11" s="3106"/>
      <c r="M11" s="3069"/>
      <c r="N11" s="3069"/>
      <c r="O11" s="3122"/>
      <c r="P11" s="4100" t="s">
        <v>3112</v>
      </c>
      <c r="Q11" s="3123" t="str">
        <f t="shared" ref="Q11:Q17" si="6">B11</f>
        <v>用途</v>
      </c>
      <c r="R11" s="3108" t="s">
        <v>3104</v>
      </c>
      <c r="S11" s="3109">
        <f t="shared" si="0"/>
        <v>100</v>
      </c>
      <c r="T11" s="3108" t="s">
        <v>3104</v>
      </c>
      <c r="U11" s="3109">
        <f t="shared" si="1"/>
        <v>100</v>
      </c>
      <c r="V11" s="3108" t="s">
        <v>3104</v>
      </c>
      <c r="W11" s="3109">
        <f t="shared" si="2"/>
        <v>100</v>
      </c>
      <c r="X11" s="3110"/>
      <c r="Y11" s="4112" t="s">
        <v>3113</v>
      </c>
      <c r="Z11" s="3124" t="str">
        <f t="shared" ref="Z11:Z17" si="7">Q11</f>
        <v>用途</v>
      </c>
      <c r="AA11" s="3111">
        <f t="shared" si="3"/>
        <v>1</v>
      </c>
      <c r="AB11" s="3111">
        <f t="shared" si="4"/>
        <v>1</v>
      </c>
      <c r="AC11" s="3111">
        <f t="shared" si="5"/>
        <v>1</v>
      </c>
    </row>
    <row r="12" spans="1:30" s="3133" customFormat="1" ht="27">
      <c r="A12" s="3125"/>
      <c r="B12" s="3114" t="s">
        <v>3114</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100"/>
      <c r="Q12" s="3123" t="str">
        <f t="shared" si="6"/>
        <v>土地使用年限（年）</v>
      </c>
      <c r="R12" s="3108" t="s">
        <v>3104</v>
      </c>
      <c r="S12" s="3109">
        <f t="shared" si="0"/>
        <v>100</v>
      </c>
      <c r="T12" s="3108" t="s">
        <v>3104</v>
      </c>
      <c r="U12" s="3109">
        <f t="shared" si="1"/>
        <v>100</v>
      </c>
      <c r="V12" s="3108" t="s">
        <v>3104</v>
      </c>
      <c r="W12" s="3109">
        <f t="shared" si="2"/>
        <v>100</v>
      </c>
      <c r="X12" s="3110"/>
      <c r="Y12" s="4112"/>
      <c r="Z12" s="3124" t="str">
        <f t="shared" si="7"/>
        <v>土地使用年限（年）</v>
      </c>
      <c r="AA12" s="3111">
        <f t="shared" si="3"/>
        <v>1</v>
      </c>
      <c r="AB12" s="3111">
        <f t="shared" si="4"/>
        <v>1</v>
      </c>
      <c r="AC12" s="3111">
        <f t="shared" si="5"/>
        <v>1</v>
      </c>
    </row>
    <row r="13" spans="1:30" ht="20.25">
      <c r="A13" s="3134"/>
      <c r="B13" s="3114" t="s">
        <v>3115</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100"/>
      <c r="Q13" s="3123" t="str">
        <f t="shared" si="6"/>
        <v>容积率</v>
      </c>
      <c r="R13" s="3108" t="s">
        <v>3104</v>
      </c>
      <c r="S13" s="3109">
        <f t="shared" si="0"/>
        <v>100</v>
      </c>
      <c r="T13" s="3108" t="s">
        <v>3104</v>
      </c>
      <c r="U13" s="3109">
        <f t="shared" si="1"/>
        <v>100</v>
      </c>
      <c r="V13" s="3108" t="s">
        <v>3104</v>
      </c>
      <c r="W13" s="3109">
        <f t="shared" si="2"/>
        <v>100</v>
      </c>
      <c r="X13" s="3110"/>
      <c r="Y13" s="4112"/>
      <c r="Z13" s="3124" t="str">
        <f t="shared" si="7"/>
        <v>容积率</v>
      </c>
      <c r="AA13" s="3111">
        <f t="shared" si="3"/>
        <v>1</v>
      </c>
      <c r="AB13" s="3111">
        <f t="shared" si="4"/>
        <v>1</v>
      </c>
      <c r="AC13" s="3111">
        <f t="shared" si="5"/>
        <v>1</v>
      </c>
    </row>
    <row r="14" spans="1:30" s="3112" customFormat="1" ht="20.25">
      <c r="A14" s="3113"/>
      <c r="B14" s="3140" t="s">
        <v>3116</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100"/>
      <c r="Q14" s="3123" t="str">
        <f t="shared" si="6"/>
        <v>配建</v>
      </c>
      <c r="R14" s="3108" t="s">
        <v>3104</v>
      </c>
      <c r="S14" s="3109">
        <f t="shared" si="0"/>
        <v>100</v>
      </c>
      <c r="T14" s="3108" t="s">
        <v>3104</v>
      </c>
      <c r="U14" s="3109">
        <f t="shared" si="1"/>
        <v>100</v>
      </c>
      <c r="V14" s="3108" t="s">
        <v>3104</v>
      </c>
      <c r="W14" s="3109">
        <f t="shared" si="2"/>
        <v>100</v>
      </c>
      <c r="X14" s="3110"/>
      <c r="Y14" s="4112"/>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100"/>
      <c r="Q15" s="3123">
        <f t="shared" si="6"/>
        <v>111</v>
      </c>
      <c r="R15" s="3108" t="s">
        <v>3104</v>
      </c>
      <c r="S15" s="3109">
        <f t="shared" si="0"/>
        <v>100</v>
      </c>
      <c r="T15" s="3108" t="s">
        <v>3104</v>
      </c>
      <c r="U15" s="3109">
        <f t="shared" si="1"/>
        <v>100</v>
      </c>
      <c r="V15" s="3108" t="s">
        <v>3104</v>
      </c>
      <c r="W15" s="3109">
        <f t="shared" si="2"/>
        <v>100</v>
      </c>
      <c r="X15" s="3110"/>
      <c r="Y15" s="4112"/>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100"/>
      <c r="Q16" s="3123">
        <f t="shared" si="6"/>
        <v>111</v>
      </c>
      <c r="R16" s="3108" t="s">
        <v>3104</v>
      </c>
      <c r="S16" s="3109">
        <f t="shared" si="0"/>
        <v>100</v>
      </c>
      <c r="T16" s="3108" t="s">
        <v>3104</v>
      </c>
      <c r="U16" s="3109">
        <f t="shared" si="1"/>
        <v>100</v>
      </c>
      <c r="V16" s="3108" t="s">
        <v>3104</v>
      </c>
      <c r="W16" s="3109">
        <f t="shared" si="2"/>
        <v>100</v>
      </c>
      <c r="X16" s="3110"/>
      <c r="Y16" s="4112"/>
      <c r="Z16" s="3124">
        <f t="shared" si="7"/>
        <v>111</v>
      </c>
      <c r="AA16" s="3111">
        <f>D16/F16</f>
        <v>1</v>
      </c>
      <c r="AB16" s="3111">
        <f>D16/H16</f>
        <v>1</v>
      </c>
      <c r="AC16" s="3111">
        <f>D16/J16</f>
        <v>1</v>
      </c>
    </row>
    <row r="17" spans="1:29" ht="99.75">
      <c r="A17" s="3155" t="s">
        <v>3117</v>
      </c>
      <c r="B17" s="3156" t="s">
        <v>3118</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102" t="s">
        <v>3119</v>
      </c>
      <c r="Q17" s="3162" t="str">
        <f t="shared" si="6"/>
        <v>居住社区成熟度</v>
      </c>
      <c r="R17" s="3163" t="s">
        <v>3104</v>
      </c>
      <c r="S17" s="3164">
        <f t="shared" si="0"/>
        <v>100</v>
      </c>
      <c r="T17" s="3163" t="s">
        <v>3104</v>
      </c>
      <c r="U17" s="3164">
        <f t="shared" si="1"/>
        <v>100</v>
      </c>
      <c r="V17" s="3163" t="s">
        <v>3104</v>
      </c>
      <c r="W17" s="3164">
        <f t="shared" si="2"/>
        <v>100</v>
      </c>
      <c r="X17" s="3094"/>
      <c r="Y17" s="4102" t="s">
        <v>3119</v>
      </c>
      <c r="Z17" s="3165" t="str">
        <f t="shared" si="7"/>
        <v>居住社区成熟度</v>
      </c>
      <c r="AA17" s="3166">
        <f t="shared" si="3"/>
        <v>1</v>
      </c>
      <c r="AB17" s="3166">
        <f t="shared" si="4"/>
        <v>1</v>
      </c>
      <c r="AC17" s="3166">
        <f t="shared" si="5"/>
        <v>1</v>
      </c>
    </row>
    <row r="18" spans="1:29" ht="20.25">
      <c r="A18" s="3167"/>
      <c r="B18" s="3168"/>
      <c r="C18" s="3169" t="s">
        <v>3120</v>
      </c>
      <c r="D18" s="3170"/>
      <c r="E18" s="3171" t="s">
        <v>3120</v>
      </c>
      <c r="F18" s="3172"/>
      <c r="G18" s="3173" t="s">
        <v>3120</v>
      </c>
      <c r="H18" s="3174"/>
      <c r="I18" s="3171" t="s">
        <v>3120</v>
      </c>
      <c r="J18" s="3172"/>
      <c r="K18" s="3130"/>
      <c r="L18" s="3150"/>
      <c r="M18" s="3069"/>
      <c r="N18" s="3069"/>
      <c r="O18" s="3139"/>
      <c r="P18" s="4103"/>
      <c r="Q18" s="3162"/>
      <c r="R18" s="3163"/>
      <c r="S18" s="3164"/>
      <c r="T18" s="3163"/>
      <c r="U18" s="3164"/>
      <c r="V18" s="3163"/>
      <c r="W18" s="3164"/>
      <c r="X18" s="3094"/>
      <c r="Y18" s="4103"/>
      <c r="Z18" s="3165"/>
      <c r="AA18" s="3166">
        <v>1</v>
      </c>
      <c r="AB18" s="3166">
        <v>1</v>
      </c>
      <c r="AC18" s="3166">
        <v>1</v>
      </c>
    </row>
    <row r="19" spans="1:29" ht="71.25">
      <c r="A19" s="3167"/>
      <c r="B19" s="3175" t="s">
        <v>3122</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103"/>
      <c r="Q19" s="3162" t="str">
        <f>B19</f>
        <v>商业繁华度</v>
      </c>
      <c r="R19" s="3163" t="s">
        <v>3104</v>
      </c>
      <c r="S19" s="3164">
        <f>F19</f>
        <v>98</v>
      </c>
      <c r="T19" s="3163" t="s">
        <v>3104</v>
      </c>
      <c r="U19" s="3164">
        <f>H19</f>
        <v>98</v>
      </c>
      <c r="V19" s="3163" t="s">
        <v>3104</v>
      </c>
      <c r="W19" s="3164">
        <f>J19</f>
        <v>98</v>
      </c>
      <c r="X19" s="3094"/>
      <c r="Y19" s="4103"/>
      <c r="Z19" s="3165" t="str">
        <f>Q19</f>
        <v>商业繁华度</v>
      </c>
      <c r="AA19" s="3166">
        <f t="shared" si="3"/>
        <v>1.0204081632653061</v>
      </c>
      <c r="AB19" s="3166">
        <f t="shared" si="4"/>
        <v>1.0204081632653061</v>
      </c>
      <c r="AC19" s="3166">
        <f t="shared" si="5"/>
        <v>1.0204081632653061</v>
      </c>
    </row>
    <row r="20" spans="1:29" ht="20.25">
      <c r="A20" s="3167"/>
      <c r="B20" s="3181"/>
      <c r="C20" s="3182" t="s">
        <v>3120</v>
      </c>
      <c r="D20" s="3177"/>
      <c r="E20" s="3183" t="s">
        <v>3121</v>
      </c>
      <c r="F20" s="3174"/>
      <c r="G20" s="3184" t="s">
        <v>3121</v>
      </c>
      <c r="H20" s="3172"/>
      <c r="I20" s="3183" t="s">
        <v>3121</v>
      </c>
      <c r="J20" s="3172"/>
      <c r="K20" s="3130"/>
      <c r="L20" s="3150"/>
      <c r="M20" s="3069"/>
      <c r="N20" s="3069"/>
      <c r="O20" s="3139"/>
      <c r="P20" s="4103"/>
      <c r="Q20" s="3162"/>
      <c r="R20" s="3163"/>
      <c r="S20" s="3164"/>
      <c r="T20" s="3163"/>
      <c r="U20" s="3164"/>
      <c r="V20" s="3163"/>
      <c r="W20" s="3164"/>
      <c r="X20" s="3094"/>
      <c r="Y20" s="4103"/>
      <c r="Z20" s="3165"/>
      <c r="AA20" s="3166">
        <v>1</v>
      </c>
      <c r="AB20" s="3166">
        <v>1</v>
      </c>
      <c r="AC20" s="3166">
        <v>1</v>
      </c>
    </row>
    <row r="21" spans="1:29" ht="71.25" hidden="1">
      <c r="A21" s="3167"/>
      <c r="B21" s="3175" t="s">
        <v>3123</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103"/>
      <c r="Q21" s="3162" t="str">
        <f>B21</f>
        <v>办公集聚程度</v>
      </c>
      <c r="R21" s="3163" t="s">
        <v>3104</v>
      </c>
      <c r="S21" s="3164">
        <f>F21</f>
        <v>100</v>
      </c>
      <c r="T21" s="3163" t="s">
        <v>3104</v>
      </c>
      <c r="U21" s="3164">
        <f>H21</f>
        <v>100</v>
      </c>
      <c r="V21" s="3163" t="s">
        <v>3104</v>
      </c>
      <c r="W21" s="3164">
        <f>J21</f>
        <v>100</v>
      </c>
      <c r="X21" s="3094"/>
      <c r="Y21" s="4103"/>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103"/>
      <c r="Q22" s="3162"/>
      <c r="R22" s="3163"/>
      <c r="S22" s="3164"/>
      <c r="T22" s="3163"/>
      <c r="U22" s="3164"/>
      <c r="V22" s="3163"/>
      <c r="W22" s="3164"/>
      <c r="X22" s="3094"/>
      <c r="Y22" s="4103"/>
      <c r="Z22" s="3165"/>
      <c r="AA22" s="3166">
        <v>1</v>
      </c>
      <c r="AB22" s="3166">
        <v>1</v>
      </c>
      <c r="AC22" s="3166">
        <v>1</v>
      </c>
    </row>
    <row r="23" spans="1:29" ht="85.5">
      <c r="A23" s="3167"/>
      <c r="B23" s="3175" t="s">
        <v>3124</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103"/>
      <c r="Q23" s="3162" t="str">
        <f>B23</f>
        <v>交通便捷度</v>
      </c>
      <c r="R23" s="3163" t="s">
        <v>3104</v>
      </c>
      <c r="S23" s="3164">
        <f>F23</f>
        <v>100</v>
      </c>
      <c r="T23" s="3163" t="s">
        <v>3104</v>
      </c>
      <c r="U23" s="3164">
        <f>H23</f>
        <v>100</v>
      </c>
      <c r="V23" s="3163" t="s">
        <v>3104</v>
      </c>
      <c r="W23" s="3164">
        <f>J23</f>
        <v>100</v>
      </c>
      <c r="X23" s="3094"/>
      <c r="Y23" s="4103"/>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103"/>
      <c r="Q24" s="3162"/>
      <c r="R24" s="3163"/>
      <c r="S24" s="3164"/>
      <c r="T24" s="3163"/>
      <c r="U24" s="3164"/>
      <c r="V24" s="3163"/>
      <c r="W24" s="3164"/>
      <c r="X24" s="3094"/>
      <c r="Y24" s="4103"/>
      <c r="Z24" s="3165"/>
      <c r="AA24" s="3166">
        <v>1</v>
      </c>
      <c r="AB24" s="3166">
        <v>1</v>
      </c>
      <c r="AC24" s="3166">
        <v>1</v>
      </c>
    </row>
    <row r="25" spans="1:29" ht="27">
      <c r="A25" s="3096"/>
      <c r="B25" s="3189" t="s">
        <v>3125</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103"/>
      <c r="Q25" s="3162" t="str">
        <f t="shared" ref="Q25:Q39" si="8">B25</f>
        <v>区域土地利用方向</v>
      </c>
      <c r="R25" s="3163" t="s">
        <v>3104</v>
      </c>
      <c r="S25" s="3164">
        <f>F25</f>
        <v>100</v>
      </c>
      <c r="T25" s="3163" t="s">
        <v>3104</v>
      </c>
      <c r="U25" s="3164">
        <f>H25</f>
        <v>100</v>
      </c>
      <c r="V25" s="3163" t="s">
        <v>3104</v>
      </c>
      <c r="W25" s="3164">
        <f>J25</f>
        <v>100</v>
      </c>
      <c r="X25" s="3094"/>
      <c r="Y25" s="4103"/>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103"/>
      <c r="Q26" s="3162"/>
      <c r="R26" s="3163"/>
      <c r="S26" s="3164"/>
      <c r="T26" s="3163"/>
      <c r="U26" s="3164"/>
      <c r="V26" s="3163"/>
      <c r="W26" s="3164"/>
      <c r="X26" s="3094"/>
      <c r="Y26" s="4103"/>
      <c r="Z26" s="3165"/>
      <c r="AA26" s="3166"/>
      <c r="AB26" s="3166"/>
      <c r="AC26" s="3166"/>
    </row>
    <row r="27" spans="1:29" ht="57">
      <c r="A27" s="3096"/>
      <c r="B27" s="3156" t="s">
        <v>3126</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103"/>
      <c r="Q27" s="3162" t="str">
        <f t="shared" si="8"/>
        <v>自然及人文环境状况</v>
      </c>
      <c r="R27" s="3163" t="s">
        <v>3104</v>
      </c>
      <c r="S27" s="3164">
        <f>F27</f>
        <v>100</v>
      </c>
      <c r="T27" s="3163" t="s">
        <v>3104</v>
      </c>
      <c r="U27" s="3164">
        <f>H27</f>
        <v>102</v>
      </c>
      <c r="V27" s="3163" t="s">
        <v>3104</v>
      </c>
      <c r="W27" s="3164">
        <f>J27</f>
        <v>100</v>
      </c>
      <c r="X27" s="3094"/>
      <c r="Y27" s="4103"/>
      <c r="Z27" s="3165" t="str">
        <f>Q27</f>
        <v>自然及人文环境状况</v>
      </c>
      <c r="AA27" s="3166">
        <f t="shared" si="3"/>
        <v>1</v>
      </c>
      <c r="AB27" s="3166">
        <f t="shared" si="4"/>
        <v>0.98039215686274506</v>
      </c>
      <c r="AC27" s="3166">
        <f t="shared" si="5"/>
        <v>1</v>
      </c>
    </row>
    <row r="28" spans="1:29" ht="20.25">
      <c r="A28" s="3096"/>
      <c r="B28" s="3181"/>
      <c r="C28" s="3169" t="s">
        <v>3121</v>
      </c>
      <c r="D28" s="3170"/>
      <c r="E28" s="3191" t="s">
        <v>3121</v>
      </c>
      <c r="F28" s="3172"/>
      <c r="G28" s="3169" t="s">
        <v>3120</v>
      </c>
      <c r="H28" s="3172"/>
      <c r="I28" s="3191" t="s">
        <v>3121</v>
      </c>
      <c r="J28" s="3172"/>
      <c r="K28" s="3130"/>
      <c r="L28" s="3150"/>
      <c r="M28" s="3069"/>
      <c r="N28" s="3069"/>
      <c r="O28" s="3139"/>
      <c r="P28" s="4103"/>
      <c r="Q28" s="3162"/>
      <c r="R28" s="3163"/>
      <c r="S28" s="3164"/>
      <c r="T28" s="3163"/>
      <c r="U28" s="3164"/>
      <c r="V28" s="3163"/>
      <c r="W28" s="3164"/>
      <c r="X28" s="3094"/>
      <c r="Y28" s="4103"/>
      <c r="Z28" s="3165"/>
      <c r="AA28" s="3166">
        <v>1</v>
      </c>
      <c r="AB28" s="3166">
        <v>1</v>
      </c>
      <c r="AC28" s="3166">
        <v>1</v>
      </c>
    </row>
    <row r="29" spans="1:29" s="3112" customFormat="1" ht="42.75">
      <c r="A29" s="3192"/>
      <c r="B29" s="3193" t="s">
        <v>3127</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103"/>
      <c r="Q29" s="3123" t="str">
        <f t="shared" si="8"/>
        <v>公共配套设施</v>
      </c>
      <c r="R29" s="3108" t="s">
        <v>3104</v>
      </c>
      <c r="S29" s="3109">
        <f>F29</f>
        <v>100</v>
      </c>
      <c r="T29" s="3108" t="s">
        <v>3104</v>
      </c>
      <c r="U29" s="3109">
        <f>H29</f>
        <v>100</v>
      </c>
      <c r="V29" s="3108" t="s">
        <v>3104</v>
      </c>
      <c r="W29" s="3109">
        <f>J29</f>
        <v>100</v>
      </c>
      <c r="X29" s="3110"/>
      <c r="Y29" s="4103"/>
      <c r="Z29" s="3124" t="str">
        <f>Q29</f>
        <v>公共配套设施</v>
      </c>
      <c r="AA29" s="3166">
        <f>D29/F29</f>
        <v>1</v>
      </c>
      <c r="AB29" s="3166">
        <f>D29/H29</f>
        <v>1</v>
      </c>
      <c r="AC29" s="3166">
        <f>D29/J29</f>
        <v>1</v>
      </c>
    </row>
    <row r="30" spans="1:29" s="3112" customFormat="1" ht="20.25">
      <c r="A30" s="3192"/>
      <c r="B30" s="3181"/>
      <c r="C30" s="3194" t="s">
        <v>3120</v>
      </c>
      <c r="D30" s="3170"/>
      <c r="E30" s="3191" t="s">
        <v>3120</v>
      </c>
      <c r="F30" s="3172"/>
      <c r="G30" s="3169" t="s">
        <v>3120</v>
      </c>
      <c r="H30" s="3172"/>
      <c r="I30" s="3191" t="s">
        <v>3120</v>
      </c>
      <c r="J30" s="3172"/>
      <c r="K30" s="3130"/>
      <c r="L30" s="3106"/>
      <c r="M30" s="3069"/>
      <c r="N30" s="3069"/>
      <c r="O30" s="3122"/>
      <c r="P30" s="4103"/>
      <c r="Q30" s="3123"/>
      <c r="R30" s="3108"/>
      <c r="S30" s="3109"/>
      <c r="T30" s="3108"/>
      <c r="U30" s="3109"/>
      <c r="V30" s="3108"/>
      <c r="W30" s="3109"/>
      <c r="X30" s="3110"/>
      <c r="Y30" s="4103"/>
      <c r="Z30" s="3124"/>
      <c r="AA30" s="3166">
        <v>1</v>
      </c>
      <c r="AB30" s="3166">
        <v>1</v>
      </c>
      <c r="AC30" s="3166">
        <v>1</v>
      </c>
    </row>
    <row r="31" spans="1:29" s="3112" customFormat="1" ht="28.5">
      <c r="A31" s="3192"/>
      <c r="B31" s="3193" t="s">
        <v>3128</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103"/>
      <c r="Q31" s="3123" t="str">
        <f t="shared" ref="Q31" si="9">B31</f>
        <v>基础设施水平</v>
      </c>
      <c r="R31" s="3108" t="s">
        <v>3104</v>
      </c>
      <c r="S31" s="3109">
        <f>F31</f>
        <v>100</v>
      </c>
      <c r="T31" s="3108" t="s">
        <v>3104</v>
      </c>
      <c r="U31" s="3109">
        <f>H31</f>
        <v>100</v>
      </c>
      <c r="V31" s="3108" t="s">
        <v>3104</v>
      </c>
      <c r="W31" s="3109">
        <f>J31</f>
        <v>100</v>
      </c>
      <c r="X31" s="3110"/>
      <c r="Y31" s="4103"/>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103"/>
      <c r="Q32" s="3123"/>
      <c r="R32" s="3108"/>
      <c r="S32" s="3109"/>
      <c r="T32" s="3108"/>
      <c r="U32" s="3109"/>
      <c r="V32" s="3108"/>
      <c r="W32" s="3109"/>
      <c r="X32" s="3110"/>
      <c r="Y32" s="4103"/>
      <c r="Z32" s="3124"/>
      <c r="AA32" s="3166">
        <v>1</v>
      </c>
      <c r="AB32" s="3166">
        <v>1</v>
      </c>
      <c r="AC32" s="3166">
        <v>1</v>
      </c>
    </row>
    <row r="33" spans="1:29" ht="20.25">
      <c r="A33" s="3167"/>
      <c r="B33" s="3181" t="s">
        <v>3129</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103"/>
      <c r="Q33" s="3162" t="str">
        <f t="shared" si="8"/>
        <v>临街状况</v>
      </c>
      <c r="R33" s="3163" t="s">
        <v>3104</v>
      </c>
      <c r="S33" s="3164">
        <f t="shared" ref="S33:S47" si="10">F33</f>
        <v>100</v>
      </c>
      <c r="T33" s="3163" t="s">
        <v>3104</v>
      </c>
      <c r="U33" s="3164">
        <f t="shared" ref="U33:U47" si="11">H33</f>
        <v>100</v>
      </c>
      <c r="V33" s="3163" t="s">
        <v>3104</v>
      </c>
      <c r="W33" s="3164">
        <f t="shared" ref="W33:W47" si="12">J33</f>
        <v>100</v>
      </c>
      <c r="X33" s="3094"/>
      <c r="Y33" s="4103"/>
      <c r="Z33" s="3165" t="str">
        <f t="shared" ref="Z33:Z47" si="13">Q33</f>
        <v>临街状况</v>
      </c>
      <c r="AA33" s="3166">
        <f t="shared" si="3"/>
        <v>1</v>
      </c>
      <c r="AB33" s="3166">
        <f t="shared" si="4"/>
        <v>1</v>
      </c>
      <c r="AC33" s="3166">
        <f t="shared" si="5"/>
        <v>1</v>
      </c>
    </row>
    <row r="34" spans="1:29" ht="27">
      <c r="A34" s="3167"/>
      <c r="B34" s="3156" t="s">
        <v>3130</v>
      </c>
      <c r="C34" s="3199" t="s">
        <v>3131</v>
      </c>
      <c r="D34" s="3177">
        <v>100</v>
      </c>
      <c r="E34" s="3200" t="s">
        <v>3132</v>
      </c>
      <c r="F34" s="3174">
        <f>SUMIF(108:108,E35,109:109)-SUMIF(108:108,C35,109:109)+100</f>
        <v>98</v>
      </c>
      <c r="G34" s="3199" t="s">
        <v>3133</v>
      </c>
      <c r="H34" s="3174">
        <f>SUMIF(108:108,G35,109:109)-SUMIF(108:108,C35,109:109)+100</f>
        <v>98</v>
      </c>
      <c r="I34" s="3200" t="s">
        <v>3134</v>
      </c>
      <c r="J34" s="3174">
        <f>SUMIF(108:108,I35,109:109)-SUMIF(108:108,C35,109:109)+100</f>
        <v>98</v>
      </c>
      <c r="K34" s="3137">
        <v>2</v>
      </c>
      <c r="L34" s="3150"/>
      <c r="M34" s="3069"/>
      <c r="N34" s="3069"/>
      <c r="O34" s="3139"/>
      <c r="P34" s="4103"/>
      <c r="Q34" s="3162" t="str">
        <f t="shared" si="8"/>
        <v>毗邻道路的类型与等级</v>
      </c>
      <c r="R34" s="3163" t="s">
        <v>3104</v>
      </c>
      <c r="S34" s="3164">
        <f t="shared" si="10"/>
        <v>98</v>
      </c>
      <c r="T34" s="3163" t="s">
        <v>3104</v>
      </c>
      <c r="U34" s="3164">
        <f t="shared" si="11"/>
        <v>98</v>
      </c>
      <c r="V34" s="3163" t="s">
        <v>3104</v>
      </c>
      <c r="W34" s="3164">
        <f t="shared" si="12"/>
        <v>98</v>
      </c>
      <c r="X34" s="3094"/>
      <c r="Y34" s="4103"/>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3135</v>
      </c>
      <c r="D35" s="3170"/>
      <c r="E35" s="3191" t="s">
        <v>3136</v>
      </c>
      <c r="F35" s="3172"/>
      <c r="G35" s="3169" t="s">
        <v>3136</v>
      </c>
      <c r="H35" s="3172"/>
      <c r="I35" s="3191" t="s">
        <v>3136</v>
      </c>
      <c r="J35" s="3172"/>
      <c r="K35" s="3201"/>
      <c r="L35" s="3150"/>
      <c r="M35" s="3069"/>
      <c r="N35" s="3069"/>
      <c r="O35" s="3139"/>
      <c r="P35" s="4103"/>
      <c r="Q35" s="3162"/>
      <c r="R35" s="3163"/>
      <c r="S35" s="3164"/>
      <c r="T35" s="3163"/>
      <c r="U35" s="3164"/>
      <c r="V35" s="3163"/>
      <c r="W35" s="3164"/>
      <c r="X35" s="3094"/>
      <c r="Y35" s="4103"/>
      <c r="Z35" s="3165"/>
      <c r="AA35" s="3166">
        <v>1</v>
      </c>
      <c r="AB35" s="3166">
        <v>1</v>
      </c>
      <c r="AC35" s="3166">
        <v>1</v>
      </c>
    </row>
    <row r="36" spans="1:29" ht="20.25">
      <c r="A36" s="3167"/>
      <c r="B36" s="3202" t="s">
        <v>3137</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103"/>
      <c r="Q36" s="3162" t="str">
        <f t="shared" si="8"/>
        <v>土地级别</v>
      </c>
      <c r="R36" s="3163" t="s">
        <v>3104</v>
      </c>
      <c r="S36" s="3164">
        <f t="shared" si="10"/>
        <v>100</v>
      </c>
      <c r="T36" s="3163" t="s">
        <v>3104</v>
      </c>
      <c r="U36" s="3164">
        <f t="shared" si="11"/>
        <v>100</v>
      </c>
      <c r="V36" s="3163" t="s">
        <v>3104</v>
      </c>
      <c r="W36" s="3164">
        <f t="shared" si="12"/>
        <v>100</v>
      </c>
      <c r="X36" s="3094"/>
      <c r="Y36" s="4103"/>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103"/>
      <c r="Q37" s="3162">
        <f t="shared" si="8"/>
        <v>111</v>
      </c>
      <c r="R37" s="3163" t="s">
        <v>3104</v>
      </c>
      <c r="S37" s="3164">
        <f t="shared" si="10"/>
        <v>100</v>
      </c>
      <c r="T37" s="3163" t="s">
        <v>3104</v>
      </c>
      <c r="U37" s="3164">
        <f t="shared" si="11"/>
        <v>100</v>
      </c>
      <c r="V37" s="3163" t="s">
        <v>3104</v>
      </c>
      <c r="W37" s="3164">
        <f t="shared" si="12"/>
        <v>100</v>
      </c>
      <c r="X37" s="3094"/>
      <c r="Y37" s="4103"/>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107" t="s">
        <v>3138</v>
      </c>
      <c r="Q38" s="3162">
        <f t="shared" si="8"/>
        <v>111</v>
      </c>
      <c r="R38" s="3163" t="s">
        <v>3104</v>
      </c>
      <c r="S38" s="3164">
        <f t="shared" si="10"/>
        <v>100</v>
      </c>
      <c r="T38" s="3163" t="s">
        <v>3104</v>
      </c>
      <c r="U38" s="3164">
        <f t="shared" si="11"/>
        <v>100</v>
      </c>
      <c r="V38" s="3163" t="s">
        <v>3104</v>
      </c>
      <c r="W38" s="3164">
        <f t="shared" si="12"/>
        <v>100</v>
      </c>
      <c r="X38" s="3094"/>
      <c r="Y38" s="4108" t="s">
        <v>3138</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108"/>
      <c r="Q39" s="3162">
        <f t="shared" si="8"/>
        <v>111</v>
      </c>
      <c r="R39" s="3215" t="s">
        <v>3104</v>
      </c>
      <c r="S39" s="3216">
        <f t="shared" si="10"/>
        <v>100</v>
      </c>
      <c r="T39" s="3215" t="s">
        <v>3104</v>
      </c>
      <c r="U39" s="3216">
        <f t="shared" si="11"/>
        <v>100</v>
      </c>
      <c r="V39" s="3215" t="s">
        <v>3104</v>
      </c>
      <c r="W39" s="3216">
        <f t="shared" si="12"/>
        <v>100</v>
      </c>
      <c r="X39" s="3217"/>
      <c r="Y39" s="4108"/>
      <c r="Z39" s="3218">
        <f t="shared" si="13"/>
        <v>111</v>
      </c>
      <c r="AA39" s="3166">
        <f t="shared" si="3"/>
        <v>1</v>
      </c>
      <c r="AB39" s="3166">
        <f t="shared" si="4"/>
        <v>1</v>
      </c>
      <c r="AC39" s="3166">
        <f t="shared" si="5"/>
        <v>1</v>
      </c>
    </row>
    <row r="40" spans="1:29" ht="20.25">
      <c r="A40" s="3220" t="s">
        <v>3139</v>
      </c>
      <c r="B40" s="3221" t="s">
        <v>3140</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108"/>
      <c r="Q40" s="3162" t="str">
        <f>B40</f>
        <v>宗地面积</v>
      </c>
      <c r="R40" s="3163" t="s">
        <v>3104</v>
      </c>
      <c r="S40" s="3164">
        <f t="shared" si="10"/>
        <v>102</v>
      </c>
      <c r="T40" s="3163" t="s">
        <v>3104</v>
      </c>
      <c r="U40" s="3164">
        <f t="shared" si="11"/>
        <v>102</v>
      </c>
      <c r="V40" s="3163" t="s">
        <v>3104</v>
      </c>
      <c r="W40" s="3164">
        <f t="shared" si="12"/>
        <v>102</v>
      </c>
      <c r="X40" s="3094"/>
      <c r="Y40" s="4108"/>
      <c r="Z40" s="3165" t="str">
        <f t="shared" si="13"/>
        <v>宗地面积</v>
      </c>
      <c r="AA40" s="3166">
        <f t="shared" si="3"/>
        <v>0.98039215686274506</v>
      </c>
      <c r="AB40" s="3166">
        <f t="shared" si="4"/>
        <v>0.98039215686274506</v>
      </c>
      <c r="AC40" s="3166">
        <f t="shared" si="5"/>
        <v>0.98039215686274506</v>
      </c>
    </row>
    <row r="41" spans="1:29" ht="20.25">
      <c r="A41" s="3225"/>
      <c r="B41" s="3226" t="s">
        <v>3141</v>
      </c>
      <c r="C41" s="3227" t="s">
        <v>3142</v>
      </c>
      <c r="D41" s="3147">
        <v>100</v>
      </c>
      <c r="E41" s="3227" t="s">
        <v>3142</v>
      </c>
      <c r="F41" s="3147">
        <f>SUMIF(121:121,E41,122:122)-SUMIF(121:121,C41,122:122)+100</f>
        <v>100</v>
      </c>
      <c r="G41" s="3227" t="s">
        <v>3142</v>
      </c>
      <c r="H41" s="3147">
        <f>SUMIF(121:121,G41,122:122)-SUMIF(121:121,C41,122:122)+100</f>
        <v>100</v>
      </c>
      <c r="I41" s="3227" t="s">
        <v>3142</v>
      </c>
      <c r="J41" s="3147">
        <f>SUMIF(121:121,I41,122:122)-SUMIF(121:121,C41,122:122)+100</f>
        <v>100</v>
      </c>
      <c r="K41" s="3203"/>
      <c r="L41" s="3150"/>
      <c r="M41" s="3069"/>
      <c r="N41" s="3069"/>
      <c r="O41" s="3139"/>
      <c r="P41" s="4108"/>
      <c r="Q41" s="3162" t="str">
        <f t="shared" ref="Q41:Q47" si="14">B41</f>
        <v>宗地形状</v>
      </c>
      <c r="R41" s="3163" t="s">
        <v>3104</v>
      </c>
      <c r="S41" s="3164">
        <f t="shared" si="10"/>
        <v>100</v>
      </c>
      <c r="T41" s="3163" t="s">
        <v>3104</v>
      </c>
      <c r="U41" s="3164">
        <f t="shared" si="11"/>
        <v>100</v>
      </c>
      <c r="V41" s="3163" t="s">
        <v>3104</v>
      </c>
      <c r="W41" s="3164">
        <f t="shared" si="12"/>
        <v>100</v>
      </c>
      <c r="X41" s="3094"/>
      <c r="Y41" s="4108"/>
      <c r="Z41" s="3165" t="str">
        <f t="shared" si="13"/>
        <v>宗地形状</v>
      </c>
      <c r="AA41" s="3166">
        <f t="shared" si="3"/>
        <v>1</v>
      </c>
      <c r="AB41" s="3166">
        <f t="shared" si="4"/>
        <v>1</v>
      </c>
      <c r="AC41" s="3166">
        <f t="shared" si="5"/>
        <v>1</v>
      </c>
    </row>
    <row r="42" spans="1:29" ht="20.25">
      <c r="A42" s="3225"/>
      <c r="B42" s="3226" t="s">
        <v>3143</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108"/>
      <c r="Q42" s="3162" t="str">
        <f t="shared" si="14"/>
        <v>临街宽度及深度</v>
      </c>
      <c r="R42" s="3163" t="s">
        <v>3104</v>
      </c>
      <c r="S42" s="3164">
        <f t="shared" si="10"/>
        <v>100</v>
      </c>
      <c r="T42" s="3163" t="s">
        <v>3104</v>
      </c>
      <c r="U42" s="3164">
        <f t="shared" si="11"/>
        <v>100</v>
      </c>
      <c r="V42" s="3163" t="s">
        <v>3104</v>
      </c>
      <c r="W42" s="3164">
        <f t="shared" si="12"/>
        <v>100</v>
      </c>
      <c r="X42" s="3094"/>
      <c r="Y42" s="4108"/>
      <c r="Z42" s="3165" t="str">
        <f t="shared" si="13"/>
        <v>临街宽度及深度</v>
      </c>
      <c r="AA42" s="3166">
        <f t="shared" si="3"/>
        <v>1</v>
      </c>
      <c r="AB42" s="3166">
        <f t="shared" si="4"/>
        <v>1</v>
      </c>
      <c r="AC42" s="3166">
        <f t="shared" si="5"/>
        <v>1</v>
      </c>
    </row>
    <row r="43" spans="1:29" s="3112" customFormat="1" ht="20.25">
      <c r="A43" s="3228"/>
      <c r="B43" s="3229" t="s">
        <v>3144</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108"/>
      <c r="Q43" s="3162" t="str">
        <f t="shared" si="14"/>
        <v>宗地开发程度</v>
      </c>
      <c r="R43" s="3108" t="s">
        <v>3104</v>
      </c>
      <c r="S43" s="3109">
        <f t="shared" si="10"/>
        <v>100</v>
      </c>
      <c r="T43" s="3108" t="s">
        <v>3104</v>
      </c>
      <c r="U43" s="3109">
        <f t="shared" si="11"/>
        <v>100</v>
      </c>
      <c r="V43" s="3108" t="s">
        <v>3104</v>
      </c>
      <c r="W43" s="3109">
        <f t="shared" si="12"/>
        <v>100</v>
      </c>
      <c r="X43" s="3110"/>
      <c r="Y43" s="4108"/>
      <c r="Z43" s="3124" t="str">
        <f t="shared" si="13"/>
        <v>宗地开发程度</v>
      </c>
      <c r="AA43" s="3111">
        <f t="shared" si="3"/>
        <v>1</v>
      </c>
      <c r="AB43" s="3111">
        <f t="shared" si="4"/>
        <v>1</v>
      </c>
      <c r="AC43" s="3111">
        <f t="shared" si="5"/>
        <v>1</v>
      </c>
    </row>
    <row r="44" spans="1:29" ht="20.25">
      <c r="A44" s="3225"/>
      <c r="B44" s="3226" t="s">
        <v>3145</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108" t="s">
        <v>3138</v>
      </c>
      <c r="Q44" s="3162" t="str">
        <f t="shared" si="14"/>
        <v>工程地质条件</v>
      </c>
      <c r="R44" s="3163" t="s">
        <v>3104</v>
      </c>
      <c r="S44" s="3164">
        <f t="shared" si="10"/>
        <v>100</v>
      </c>
      <c r="T44" s="3163" t="s">
        <v>3104</v>
      </c>
      <c r="U44" s="3164">
        <f t="shared" si="11"/>
        <v>100</v>
      </c>
      <c r="V44" s="3163" t="s">
        <v>3104</v>
      </c>
      <c r="W44" s="3164">
        <f t="shared" si="12"/>
        <v>100</v>
      </c>
      <c r="X44" s="3094"/>
      <c r="Y44" s="4108" t="s">
        <v>3138</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108"/>
      <c r="Q45" s="3162">
        <f t="shared" si="14"/>
        <v>111</v>
      </c>
      <c r="R45" s="3163" t="s">
        <v>3104</v>
      </c>
      <c r="S45" s="3164">
        <f t="shared" si="10"/>
        <v>100</v>
      </c>
      <c r="T45" s="3163" t="s">
        <v>3104</v>
      </c>
      <c r="U45" s="3164">
        <f t="shared" si="11"/>
        <v>100</v>
      </c>
      <c r="V45" s="3163" t="s">
        <v>3104</v>
      </c>
      <c r="W45" s="3164">
        <f t="shared" si="12"/>
        <v>100</v>
      </c>
      <c r="X45" s="3094"/>
      <c r="Y45" s="4108"/>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108"/>
      <c r="Q46" s="3162">
        <f t="shared" si="14"/>
        <v>111</v>
      </c>
      <c r="R46" s="3163" t="s">
        <v>3104</v>
      </c>
      <c r="S46" s="3164">
        <f t="shared" si="10"/>
        <v>100</v>
      </c>
      <c r="T46" s="3163" t="s">
        <v>3104</v>
      </c>
      <c r="U46" s="3164">
        <f t="shared" si="11"/>
        <v>100</v>
      </c>
      <c r="V46" s="3163" t="s">
        <v>3104</v>
      </c>
      <c r="W46" s="3164">
        <f t="shared" si="12"/>
        <v>100</v>
      </c>
      <c r="X46" s="3094"/>
      <c r="Y46" s="4108"/>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108"/>
      <c r="Q47" s="3162">
        <f t="shared" si="14"/>
        <v>111</v>
      </c>
      <c r="R47" s="3215" t="s">
        <v>3104</v>
      </c>
      <c r="S47" s="3216">
        <f t="shared" si="10"/>
        <v>100</v>
      </c>
      <c r="T47" s="3215" t="s">
        <v>3104</v>
      </c>
      <c r="U47" s="3216">
        <f t="shared" si="11"/>
        <v>100</v>
      </c>
      <c r="V47" s="3215" t="s">
        <v>3104</v>
      </c>
      <c r="W47" s="3216">
        <f t="shared" si="12"/>
        <v>100</v>
      </c>
      <c r="X47" s="3217"/>
      <c r="Y47" s="4108"/>
      <c r="Z47" s="3218">
        <f t="shared" si="13"/>
        <v>111</v>
      </c>
      <c r="AA47" s="3166">
        <f t="shared" si="3"/>
        <v>1</v>
      </c>
      <c r="AB47" s="3166">
        <f t="shared" si="4"/>
        <v>1</v>
      </c>
      <c r="AC47" s="3166">
        <f t="shared" si="5"/>
        <v>1</v>
      </c>
    </row>
    <row r="48" spans="1:29" ht="20.25">
      <c r="A48" s="3236" t="s">
        <v>3146</v>
      </c>
      <c r="B48" s="3237" t="s">
        <v>3147</v>
      </c>
      <c r="C48" s="3238" t="s">
        <v>3148</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100" t="str">
        <f>A48</f>
        <v>成交单价</v>
      </c>
      <c r="Q48" s="4100"/>
      <c r="R48" s="4109">
        <f>E48</f>
        <v>1172</v>
      </c>
      <c r="S48" s="4109"/>
      <c r="T48" s="4109">
        <f>G48</f>
        <v>1247</v>
      </c>
      <c r="U48" s="4109"/>
      <c r="V48" s="4109">
        <f>I48</f>
        <v>1142</v>
      </c>
      <c r="W48" s="4109"/>
      <c r="X48" s="3247"/>
      <c r="Y48" s="3248"/>
      <c r="Z48" s="3247"/>
      <c r="AA48" s="3247"/>
      <c r="AB48" s="3247"/>
      <c r="AC48" s="3247"/>
    </row>
    <row r="49" spans="1:29" ht="21" thickBot="1">
      <c r="A49" s="3249" t="s">
        <v>3149</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100" t="str">
        <f>A49</f>
        <v>比较价格（元/平方米）</v>
      </c>
      <c r="Q49" s="4100"/>
      <c r="R49" s="4101">
        <f>ROUND(PRODUCT(R48,AA9:AA47),0)</f>
        <v>1196</v>
      </c>
      <c r="S49" s="4101"/>
      <c r="T49" s="4101">
        <f>ROUND(PRODUCT(T48,AB9:AB47),0)</f>
        <v>1248</v>
      </c>
      <c r="U49" s="4101"/>
      <c r="V49" s="4101">
        <f>ROUND(PRODUCT(V48,AC9:AC47),0)</f>
        <v>1166</v>
      </c>
      <c r="W49" s="4101"/>
      <c r="X49" s="3247"/>
      <c r="Y49" s="3247"/>
      <c r="Z49" s="3247"/>
      <c r="AA49" s="3247"/>
      <c r="AB49" s="3247"/>
      <c r="AC49" s="3247"/>
    </row>
    <row r="50" spans="1:29" ht="21" thickBot="1">
      <c r="A50" s="3256" t="s">
        <v>3150</v>
      </c>
      <c r="B50" s="3257"/>
      <c r="C50" s="3258">
        <f>R50</f>
        <v>1203</v>
      </c>
      <c r="D50" s="3258"/>
      <c r="E50" s="3258"/>
      <c r="F50" s="3258"/>
      <c r="G50" s="3258"/>
      <c r="H50" s="3258"/>
      <c r="I50" s="3258"/>
      <c r="J50" s="3258"/>
      <c r="K50" s="3259"/>
      <c r="L50" s="3245"/>
      <c r="M50" s="3069"/>
      <c r="N50" s="3069"/>
      <c r="O50" s="3246"/>
      <c r="P50" s="4104" t="str">
        <f>A50</f>
        <v>估价对象商业用房的比较价格（楼面单价，元/平方米）</v>
      </c>
      <c r="Q50" s="4105"/>
      <c r="R50" s="4106">
        <f>ROUND(IF(D49="简单平均",AVERAGE(R49:W49),R49*F49+T49*H49+V49*J49),0)</f>
        <v>1203</v>
      </c>
      <c r="S50" s="4106"/>
      <c r="T50" s="4106"/>
      <c r="U50" s="4106"/>
      <c r="V50" s="4106"/>
      <c r="W50" s="4106"/>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3151</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3152</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3153</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3154</v>
      </c>
      <c r="B57" s="3277" t="s">
        <v>3155</v>
      </c>
      <c r="C57" s="3278" t="s">
        <v>3156</v>
      </c>
      <c r="D57" s="3279" t="s">
        <v>3157</v>
      </c>
      <c r="E57" s="3280" t="s">
        <v>3158</v>
      </c>
      <c r="F57" s="3281" t="s">
        <v>3159</v>
      </c>
      <c r="G57" s="4095" t="s">
        <v>3160</v>
      </c>
      <c r="H57" s="4096"/>
      <c r="I57" s="3282" t="s">
        <v>3161</v>
      </c>
      <c r="J57" s="3282" t="str">
        <f>[2]项目基本情况!F41</f>
        <v>吉林省延吉市</v>
      </c>
      <c r="K57" s="3283" t="s">
        <v>3162</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3163</v>
      </c>
      <c r="B58" s="645">
        <f>C50</f>
        <v>1203</v>
      </c>
      <c r="C58" s="3285">
        <v>1</v>
      </c>
      <c r="D58" s="3286">
        <v>1</v>
      </c>
      <c r="E58" s="3285">
        <f>'[2]数据-汇总表'!E8+'[2]数据-汇总表'!E9</f>
        <v>198.07</v>
      </c>
      <c r="F58" s="647">
        <f t="shared" ref="F58:F67" si="15">ROUND(B58*E58/10000,0)</f>
        <v>24</v>
      </c>
      <c r="G58" s="4097"/>
      <c r="H58" s="4098"/>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3164</v>
      </c>
      <c r="B59" s="224" t="e">
        <f>ROUND($C$50*C59*D59,0)</f>
        <v>#VALUE!</v>
      </c>
      <c r="C59" s="3291" t="e">
        <f t="shared" ref="C59:C67" si="16">IF($C$57="北京市系数",I59,J59)</f>
        <v>#VALUE!</v>
      </c>
      <c r="D59" s="3292">
        <v>0.25</v>
      </c>
      <c r="E59" s="650">
        <v>0</v>
      </c>
      <c r="F59" s="647" t="e">
        <f t="shared" si="15"/>
        <v>#VALUE!</v>
      </c>
      <c r="G59" s="4099" t="s">
        <v>3165</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3166</v>
      </c>
      <c r="B60" s="224" t="e">
        <f t="shared" ref="B60:B67" si="17">ROUND($C$50*C60*D60,0)</f>
        <v>#VALUE!</v>
      </c>
      <c r="C60" s="3291" t="e">
        <f t="shared" si="16"/>
        <v>#VALUE!</v>
      </c>
      <c r="D60" s="3292">
        <v>0.25</v>
      </c>
      <c r="E60" s="650">
        <v>0</v>
      </c>
      <c r="F60" s="647" t="e">
        <f t="shared" si="15"/>
        <v>#VALUE!</v>
      </c>
      <c r="G60" s="4099"/>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3167</v>
      </c>
      <c r="B61" s="224" t="e">
        <f t="shared" si="17"/>
        <v>#VALUE!</v>
      </c>
      <c r="C61" s="3291" t="e">
        <f t="shared" si="16"/>
        <v>#VALUE!</v>
      </c>
      <c r="D61" s="3292">
        <v>0.25</v>
      </c>
      <c r="E61" s="650">
        <v>0</v>
      </c>
      <c r="F61" s="647" t="e">
        <f t="shared" si="15"/>
        <v>#VALUE!</v>
      </c>
      <c r="G61" s="4099"/>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3168</v>
      </c>
      <c r="B62" s="224" t="e">
        <f t="shared" si="17"/>
        <v>#VALUE!</v>
      </c>
      <c r="C62" s="3291" t="e">
        <f t="shared" si="16"/>
        <v>#VALUE!</v>
      </c>
      <c r="D62" s="3292">
        <v>0.25</v>
      </c>
      <c r="E62" s="650">
        <v>0</v>
      </c>
      <c r="F62" s="647" t="e">
        <f t="shared" si="15"/>
        <v>#VALUE!</v>
      </c>
      <c r="G62" s="4099"/>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3169</v>
      </c>
      <c r="B63" s="224" t="e">
        <f t="shared" si="17"/>
        <v>#VALUE!</v>
      </c>
      <c r="C63" s="3291" t="e">
        <f t="shared" si="16"/>
        <v>#VALUE!</v>
      </c>
      <c r="D63" s="3292">
        <v>0.25</v>
      </c>
      <c r="E63" s="223">
        <f>'[2]数据-汇总表'!E11</f>
        <v>0</v>
      </c>
      <c r="F63" s="647" t="e">
        <f t="shared" si="15"/>
        <v>#VALUE!</v>
      </c>
      <c r="G63" s="3296" t="s">
        <v>3170</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3171</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3172</v>
      </c>
      <c r="B65" s="224" t="e">
        <f t="shared" si="17"/>
        <v>#VALUE!</v>
      </c>
      <c r="C65" s="3291" t="e">
        <f t="shared" si="16"/>
        <v>#VALUE!</v>
      </c>
      <c r="D65" s="3292">
        <v>0.25</v>
      </c>
      <c r="E65" s="223">
        <f>'[2]数据-汇总表'!E13</f>
        <v>0</v>
      </c>
      <c r="F65" s="647" t="e">
        <f t="shared" si="15"/>
        <v>#VALUE!</v>
      </c>
      <c r="G65" s="3297" t="s">
        <v>3173</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3174</v>
      </c>
      <c r="B66" s="224" t="e">
        <f t="shared" si="17"/>
        <v>#VALUE!</v>
      </c>
      <c r="C66" s="3291" t="e">
        <f t="shared" si="16"/>
        <v>#VALUE!</v>
      </c>
      <c r="D66" s="3292">
        <v>0.25</v>
      </c>
      <c r="E66" s="223">
        <f>'[2]数据-汇总表'!E14</f>
        <v>0</v>
      </c>
      <c r="F66" s="647" t="e">
        <f t="shared" si="15"/>
        <v>#VALUE!</v>
      </c>
      <c r="G66" s="3296" t="s">
        <v>3165</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3175</v>
      </c>
      <c r="B67" s="224" t="e">
        <f t="shared" si="17"/>
        <v>#VALUE!</v>
      </c>
      <c r="C67" s="3291" t="e">
        <f t="shared" si="16"/>
        <v>#VALUE!</v>
      </c>
      <c r="D67" s="3292">
        <v>0.25</v>
      </c>
      <c r="E67" s="223">
        <f>'[2]数据-汇总表'!E15</f>
        <v>0</v>
      </c>
      <c r="F67" s="647" t="e">
        <f t="shared" si="15"/>
        <v>#VALUE!</v>
      </c>
      <c r="G67" s="3299" t="s">
        <v>3170</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3176</v>
      </c>
      <c r="B68" s="3301" t="s">
        <v>3177</v>
      </c>
      <c r="C68" s="3301" t="s">
        <v>3177</v>
      </c>
      <c r="D68" s="3301" t="s">
        <v>3177</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3178</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3179</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3180</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3181</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3182</v>
      </c>
      <c r="B75" s="3333"/>
      <c r="C75" s="3334" t="s">
        <v>3183</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3184</v>
      </c>
      <c r="B77" s="3343" t="s">
        <v>3185</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3186</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3187</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3188</v>
      </c>
      <c r="B90" s="3343" t="s">
        <v>3189</v>
      </c>
      <c r="C90" s="3393" t="s">
        <v>3190</v>
      </c>
      <c r="D90" s="3393" t="s">
        <v>3191</v>
      </c>
      <c r="E90" s="3393" t="s">
        <v>3192</v>
      </c>
      <c r="F90" s="3393" t="s">
        <v>3193</v>
      </c>
      <c r="G90" s="3393" t="s">
        <v>3194</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3122</v>
      </c>
      <c r="C92" s="3399" t="s">
        <v>3190</v>
      </c>
      <c r="D92" s="3399" t="s">
        <v>3191</v>
      </c>
      <c r="E92" s="3399" t="s">
        <v>3192</v>
      </c>
      <c r="F92" s="3399" t="s">
        <v>3193</v>
      </c>
      <c r="G92" s="3399" t="s">
        <v>3194</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3123</v>
      </c>
      <c r="C94" s="3399" t="s">
        <v>3190</v>
      </c>
      <c r="D94" s="3399" t="s">
        <v>3191</v>
      </c>
      <c r="E94" s="3399" t="s">
        <v>3192</v>
      </c>
      <c r="F94" s="3399" t="s">
        <v>3193</v>
      </c>
      <c r="G94" s="3399" t="s">
        <v>3194</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3124</v>
      </c>
      <c r="C96" s="3399" t="s">
        <v>3190</v>
      </c>
      <c r="D96" s="3399" t="s">
        <v>3191</v>
      </c>
      <c r="E96" s="3399" t="s">
        <v>3192</v>
      </c>
      <c r="F96" s="3399" t="s">
        <v>3193</v>
      </c>
      <c r="G96" s="3399" t="s">
        <v>3194</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3125</v>
      </c>
      <c r="C98" s="3399" t="s">
        <v>3190</v>
      </c>
      <c r="D98" s="3399" t="s">
        <v>3191</v>
      </c>
      <c r="E98" s="3399" t="s">
        <v>3192</v>
      </c>
      <c r="F98" s="3399" t="s">
        <v>3193</v>
      </c>
      <c r="G98" s="3399" t="s">
        <v>3194</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3126</v>
      </c>
      <c r="C100" s="3393" t="s">
        <v>3190</v>
      </c>
      <c r="D100" s="3393" t="s">
        <v>3191</v>
      </c>
      <c r="E100" s="3393" t="s">
        <v>3192</v>
      </c>
      <c r="F100" s="3393" t="s">
        <v>3193</v>
      </c>
      <c r="G100" s="3393" t="s">
        <v>3194</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3127</v>
      </c>
      <c r="C102" s="3393" t="s">
        <v>3190</v>
      </c>
      <c r="D102" s="3393" t="s">
        <v>3191</v>
      </c>
      <c r="E102" s="3393" t="s">
        <v>3192</v>
      </c>
      <c r="F102" s="3393" t="s">
        <v>3193</v>
      </c>
      <c r="G102" s="3393" t="s">
        <v>3194</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3128</v>
      </c>
      <c r="C104" s="3411" t="s">
        <v>3195</v>
      </c>
      <c r="D104" s="3411" t="s">
        <v>3196</v>
      </c>
      <c r="E104" s="3411" t="s">
        <v>3197</v>
      </c>
      <c r="F104" s="3411" t="s">
        <v>3198</v>
      </c>
      <c r="G104" s="3411" t="s">
        <v>3199</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3200</v>
      </c>
      <c r="D106" s="3355" t="s">
        <v>3201</v>
      </c>
      <c r="E106" s="3355" t="s">
        <v>3202</v>
      </c>
      <c r="F106" s="3355" t="s">
        <v>3203</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3130</v>
      </c>
      <c r="C108" s="3371" t="s">
        <v>3204</v>
      </c>
      <c r="D108" s="3371" t="s">
        <v>3205</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3137</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3206</v>
      </c>
      <c r="B118" s="3343" t="s">
        <v>3140</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3141</v>
      </c>
      <c r="C121" s="3437" t="s">
        <v>3207</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3143</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3144</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3145</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000-000000000000}">
      <formula1>"简单平均,加权平均"</formula1>
    </dataValidation>
    <dataValidation type="list" allowBlank="1" showInputMessage="1" showErrorMessage="1" sqref="A73" xr:uid="{00000000-0002-0000-3000-000001000000}">
      <formula1>"综合,商业,办公,住宅"</formula1>
    </dataValidation>
    <dataValidation type="list" allowBlank="1" showInputMessage="1" showErrorMessage="1" sqref="C32 E32 G32 I32" xr:uid="{00000000-0002-0000-3000-000002000000}">
      <formula1>基础设施水平</formula1>
    </dataValidation>
    <dataValidation type="list" allowBlank="1" showInputMessage="1" showErrorMessage="1" sqref="D59:D67" xr:uid="{00000000-0002-0000-3000-000003000000}">
      <formula1>"25%,1"</formula1>
    </dataValidation>
    <dataValidation type="list" allowBlank="1" showInputMessage="1" showErrorMessage="1" sqref="G64" xr:uid="{00000000-0002-0000-3000-000004000000}">
      <formula1>"商业,办公,住宅,工业"</formula1>
    </dataValidation>
    <dataValidation type="list" allowBlank="1" showInputMessage="1" showErrorMessage="1" sqref="G65" xr:uid="{00000000-0002-0000-3000-000005000000}">
      <formula1>"住宅,工业"</formula1>
    </dataValidation>
    <dataValidation type="list" allowBlank="1" showInputMessage="1" showErrorMessage="1" sqref="C57" xr:uid="{00000000-0002-0000-3000-000006000000}">
      <formula1>"北京市系数,其他省市系数"</formula1>
    </dataValidation>
    <dataValidation type="list" allowBlank="1" showInputMessage="1" showErrorMessage="1" sqref="E26 G26 I26 C26" xr:uid="{00000000-0002-0000-3000-000007000000}">
      <formula1>区域土地利用方向</formula1>
    </dataValidation>
    <dataValidation type="list" allowBlank="1" showInputMessage="1" showErrorMessage="1" sqref="C33 E33 G33 I33" xr:uid="{00000000-0002-0000-3000-000008000000}">
      <formula1>临街状况</formula1>
    </dataValidation>
    <dataValidation type="list" allowBlank="1" showInputMessage="1" showErrorMessage="1" sqref="C44 E44 G44 I44" xr:uid="{00000000-0002-0000-3000-000009000000}">
      <formula1>套综工程地质条件</formula1>
    </dataValidation>
    <dataValidation type="list" allowBlank="1" showInputMessage="1" showErrorMessage="1" sqref="C43 E43 G43 I43" xr:uid="{00000000-0002-0000-3000-00000A000000}">
      <formula1>套综宗地内开发程度</formula1>
    </dataValidation>
    <dataValidation type="list" allowBlank="1" showInputMessage="1" showErrorMessage="1" sqref="C42 E42 G42 I42" xr:uid="{00000000-0002-0000-3000-00000B000000}">
      <formula1>套综临街宽度及深度</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36 E36 G36 I36" xr:uid="{00000000-0002-0000-3000-00000D000000}">
      <formula1>套综土地级别</formula1>
    </dataValidation>
    <dataValidation type="list" allowBlank="1" showInputMessage="1" showErrorMessage="1" sqref="C35 E35 G35 I35" xr:uid="{00000000-0002-0000-3000-00000E000000}">
      <formula1>套综道路等级</formula1>
    </dataValidation>
    <dataValidation type="list" allowBlank="1" showInputMessage="1" showErrorMessage="1" sqref="E22 C22 G22 I22" xr:uid="{00000000-0002-0000-3000-00000F000000}">
      <formula1>办公集聚程度</formula1>
    </dataValidation>
    <dataValidation type="list" allowBlank="1" showInputMessage="1" showErrorMessage="1" sqref="E20 C20 G20 I20" xr:uid="{00000000-0002-0000-3000-000010000000}">
      <formula1>商业繁华度</formula1>
    </dataValidation>
    <dataValidation type="list" allowBlank="1" showInputMessage="1" showErrorMessage="1" sqref="C11 E11 G11 I11" xr:uid="{00000000-0002-0000-3000-000011000000}">
      <formula1>套综用途</formula1>
    </dataValidation>
    <dataValidation type="list" allowBlank="1" showInputMessage="1" showErrorMessage="1" sqref="C10 E10 G10 I10" xr:uid="{00000000-0002-0000-3000-000012000000}">
      <formula1>套综交易情况</formula1>
    </dataValidation>
    <dataValidation type="list" allowBlank="1" showInputMessage="1" showErrorMessage="1" sqref="B48" xr:uid="{00000000-0002-0000-3000-000013000000}">
      <formula1>单价内涵</formula1>
    </dataValidation>
    <dataValidation type="list" allowBlank="1" showInputMessage="1" showErrorMessage="1" sqref="C28 E28 G28 I28" xr:uid="{00000000-0002-0000-3000-000014000000}">
      <formula1>环境</formula1>
    </dataValidation>
    <dataValidation type="list" allowBlank="1" showInputMessage="1" showErrorMessage="1" sqref="E18 G18 I18 C18" xr:uid="{00000000-0002-0000-3000-000015000000}">
      <formula1>居住社区成熟度</formula1>
    </dataValidation>
    <dataValidation type="list" allowBlank="1" showInputMessage="1" showErrorMessage="1" sqref="E24 C24 G24 I24" xr:uid="{00000000-0002-0000-3000-000016000000}">
      <formula1>交通便捷度</formula1>
    </dataValidation>
    <dataValidation type="list" allowBlank="1" showInputMessage="1" showErrorMessage="1" sqref="E30 C30 I30 G30" xr:uid="{00000000-0002-0000-3000-000017000000}">
      <formula1>公共配套设施</formula1>
    </dataValidation>
    <dataValidation type="list" allowBlank="1" showInputMessage="1" showErrorMessage="1" sqref="C27" xr:uid="{00000000-0002-0000-30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731" t="str">
        <f>IF(项目基本情况!B9="房地产市场价值","估价结果一览表","结果表-2")</f>
        <v>估价结果一览表</v>
      </c>
      <c r="B1" s="3731"/>
      <c r="C1" s="3731"/>
      <c r="D1" s="3731"/>
      <c r="E1" s="3731"/>
      <c r="F1" s="3731"/>
      <c r="G1" s="3731"/>
      <c r="H1" s="3731"/>
      <c r="I1" s="3731"/>
    </row>
    <row r="2" spans="1:9" ht="30" customHeight="1" thickTop="1">
      <c r="A2" s="3732" t="s">
        <v>1606</v>
      </c>
      <c r="B2" s="3732" t="s">
        <v>1607</v>
      </c>
      <c r="C2" s="3732" t="s">
        <v>1608</v>
      </c>
      <c r="D2" s="3732" t="str">
        <f>结果表!D116</f>
        <v>出让国有建设用地使用权价值</v>
      </c>
      <c r="E2" s="3732"/>
      <c r="F2" s="3732" t="str">
        <f>结果表!F116</f>
        <v>在建建筑物价值</v>
      </c>
      <c r="G2" s="3732"/>
      <c r="H2" s="3732" t="str">
        <f>IF(项目基本情况!B9="房地产市场价值","房地产市场价值","房地产价值")</f>
        <v>房地产市场价值</v>
      </c>
      <c r="I2" s="3732"/>
    </row>
    <row r="3" spans="1:9" ht="15">
      <c r="A3" s="3733"/>
      <c r="B3" s="3733"/>
      <c r="C3" s="3733"/>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f ca="1">结果表!D118</f>
        <v>566</v>
      </c>
      <c r="E4" s="963">
        <f ca="1">结果表!E118</f>
        <v>18031</v>
      </c>
      <c r="F4" s="963">
        <f ca="1">结果表!F118</f>
        <v>545</v>
      </c>
      <c r="G4" s="963">
        <f ca="1">结果表!G118</f>
        <v>17393</v>
      </c>
      <c r="H4" s="963">
        <f ca="1">结果表!H118</f>
        <v>1111</v>
      </c>
      <c r="I4" s="963">
        <f ca="1">结果表!I118</f>
        <v>35424</v>
      </c>
    </row>
    <row r="5" spans="1:9" ht="30" customHeight="1">
      <c r="A5" s="3733" t="s">
        <v>1605</v>
      </c>
      <c r="B5" s="3733"/>
      <c r="C5" s="3733"/>
      <c r="D5" s="3734" t="str">
        <f ca="1">结果表!D119</f>
        <v>伍佰陆拾陆万元整</v>
      </c>
      <c r="E5" s="3734"/>
      <c r="F5" s="3734" t="str">
        <f ca="1">结果表!F119</f>
        <v>伍佰肆拾伍万元整</v>
      </c>
      <c r="G5" s="3734"/>
      <c r="H5" s="3734" t="str">
        <f ca="1">结果表!H119</f>
        <v>壹仟壹佰壹拾壹万元整</v>
      </c>
      <c r="I5" s="3734"/>
    </row>
    <row r="6" spans="1:9" ht="15.75">
      <c r="A6" s="3735" t="str">
        <f>结果表!A120</f>
        <v/>
      </c>
      <c r="B6" s="3735"/>
      <c r="C6" s="3735"/>
      <c r="D6" s="3735">
        <f>结果表!D120</f>
        <v>0</v>
      </c>
      <c r="E6" s="3735"/>
      <c r="F6" s="3735"/>
      <c r="G6" s="3735"/>
      <c r="H6" s="3735"/>
      <c r="I6" s="3735"/>
    </row>
    <row r="7" spans="1:9" ht="15">
      <c r="A7" s="3733" t="s">
        <v>1605</v>
      </c>
      <c r="B7" s="3733"/>
      <c r="C7" s="3733"/>
      <c r="D7" s="3736" t="str">
        <f>结果表!D121</f>
        <v>零元整</v>
      </c>
      <c r="E7" s="3737"/>
      <c r="F7" s="3737"/>
      <c r="G7" s="3737"/>
      <c r="H7" s="3737"/>
      <c r="I7" s="3738"/>
    </row>
    <row r="8" spans="1:9" ht="15.75">
      <c r="A8" s="3735" t="str">
        <f>结果表!A122</f>
        <v/>
      </c>
      <c r="B8" s="3735"/>
      <c r="C8" s="3735"/>
      <c r="D8" s="3735" t="str">
        <f>结果表!D122</f>
        <v>——</v>
      </c>
      <c r="E8" s="3735"/>
      <c r="F8" s="3735"/>
      <c r="G8" s="3735"/>
      <c r="H8" s="3735"/>
      <c r="I8" s="3735"/>
    </row>
    <row r="9" spans="1:9" ht="15">
      <c r="A9" s="3733" t="s">
        <v>1605</v>
      </c>
      <c r="B9" s="3733"/>
      <c r="C9" s="3733"/>
      <c r="D9" s="3734" t="e">
        <f>结果表!D123</f>
        <v>#VALUE!</v>
      </c>
      <c r="E9" s="3734"/>
      <c r="F9" s="3734"/>
      <c r="G9" s="3734"/>
      <c r="H9" s="3734"/>
      <c r="I9" s="3734"/>
    </row>
    <row r="10" spans="1:9" ht="15.75">
      <c r="A10" s="3735" t="str">
        <f>结果表!A124</f>
        <v/>
      </c>
      <c r="B10" s="3735"/>
      <c r="C10" s="3735"/>
      <c r="D10" s="3735">
        <f ca="1">结果表!D124</f>
        <v>1111</v>
      </c>
      <c r="E10" s="3735"/>
      <c r="F10" s="3735"/>
      <c r="G10" s="3735"/>
      <c r="H10" s="3735"/>
      <c r="I10" s="3735"/>
    </row>
    <row r="11" spans="1:9" ht="15">
      <c r="A11" s="3733" t="s">
        <v>1605</v>
      </c>
      <c r="B11" s="3733"/>
      <c r="C11" s="3733"/>
      <c r="D11" s="3734" t="str">
        <f ca="1">结果表!D125</f>
        <v>壹仟壹佰壹拾壹万元整</v>
      </c>
      <c r="E11" s="3734"/>
      <c r="F11" s="3734"/>
      <c r="G11" s="3734"/>
      <c r="H11" s="3734"/>
      <c r="I11" s="3734"/>
    </row>
    <row r="12" spans="1:9" ht="15.75">
      <c r="A12" s="3735" t="str">
        <f>结果表!A126</f>
        <v/>
      </c>
      <c r="B12" s="3735"/>
      <c r="C12" s="3735"/>
      <c r="D12" s="3735" t="str">
        <f>结果表!D126</f>
        <v>——</v>
      </c>
      <c r="E12" s="3735"/>
      <c r="F12" s="3735"/>
      <c r="G12" s="3735"/>
      <c r="H12" s="3735"/>
      <c r="I12" s="3735"/>
    </row>
    <row r="13" spans="1:9" ht="15.75" thickBot="1">
      <c r="A13" s="3739" t="s">
        <v>1605</v>
      </c>
      <c r="B13" s="3739"/>
      <c r="C13" s="3739"/>
      <c r="D13" s="3740" t="e">
        <f>结果表!D127</f>
        <v>#VALUE!</v>
      </c>
      <c r="E13" s="3740"/>
      <c r="F13" s="3740"/>
      <c r="G13" s="3740"/>
      <c r="H13" s="3740"/>
      <c r="I13" s="3740"/>
    </row>
    <row r="14" spans="1:9" ht="15" thickTop="1">
      <c r="A14" s="3741" t="s">
        <v>1610</v>
      </c>
      <c r="B14" s="3741"/>
      <c r="C14" s="3741"/>
      <c r="D14" s="3741"/>
      <c r="E14" s="3741"/>
      <c r="F14" s="3741"/>
      <c r="G14" s="3741"/>
      <c r="H14" s="3741"/>
      <c r="I14" s="374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3208</v>
      </c>
      <c r="B1" s="3447" t="s">
        <v>3209</v>
      </c>
      <c r="C1" s="3447" t="s">
        <v>3210</v>
      </c>
      <c r="D1" s="3447" t="s">
        <v>3211</v>
      </c>
      <c r="E1" s="3447" t="s">
        <v>3212</v>
      </c>
      <c r="F1" s="3447" t="s">
        <v>3213</v>
      </c>
      <c r="G1" s="3447" t="s">
        <v>3214</v>
      </c>
      <c r="H1" s="3447" t="s">
        <v>3215</v>
      </c>
      <c r="I1" s="3447" t="s">
        <v>3216</v>
      </c>
      <c r="J1" s="3447" t="s">
        <v>3217</v>
      </c>
      <c r="K1" s="3447" t="s">
        <v>3218</v>
      </c>
      <c r="L1" s="3447" t="s">
        <v>3219</v>
      </c>
      <c r="M1" s="3447" t="s">
        <v>3220</v>
      </c>
      <c r="N1" s="3448" t="s">
        <v>3221</v>
      </c>
      <c r="O1" s="3449" t="s">
        <v>3222</v>
      </c>
      <c r="P1" s="3447" t="s">
        <v>3223</v>
      </c>
      <c r="Q1" s="3447" t="s">
        <v>3224</v>
      </c>
      <c r="R1" s="3447" t="s">
        <v>3225</v>
      </c>
    </row>
    <row r="2" spans="1:19">
      <c r="A2" s="3447" t="s">
        <v>3226</v>
      </c>
      <c r="B2" s="3447" t="s">
        <v>3227</v>
      </c>
      <c r="C2" s="3447" t="s">
        <v>3228</v>
      </c>
      <c r="D2" s="3447">
        <v>2692.88</v>
      </c>
      <c r="E2" s="3447">
        <v>807.86</v>
      </c>
      <c r="F2" s="3447" t="s">
        <v>3229</v>
      </c>
      <c r="G2" s="3447" t="s">
        <v>3230</v>
      </c>
      <c r="H2" s="3447" t="s">
        <v>3111</v>
      </c>
      <c r="I2" s="3447">
        <v>0</v>
      </c>
      <c r="J2" s="3447" t="s">
        <v>3231</v>
      </c>
      <c r="K2" s="3447" t="s">
        <v>3231</v>
      </c>
      <c r="L2" s="3447">
        <v>102.84</v>
      </c>
      <c r="M2" s="3447">
        <v>102.84</v>
      </c>
      <c r="N2" s="3447">
        <v>1272.99</v>
      </c>
      <c r="O2" s="3447">
        <f>N2*0.3</f>
        <v>381.89699999999999</v>
      </c>
      <c r="P2" s="3447">
        <v>0</v>
      </c>
      <c r="Q2" s="3447" t="s">
        <v>3232</v>
      </c>
      <c r="R2" s="3447" t="s">
        <v>3233</v>
      </c>
      <c r="S2" s="3450">
        <f>M2/(D2/666.67)</f>
        <v>25.459858144440151</v>
      </c>
    </row>
    <row r="3" spans="1:19">
      <c r="A3" s="3447" t="s">
        <v>3234</v>
      </c>
      <c r="B3" s="3447" t="s">
        <v>3227</v>
      </c>
      <c r="C3" s="3447" t="s">
        <v>3235</v>
      </c>
      <c r="D3" s="3447">
        <v>3480.09</v>
      </c>
      <c r="E3" s="3447">
        <v>2505.66</v>
      </c>
      <c r="F3" s="3447" t="s">
        <v>3236</v>
      </c>
      <c r="G3" s="3447" t="s">
        <v>3230</v>
      </c>
      <c r="H3" s="3447" t="s">
        <v>3237</v>
      </c>
      <c r="I3" s="3447">
        <v>0</v>
      </c>
      <c r="J3" s="3447" t="s">
        <v>3238</v>
      </c>
      <c r="K3" s="3447" t="s">
        <v>3238</v>
      </c>
      <c r="L3" s="3447">
        <v>655.39</v>
      </c>
      <c r="M3" s="3447">
        <v>655.39</v>
      </c>
      <c r="N3" s="3447">
        <v>2615.67</v>
      </c>
      <c r="O3" s="3447">
        <f>N3*0.72</f>
        <v>1883.2824000000001</v>
      </c>
      <c r="P3" s="3447">
        <v>0</v>
      </c>
      <c r="Q3" s="3447" t="s">
        <v>3239</v>
      </c>
      <c r="R3" s="3447" t="s">
        <v>3233</v>
      </c>
      <c r="S3" s="3450">
        <f t="shared" ref="S3:S33" si="0">M3/(D3/666.67)</f>
        <v>125.55102060578891</v>
      </c>
    </row>
    <row r="4" spans="1:19">
      <c r="A4" s="3447" t="s">
        <v>3240</v>
      </c>
      <c r="B4" s="3447" t="s">
        <v>3227</v>
      </c>
      <c r="C4" s="3447" t="s">
        <v>3228</v>
      </c>
      <c r="D4" s="3447">
        <v>4484.38</v>
      </c>
      <c r="E4" s="3447">
        <v>807.19</v>
      </c>
      <c r="F4" s="3447" t="s">
        <v>3241</v>
      </c>
      <c r="G4" s="3447" t="s">
        <v>3230</v>
      </c>
      <c r="H4" s="3447" t="s">
        <v>3111</v>
      </c>
      <c r="I4" s="3447">
        <v>0</v>
      </c>
      <c r="J4" s="3447" t="s">
        <v>3242</v>
      </c>
      <c r="K4" s="3447" t="s">
        <v>3242</v>
      </c>
      <c r="L4" s="3447">
        <v>590.52</v>
      </c>
      <c r="M4" s="3447">
        <v>590.52</v>
      </c>
      <c r="N4" s="3447">
        <v>7315.86</v>
      </c>
      <c r="O4" s="3447">
        <f>N4*0.18</f>
        <v>1316.8547999999998</v>
      </c>
      <c r="P4" s="3447">
        <v>0</v>
      </c>
      <c r="Q4" s="3447" t="s">
        <v>3243</v>
      </c>
      <c r="R4" s="3447" t="s">
        <v>3244</v>
      </c>
      <c r="S4" s="3450">
        <f t="shared" si="0"/>
        <v>87.78960935513939</v>
      </c>
    </row>
    <row r="5" spans="1:19">
      <c r="A5" s="3447" t="s">
        <v>3245</v>
      </c>
      <c r="B5" s="3447" t="s">
        <v>3227</v>
      </c>
      <c r="C5" s="3447" t="s">
        <v>3228</v>
      </c>
      <c r="D5" s="3447">
        <v>95194.2</v>
      </c>
      <c r="E5" s="3447">
        <v>47597.1</v>
      </c>
      <c r="F5" s="3447" t="s">
        <v>3246</v>
      </c>
      <c r="G5" s="3447" t="s">
        <v>3230</v>
      </c>
      <c r="H5" s="3447" t="s">
        <v>3247</v>
      </c>
      <c r="I5" s="3447">
        <v>0</v>
      </c>
      <c r="J5" s="3447" t="s">
        <v>3248</v>
      </c>
      <c r="K5" s="3447" t="s">
        <v>3249</v>
      </c>
      <c r="L5" s="3447" t="s">
        <v>1298</v>
      </c>
      <c r="M5" s="3447">
        <v>10992.21</v>
      </c>
      <c r="N5" s="3447">
        <v>2309.42</v>
      </c>
      <c r="O5" s="3447">
        <f>N5*0.5</f>
        <v>1154.71</v>
      </c>
      <c r="P5" s="3447" t="s">
        <v>1298</v>
      </c>
      <c r="Q5" s="3447" t="s">
        <v>3250</v>
      </c>
      <c r="R5" s="3447" t="s">
        <v>3251</v>
      </c>
      <c r="S5" s="3450">
        <f t="shared" si="0"/>
        <v>76.981335424847302</v>
      </c>
    </row>
    <row r="6" spans="1:19">
      <c r="A6" s="3447" t="s">
        <v>3245</v>
      </c>
      <c r="B6" s="3447" t="s">
        <v>3227</v>
      </c>
      <c r="C6" s="3447" t="s">
        <v>3228</v>
      </c>
      <c r="D6" s="3447">
        <v>107515.29</v>
      </c>
      <c r="E6" s="3447">
        <v>53757.65</v>
      </c>
      <c r="F6" s="3447" t="s">
        <v>3246</v>
      </c>
      <c r="G6" s="3447" t="s">
        <v>3230</v>
      </c>
      <c r="H6" s="3447" t="s">
        <v>3247</v>
      </c>
      <c r="I6" s="3447">
        <v>0</v>
      </c>
      <c r="J6" s="3447" t="s">
        <v>3252</v>
      </c>
      <c r="K6" s="3447" t="s">
        <v>3252</v>
      </c>
      <c r="L6" s="3447" t="s">
        <v>1298</v>
      </c>
      <c r="M6" s="3447">
        <v>12407.26</v>
      </c>
      <c r="N6" s="3447">
        <v>2308</v>
      </c>
      <c r="O6" s="3447">
        <f>N6*0.5</f>
        <v>1154</v>
      </c>
      <c r="P6" s="3447" t="s">
        <v>1298</v>
      </c>
      <c r="Q6" s="3447" t="s">
        <v>3250</v>
      </c>
      <c r="R6" s="3447" t="s">
        <v>3251</v>
      </c>
      <c r="S6" s="3450">
        <f t="shared" si="0"/>
        <v>76.933690307676244</v>
      </c>
    </row>
    <row r="7" spans="1:19">
      <c r="A7" s="3447" t="s">
        <v>3253</v>
      </c>
      <c r="B7" s="3447" t="s">
        <v>3227</v>
      </c>
      <c r="C7" s="3447" t="s">
        <v>3228</v>
      </c>
      <c r="D7" s="3447">
        <v>78166.28</v>
      </c>
      <c r="E7" s="3447">
        <v>109432.79</v>
      </c>
      <c r="F7" s="3447" t="s">
        <v>3254</v>
      </c>
      <c r="G7" s="3447" t="s">
        <v>3230</v>
      </c>
      <c r="H7" s="3447" t="s">
        <v>3247</v>
      </c>
      <c r="I7" s="3447">
        <v>0</v>
      </c>
      <c r="J7" s="3447" t="s">
        <v>3252</v>
      </c>
      <c r="K7" s="3447" t="s">
        <v>3252</v>
      </c>
      <c r="L7" s="3447" t="s">
        <v>1298</v>
      </c>
      <c r="M7" s="3447">
        <v>9125.7900000000009</v>
      </c>
      <c r="N7" s="3447">
        <v>833.91</v>
      </c>
      <c r="O7" s="3447">
        <f>N7*1.4</f>
        <v>1167.4739999999999</v>
      </c>
      <c r="P7" s="3447" t="s">
        <v>1298</v>
      </c>
      <c r="Q7" s="3447" t="s">
        <v>3250</v>
      </c>
      <c r="R7" s="3447" t="s">
        <v>3251</v>
      </c>
      <c r="S7" s="3450">
        <f t="shared" si="0"/>
        <v>77.832671828568536</v>
      </c>
    </row>
    <row r="8" spans="1:19">
      <c r="A8" s="3447" t="s">
        <v>3255</v>
      </c>
      <c r="B8" s="3447" t="s">
        <v>3227</v>
      </c>
      <c r="C8" s="3447" t="s">
        <v>3228</v>
      </c>
      <c r="D8" s="3447">
        <v>95788.6</v>
      </c>
      <c r="E8" s="3447">
        <v>47894.3</v>
      </c>
      <c r="F8" s="3447" t="s">
        <v>3246</v>
      </c>
      <c r="G8" s="3447" t="s">
        <v>3230</v>
      </c>
      <c r="H8" s="3447" t="s">
        <v>3247</v>
      </c>
      <c r="I8" s="3447">
        <v>0</v>
      </c>
      <c r="J8" s="3447" t="s">
        <v>3252</v>
      </c>
      <c r="K8" s="3447" t="s">
        <v>3252</v>
      </c>
      <c r="L8" s="3447" t="s">
        <v>1298</v>
      </c>
      <c r="M8" s="3447">
        <v>11060.79</v>
      </c>
      <c r="N8" s="3447">
        <v>2309.42</v>
      </c>
      <c r="O8" s="3447">
        <f>N8*0.5</f>
        <v>1154.71</v>
      </c>
      <c r="P8" s="3447" t="s">
        <v>1298</v>
      </c>
      <c r="Q8" s="3447" t="s">
        <v>3250</v>
      </c>
      <c r="R8" s="3447" t="s">
        <v>3251</v>
      </c>
      <c r="S8" s="3450">
        <f t="shared" si="0"/>
        <v>76.980944176029297</v>
      </c>
    </row>
    <row r="9" spans="1:19">
      <c r="A9" s="3447" t="s">
        <v>3256</v>
      </c>
      <c r="B9" s="3447" t="s">
        <v>3227</v>
      </c>
      <c r="C9" s="3447" t="s">
        <v>3228</v>
      </c>
      <c r="D9" s="3447">
        <v>1538.17</v>
      </c>
      <c r="E9" s="3447">
        <v>1707.37</v>
      </c>
      <c r="F9" s="3447" t="s">
        <v>3257</v>
      </c>
      <c r="G9" s="3447" t="s">
        <v>3230</v>
      </c>
      <c r="H9" s="3447" t="s">
        <v>3111</v>
      </c>
      <c r="I9" s="3447">
        <v>0</v>
      </c>
      <c r="J9" s="3447" t="s">
        <v>3258</v>
      </c>
      <c r="K9" s="3447" t="s">
        <v>3258</v>
      </c>
      <c r="L9" s="3447">
        <v>485.89</v>
      </c>
      <c r="M9" s="3447">
        <v>485.89</v>
      </c>
      <c r="N9" s="3447">
        <v>2845.9</v>
      </c>
      <c r="O9" s="3447">
        <f>N9*1.11</f>
        <v>3158.9490000000005</v>
      </c>
      <c r="P9" s="3447">
        <v>0</v>
      </c>
      <c r="Q9" s="3447" t="s">
        <v>3259</v>
      </c>
      <c r="R9" s="3447" t="s">
        <v>3251</v>
      </c>
      <c r="S9" s="3450">
        <f t="shared" si="0"/>
        <v>210.5932935241228</v>
      </c>
    </row>
    <row r="10" spans="1:19">
      <c r="A10" s="3447" t="s">
        <v>3260</v>
      </c>
      <c r="B10" s="3447" t="s">
        <v>3227</v>
      </c>
      <c r="C10" s="3447" t="s">
        <v>3228</v>
      </c>
      <c r="D10" s="3447">
        <v>20173.48</v>
      </c>
      <c r="E10" s="3447">
        <v>46399</v>
      </c>
      <c r="F10" s="3447" t="s">
        <v>3261</v>
      </c>
      <c r="G10" s="3447" t="s">
        <v>3230</v>
      </c>
      <c r="H10" s="3447" t="s">
        <v>3111</v>
      </c>
      <c r="I10" s="3447">
        <v>0</v>
      </c>
      <c r="J10" s="3447" t="s">
        <v>3262</v>
      </c>
      <c r="K10" s="3447" t="s">
        <v>3262</v>
      </c>
      <c r="L10" s="3447">
        <v>486.23</v>
      </c>
      <c r="M10" s="3447">
        <v>486.23</v>
      </c>
      <c r="N10" s="3447">
        <v>104.79</v>
      </c>
      <c r="O10" s="3447">
        <f>N10*2.3</f>
        <v>241.017</v>
      </c>
      <c r="P10" s="3447">
        <v>0</v>
      </c>
      <c r="Q10" s="3447" t="s">
        <v>3259</v>
      </c>
      <c r="R10" s="3447" t="s">
        <v>3251</v>
      </c>
      <c r="S10" s="3450">
        <f t="shared" si="0"/>
        <v>16.06837065791326</v>
      </c>
    </row>
    <row r="11" spans="1:19" s="3452" customFormat="1">
      <c r="A11" s="3451" t="s">
        <v>3263</v>
      </c>
      <c r="B11" s="3452" t="s">
        <v>3227</v>
      </c>
      <c r="C11" s="3452" t="s">
        <v>3228</v>
      </c>
      <c r="D11" s="3452">
        <v>4215</v>
      </c>
      <c r="E11" s="3452">
        <v>421.5</v>
      </c>
      <c r="F11" s="3452" t="s">
        <v>3264</v>
      </c>
      <c r="G11" s="3452" t="s">
        <v>3230</v>
      </c>
      <c r="H11" s="3452" t="s">
        <v>3110</v>
      </c>
      <c r="I11" s="3452">
        <v>0</v>
      </c>
      <c r="J11" s="3452" t="s">
        <v>3265</v>
      </c>
      <c r="K11" s="3452" t="s">
        <v>3265</v>
      </c>
      <c r="L11" s="3452">
        <v>494.1</v>
      </c>
      <c r="M11" s="3452">
        <v>494.1</v>
      </c>
      <c r="N11" s="3452">
        <v>11722.42</v>
      </c>
      <c r="O11" s="3452">
        <f>N11*0.1</f>
        <v>1172.242</v>
      </c>
      <c r="P11" s="3452">
        <v>0</v>
      </c>
      <c r="Q11" s="3452" t="s">
        <v>3266</v>
      </c>
      <c r="R11" s="3452" t="s">
        <v>3233</v>
      </c>
      <c r="S11" s="3453">
        <f t="shared" si="0"/>
        <v>78.149856939501788</v>
      </c>
    </row>
    <row r="12" spans="1:19">
      <c r="A12" s="3447" t="s">
        <v>3267</v>
      </c>
      <c r="B12" s="3447" t="s">
        <v>3227</v>
      </c>
      <c r="C12" s="3447" t="s">
        <v>3228</v>
      </c>
      <c r="D12" s="3447">
        <v>790.89</v>
      </c>
      <c r="E12" s="3447">
        <v>237.27</v>
      </c>
      <c r="F12" s="3447" t="s">
        <v>3229</v>
      </c>
      <c r="G12" s="3447" t="s">
        <v>3230</v>
      </c>
      <c r="H12" s="3447" t="s">
        <v>3247</v>
      </c>
      <c r="I12" s="3447">
        <v>0</v>
      </c>
      <c r="J12" s="3447" t="s">
        <v>3265</v>
      </c>
      <c r="K12" s="3447" t="s">
        <v>3265</v>
      </c>
      <c r="L12" s="3447" t="s">
        <v>1298</v>
      </c>
      <c r="M12" s="3447">
        <v>40.28</v>
      </c>
      <c r="N12" s="3447">
        <v>1697.64</v>
      </c>
      <c r="P12" s="3447" t="s">
        <v>1298</v>
      </c>
      <c r="Q12" s="3447" t="s">
        <v>3268</v>
      </c>
      <c r="R12" s="3447" t="s">
        <v>3233</v>
      </c>
      <c r="S12" s="3450">
        <f t="shared" si="0"/>
        <v>33.953479750660648</v>
      </c>
    </row>
    <row r="13" spans="1:19">
      <c r="A13" s="3447" t="s">
        <v>3267</v>
      </c>
      <c r="B13" s="3447" t="s">
        <v>3227</v>
      </c>
      <c r="C13" s="3447" t="s">
        <v>3228</v>
      </c>
      <c r="D13" s="3447">
        <v>22590.99</v>
      </c>
      <c r="E13" s="3447">
        <v>6777.3</v>
      </c>
      <c r="F13" s="3447" t="s">
        <v>3229</v>
      </c>
      <c r="G13" s="3447" t="s">
        <v>3230</v>
      </c>
      <c r="H13" s="3447" t="s">
        <v>3111</v>
      </c>
      <c r="I13" s="3447">
        <v>0</v>
      </c>
      <c r="J13" s="3447" t="s">
        <v>3269</v>
      </c>
      <c r="K13" s="3447" t="s">
        <v>3269</v>
      </c>
      <c r="L13" s="3447" t="s">
        <v>1298</v>
      </c>
      <c r="M13" s="3447">
        <v>1147.72</v>
      </c>
      <c r="N13" s="3447">
        <v>1693.48</v>
      </c>
      <c r="P13" s="3447" t="s">
        <v>1298</v>
      </c>
      <c r="Q13" s="3447" t="s">
        <v>3270</v>
      </c>
      <c r="R13" s="3447" t="s">
        <v>3271</v>
      </c>
      <c r="S13" s="3450">
        <f t="shared" si="0"/>
        <v>33.869719405833912</v>
      </c>
    </row>
    <row r="14" spans="1:19">
      <c r="A14" s="3447" t="s">
        <v>3267</v>
      </c>
      <c r="B14" s="3447" t="s">
        <v>3227</v>
      </c>
      <c r="C14" s="3447" t="s">
        <v>3228</v>
      </c>
      <c r="D14" s="3447">
        <v>3402.02</v>
      </c>
      <c r="E14" s="3447">
        <v>1020.61</v>
      </c>
      <c r="F14" s="3447" t="s">
        <v>3229</v>
      </c>
      <c r="G14" s="3447" t="s">
        <v>3230</v>
      </c>
      <c r="H14" s="3447" t="s">
        <v>3111</v>
      </c>
      <c r="I14" s="3447">
        <v>0</v>
      </c>
      <c r="J14" s="3447" t="s">
        <v>3269</v>
      </c>
      <c r="K14" s="3447" t="s">
        <v>3269</v>
      </c>
      <c r="L14" s="3447" t="s">
        <v>1298</v>
      </c>
      <c r="M14" s="3447">
        <v>172.91</v>
      </c>
      <c r="N14" s="3447">
        <v>1694.27</v>
      </c>
      <c r="P14" s="3447" t="s">
        <v>1298</v>
      </c>
      <c r="Q14" s="3447" t="s">
        <v>3270</v>
      </c>
      <c r="R14" s="3447" t="s">
        <v>3271</v>
      </c>
      <c r="S14" s="3450">
        <f t="shared" si="0"/>
        <v>33.883960029629449</v>
      </c>
    </row>
    <row r="15" spans="1:19">
      <c r="A15" s="3447" t="s">
        <v>3272</v>
      </c>
      <c r="B15" s="3447" t="s">
        <v>3227</v>
      </c>
      <c r="C15" s="3447" t="s">
        <v>3228</v>
      </c>
      <c r="D15" s="3447">
        <v>3987.97</v>
      </c>
      <c r="E15" s="3447">
        <v>8733.65</v>
      </c>
      <c r="F15" s="3447" t="s">
        <v>3273</v>
      </c>
      <c r="G15" s="3447" t="s">
        <v>3230</v>
      </c>
      <c r="H15" s="3447" t="s">
        <v>3111</v>
      </c>
      <c r="I15" s="3447">
        <v>0</v>
      </c>
      <c r="J15" s="3447" t="s">
        <v>3274</v>
      </c>
      <c r="K15" s="3447" t="s">
        <v>3274</v>
      </c>
      <c r="L15" s="3447">
        <v>575.79999999999995</v>
      </c>
      <c r="M15" s="3447">
        <v>575.79999999999995</v>
      </c>
      <c r="N15" s="3447">
        <v>659.29</v>
      </c>
      <c r="P15" s="3447">
        <v>0</v>
      </c>
      <c r="Q15" s="3447" t="s">
        <v>3259</v>
      </c>
      <c r="R15" s="3447" t="s">
        <v>3244</v>
      </c>
      <c r="S15" s="3450">
        <f t="shared" si="0"/>
        <v>96.256638339806955</v>
      </c>
    </row>
    <row r="16" spans="1:19">
      <c r="A16" s="3447" t="s">
        <v>3275</v>
      </c>
      <c r="B16" s="3447" t="s">
        <v>3227</v>
      </c>
      <c r="C16" s="3447" t="s">
        <v>3228</v>
      </c>
      <c r="D16" s="3447">
        <v>66617.83</v>
      </c>
      <c r="E16" s="3447">
        <v>33308.92</v>
      </c>
      <c r="F16" s="3447" t="s">
        <v>3246</v>
      </c>
      <c r="G16" s="3447" t="s">
        <v>3230</v>
      </c>
      <c r="H16" s="3447" t="s">
        <v>3247</v>
      </c>
      <c r="I16" s="3447">
        <v>0</v>
      </c>
      <c r="J16" s="3447" t="s">
        <v>3276</v>
      </c>
      <c r="K16" s="3447" t="s">
        <v>3276</v>
      </c>
      <c r="L16" s="3447" t="s">
        <v>1298</v>
      </c>
      <c r="M16" s="3447">
        <v>7661.14</v>
      </c>
      <c r="N16" s="3447">
        <v>2300.0300000000002</v>
      </c>
      <c r="P16" s="3447" t="s">
        <v>1298</v>
      </c>
      <c r="Q16" s="3447" t="s">
        <v>3250</v>
      </c>
      <c r="R16" s="3447" t="s">
        <v>3233</v>
      </c>
      <c r="S16" s="3450">
        <f t="shared" si="0"/>
        <v>76.667946160960213</v>
      </c>
    </row>
    <row r="17" spans="1:19">
      <c r="A17" s="3447" t="s">
        <v>3275</v>
      </c>
      <c r="B17" s="3447" t="s">
        <v>3227</v>
      </c>
      <c r="C17" s="3447" t="s">
        <v>3228</v>
      </c>
      <c r="D17" s="3447">
        <v>68025.56</v>
      </c>
      <c r="E17" s="3447">
        <v>34012.78</v>
      </c>
      <c r="F17" s="3447" t="s">
        <v>3246</v>
      </c>
      <c r="G17" s="3447" t="s">
        <v>3230</v>
      </c>
      <c r="H17" s="3447" t="s">
        <v>3247</v>
      </c>
      <c r="I17" s="3447">
        <v>0</v>
      </c>
      <c r="J17" s="3447" t="s">
        <v>3277</v>
      </c>
      <c r="K17" s="3447" t="s">
        <v>3277</v>
      </c>
      <c r="L17" s="3447" t="s">
        <v>1298</v>
      </c>
      <c r="M17" s="3447">
        <v>7823.03</v>
      </c>
      <c r="N17" s="3447">
        <v>2300.0300000000002</v>
      </c>
      <c r="P17" s="3447" t="s">
        <v>1298</v>
      </c>
      <c r="Q17" s="3447" t="s">
        <v>3250</v>
      </c>
      <c r="R17" s="3447" t="s">
        <v>3233</v>
      </c>
      <c r="S17" s="3450">
        <f t="shared" si="0"/>
        <v>76.667937905987102</v>
      </c>
    </row>
    <row r="18" spans="1:19" s="3452" customFormat="1">
      <c r="A18" s="3452" t="s">
        <v>3278</v>
      </c>
      <c r="B18" s="3452" t="s">
        <v>3227</v>
      </c>
      <c r="C18" s="3452" t="s">
        <v>3228</v>
      </c>
      <c r="D18" s="3452">
        <v>4485.03</v>
      </c>
      <c r="E18" s="3452">
        <v>1121.26</v>
      </c>
      <c r="F18" s="3452" t="s">
        <v>3279</v>
      </c>
      <c r="G18" s="3452" t="s">
        <v>3230</v>
      </c>
      <c r="H18" s="3452" t="s">
        <v>3110</v>
      </c>
      <c r="I18" s="3452">
        <v>0</v>
      </c>
      <c r="J18" s="3452" t="s">
        <v>3280</v>
      </c>
      <c r="K18" s="3452" t="s">
        <v>3280</v>
      </c>
      <c r="L18" s="3452">
        <v>559.37</v>
      </c>
      <c r="M18" s="3452">
        <v>559.37</v>
      </c>
      <c r="N18" s="3452">
        <v>4988.8500000000004</v>
      </c>
      <c r="O18" s="3452">
        <f>N18*0.25</f>
        <v>1247.2125000000001</v>
      </c>
      <c r="P18" s="3452">
        <v>0</v>
      </c>
      <c r="Q18" s="3452" t="s">
        <v>3281</v>
      </c>
      <c r="R18" s="3452" t="s">
        <v>3233</v>
      </c>
      <c r="S18" s="3453">
        <f t="shared" si="0"/>
        <v>83.146645150645583</v>
      </c>
    </row>
    <row r="19" spans="1:19">
      <c r="A19" s="3447" t="s">
        <v>3282</v>
      </c>
      <c r="B19" s="3447" t="s">
        <v>3227</v>
      </c>
      <c r="C19" s="3447" t="s">
        <v>3228</v>
      </c>
      <c r="D19" s="3447">
        <v>5003.05</v>
      </c>
      <c r="E19" s="3447">
        <v>3001.83</v>
      </c>
      <c r="F19" s="3447" t="s">
        <v>3283</v>
      </c>
      <c r="G19" s="3447" t="s">
        <v>3230</v>
      </c>
      <c r="H19" s="3447" t="s">
        <v>3111</v>
      </c>
      <c r="I19" s="3447">
        <v>0</v>
      </c>
      <c r="J19" s="3447" t="s">
        <v>3284</v>
      </c>
      <c r="K19" s="3447" t="s">
        <v>3284</v>
      </c>
      <c r="L19" s="3447">
        <v>548.41999999999996</v>
      </c>
      <c r="M19" s="3447">
        <v>548.41999999999996</v>
      </c>
      <c r="N19" s="3447">
        <v>1826.99</v>
      </c>
      <c r="P19" s="3447">
        <v>0</v>
      </c>
      <c r="Q19" s="3447" t="s">
        <v>3285</v>
      </c>
      <c r="R19" s="3447" t="s">
        <v>3271</v>
      </c>
      <c r="S19" s="3450">
        <f t="shared" si="0"/>
        <v>73.078454422802082</v>
      </c>
    </row>
    <row r="20" spans="1:19">
      <c r="A20" s="3447" t="s">
        <v>3286</v>
      </c>
      <c r="B20" s="3447" t="s">
        <v>3227</v>
      </c>
      <c r="C20" s="3447" t="s">
        <v>3228</v>
      </c>
      <c r="D20" s="3447">
        <v>2798.66</v>
      </c>
      <c r="E20" s="3447">
        <v>5177.5200000000004</v>
      </c>
      <c r="F20" s="3447" t="s">
        <v>3287</v>
      </c>
      <c r="G20" s="3447" t="s">
        <v>3230</v>
      </c>
      <c r="H20" s="3447" t="s">
        <v>3111</v>
      </c>
      <c r="I20" s="3447">
        <v>0</v>
      </c>
      <c r="J20" s="3447" t="s">
        <v>3288</v>
      </c>
      <c r="K20" s="3447" t="s">
        <v>3288</v>
      </c>
      <c r="L20" s="3447">
        <v>348.87</v>
      </c>
      <c r="M20" s="3447">
        <v>348.87</v>
      </c>
      <c r="N20" s="3447">
        <v>673.82</v>
      </c>
      <c r="P20" s="3447">
        <v>0</v>
      </c>
      <c r="Q20" s="3447" t="s">
        <v>3259</v>
      </c>
      <c r="R20" s="3447" t="s">
        <v>3251</v>
      </c>
      <c r="S20" s="3450">
        <f t="shared" si="0"/>
        <v>83.104472461821018</v>
      </c>
    </row>
    <row r="21" spans="1:19">
      <c r="A21" s="3447" t="s">
        <v>3289</v>
      </c>
      <c r="B21" s="3447" t="s">
        <v>3227</v>
      </c>
      <c r="C21" s="3447" t="s">
        <v>3228</v>
      </c>
      <c r="D21" s="3447">
        <v>2400.4699999999998</v>
      </c>
      <c r="E21" s="3447">
        <v>2664.52</v>
      </c>
      <c r="F21" s="3447" t="s">
        <v>3290</v>
      </c>
      <c r="G21" s="3447" t="s">
        <v>3230</v>
      </c>
      <c r="H21" s="3447" t="s">
        <v>3111</v>
      </c>
      <c r="I21" s="3447">
        <v>0</v>
      </c>
      <c r="J21" s="3447" t="s">
        <v>3291</v>
      </c>
      <c r="K21" s="3447" t="s">
        <v>3291</v>
      </c>
      <c r="L21" s="3447">
        <v>482.82</v>
      </c>
      <c r="M21" s="3447">
        <v>482.82</v>
      </c>
      <c r="N21" s="3447">
        <v>1812.06</v>
      </c>
      <c r="P21" s="3447">
        <v>0</v>
      </c>
      <c r="Q21" s="3447" t="s">
        <v>3292</v>
      </c>
      <c r="R21" s="3447" t="s">
        <v>3251</v>
      </c>
      <c r="S21" s="3450">
        <f t="shared" si="0"/>
        <v>134.09107774727448</v>
      </c>
    </row>
    <row r="22" spans="1:19">
      <c r="A22" s="3447" t="s">
        <v>3293</v>
      </c>
      <c r="B22" s="3447" t="s">
        <v>3227</v>
      </c>
      <c r="C22" s="3447" t="s">
        <v>3228</v>
      </c>
      <c r="D22" s="3447">
        <v>4258.54</v>
      </c>
      <c r="E22" s="3447">
        <v>4514.05</v>
      </c>
      <c r="F22" s="3447" t="s">
        <v>3294</v>
      </c>
      <c r="G22" s="3447" t="s">
        <v>3230</v>
      </c>
      <c r="H22" s="3447" t="s">
        <v>3111</v>
      </c>
      <c r="I22" s="3447">
        <v>0</v>
      </c>
      <c r="J22" s="3447" t="s">
        <v>3295</v>
      </c>
      <c r="K22" s="3447" t="s">
        <v>3295</v>
      </c>
      <c r="L22" s="3447">
        <v>486.43</v>
      </c>
      <c r="M22" s="3447">
        <v>486.43</v>
      </c>
      <c r="N22" s="3447">
        <v>1077.58</v>
      </c>
      <c r="P22" s="3447">
        <v>0</v>
      </c>
      <c r="Q22" s="3447" t="s">
        <v>3296</v>
      </c>
      <c r="R22" s="3447" t="s">
        <v>3251</v>
      </c>
      <c r="S22" s="3450">
        <f t="shared" si="0"/>
        <v>76.150109685479052</v>
      </c>
    </row>
    <row r="23" spans="1:19">
      <c r="A23" s="3447" t="s">
        <v>3267</v>
      </c>
      <c r="B23" s="3447" t="s">
        <v>3227</v>
      </c>
      <c r="C23" s="3447" t="s">
        <v>3228</v>
      </c>
      <c r="D23" s="3447">
        <v>2891.07</v>
      </c>
      <c r="E23" s="3447">
        <v>2457.41</v>
      </c>
      <c r="F23" s="3447" t="s">
        <v>3297</v>
      </c>
      <c r="G23" s="3447" t="s">
        <v>3230</v>
      </c>
      <c r="H23" s="3447" t="s">
        <v>3111</v>
      </c>
      <c r="I23" s="3447">
        <v>0</v>
      </c>
      <c r="J23" s="3447" t="s">
        <v>3298</v>
      </c>
      <c r="K23" s="3447" t="s">
        <v>3298</v>
      </c>
      <c r="L23" s="3447">
        <v>146.96</v>
      </c>
      <c r="M23" s="3447">
        <v>146.96</v>
      </c>
      <c r="N23" s="3447">
        <v>598.07000000000005</v>
      </c>
      <c r="P23" s="3447">
        <v>0</v>
      </c>
      <c r="Q23" s="3447" t="s">
        <v>3299</v>
      </c>
      <c r="R23" s="3447" t="s">
        <v>3271</v>
      </c>
      <c r="S23" s="3450">
        <f t="shared" si="0"/>
        <v>33.888429958458289</v>
      </c>
    </row>
    <row r="24" spans="1:19">
      <c r="A24" s="3447" t="s">
        <v>3300</v>
      </c>
      <c r="B24" s="3447" t="s">
        <v>3227</v>
      </c>
      <c r="C24" s="3447" t="s">
        <v>3228</v>
      </c>
      <c r="D24" s="3447">
        <v>26856.73</v>
      </c>
      <c r="E24" s="3447">
        <v>120855.29</v>
      </c>
      <c r="F24" s="3447" t="s">
        <v>3301</v>
      </c>
      <c r="G24" s="3447" t="s">
        <v>3230</v>
      </c>
      <c r="H24" s="3447" t="s">
        <v>3111</v>
      </c>
      <c r="I24" s="3447">
        <v>0</v>
      </c>
      <c r="J24" s="3447" t="s">
        <v>3302</v>
      </c>
      <c r="K24" s="3447" t="s">
        <v>3302</v>
      </c>
      <c r="L24" s="3447">
        <v>3828.61</v>
      </c>
      <c r="M24" s="3447">
        <v>3828.61</v>
      </c>
      <c r="N24" s="3447">
        <v>316.79000000000002</v>
      </c>
      <c r="P24" s="3447">
        <v>0</v>
      </c>
      <c r="Q24" s="3447" t="s">
        <v>3303</v>
      </c>
      <c r="R24" s="3447" t="s">
        <v>3304</v>
      </c>
      <c r="S24" s="3450">
        <f t="shared" si="0"/>
        <v>95.038354583748657</v>
      </c>
    </row>
    <row r="25" spans="1:19">
      <c r="A25" s="3447" t="s">
        <v>3305</v>
      </c>
      <c r="B25" s="3447" t="s">
        <v>3227</v>
      </c>
      <c r="C25" s="3447" t="s">
        <v>3228</v>
      </c>
      <c r="D25" s="3447">
        <v>2459.9499999999998</v>
      </c>
      <c r="E25" s="3447">
        <v>2459.9499999999998</v>
      </c>
      <c r="F25" s="3447" t="s">
        <v>3306</v>
      </c>
      <c r="G25" s="3447" t="s">
        <v>3230</v>
      </c>
      <c r="H25" s="3447" t="s">
        <v>3111</v>
      </c>
      <c r="I25" s="3447">
        <v>0</v>
      </c>
      <c r="J25" s="3447" t="s">
        <v>3307</v>
      </c>
      <c r="K25" s="3447" t="s">
        <v>3307</v>
      </c>
      <c r="L25" s="3447">
        <v>29.87</v>
      </c>
      <c r="M25" s="3447">
        <v>29.87</v>
      </c>
      <c r="N25" s="3447">
        <v>121.43</v>
      </c>
      <c r="P25" s="3447">
        <v>0</v>
      </c>
      <c r="Q25" s="3447" t="s">
        <v>3308</v>
      </c>
      <c r="R25" s="3447" t="s">
        <v>3251</v>
      </c>
      <c r="S25" s="3450">
        <f t="shared" si="0"/>
        <v>8.0950559564218789</v>
      </c>
    </row>
    <row r="26" spans="1:19" s="3452" customFormat="1">
      <c r="A26" s="3452" t="s">
        <v>3309</v>
      </c>
      <c r="B26" s="3452" t="s">
        <v>3227</v>
      </c>
      <c r="C26" s="3452" t="s">
        <v>3228</v>
      </c>
      <c r="D26" s="3452">
        <v>3989.14</v>
      </c>
      <c r="E26" s="3452">
        <v>1436.09</v>
      </c>
      <c r="F26" s="3452" t="s">
        <v>3310</v>
      </c>
      <c r="G26" s="3452" t="s">
        <v>3230</v>
      </c>
      <c r="H26" s="3452" t="s">
        <v>3111</v>
      </c>
      <c r="I26" s="3452">
        <v>0</v>
      </c>
      <c r="J26" s="3452" t="s">
        <v>3311</v>
      </c>
      <c r="K26" s="3452" t="s">
        <v>3311</v>
      </c>
      <c r="L26" s="3452">
        <v>455.66</v>
      </c>
      <c r="M26" s="3452">
        <v>455.66</v>
      </c>
      <c r="N26" s="3452">
        <v>3172.92</v>
      </c>
      <c r="O26" s="3452">
        <f>N26*0.36</f>
        <v>1142.2511999999999</v>
      </c>
      <c r="P26" s="3452">
        <v>0</v>
      </c>
      <c r="Q26" s="3452" t="s">
        <v>3312</v>
      </c>
      <c r="R26" s="3452" t="s">
        <v>3251</v>
      </c>
      <c r="S26" s="3453">
        <f t="shared" si="0"/>
        <v>76.150461553116713</v>
      </c>
    </row>
    <row r="27" spans="1:19">
      <c r="A27" s="3447" t="s">
        <v>3313</v>
      </c>
      <c r="B27" s="3447" t="s">
        <v>3227</v>
      </c>
      <c r="C27" s="3447" t="s">
        <v>3228</v>
      </c>
      <c r="D27" s="3447">
        <v>7014.12</v>
      </c>
      <c r="E27" s="3447">
        <v>41032.6</v>
      </c>
      <c r="F27" s="3447" t="s">
        <v>3314</v>
      </c>
      <c r="G27" s="3447" t="s">
        <v>3230</v>
      </c>
      <c r="H27" s="3447" t="s">
        <v>3111</v>
      </c>
      <c r="I27" s="3447">
        <v>0</v>
      </c>
      <c r="J27" s="3447" t="s">
        <v>3315</v>
      </c>
      <c r="K27" s="3447" t="s">
        <v>3315</v>
      </c>
      <c r="L27" s="3447">
        <v>6517.4</v>
      </c>
      <c r="M27" s="3447">
        <v>6517.4</v>
      </c>
      <c r="N27" s="3447">
        <v>1588.34</v>
      </c>
      <c r="P27" s="3447">
        <v>0</v>
      </c>
      <c r="Q27" s="3447" t="s">
        <v>3316</v>
      </c>
      <c r="R27" s="3447" t="s">
        <v>3251</v>
      </c>
      <c r="S27" s="3450">
        <f t="shared" si="0"/>
        <v>619.45832948395514</v>
      </c>
    </row>
    <row r="28" spans="1:19">
      <c r="A28" s="3447" t="s">
        <v>3317</v>
      </c>
      <c r="B28" s="3447" t="s">
        <v>3227</v>
      </c>
      <c r="C28" s="3447" t="s">
        <v>3228</v>
      </c>
      <c r="D28" s="3447">
        <v>2718.58</v>
      </c>
      <c r="E28" s="3447">
        <v>2772.95</v>
      </c>
      <c r="F28" s="3447" t="s">
        <v>3318</v>
      </c>
      <c r="G28" s="3447" t="s">
        <v>3230</v>
      </c>
      <c r="H28" s="3447" t="s">
        <v>3111</v>
      </c>
      <c r="I28" s="3447">
        <v>0</v>
      </c>
      <c r="J28" s="3447" t="s">
        <v>3319</v>
      </c>
      <c r="K28" s="3447" t="s">
        <v>3319</v>
      </c>
      <c r="L28" s="3447">
        <v>332.85</v>
      </c>
      <c r="M28" s="3447">
        <v>332.85</v>
      </c>
      <c r="N28" s="3447">
        <v>1200.3399999999999</v>
      </c>
      <c r="P28" s="3447">
        <v>0</v>
      </c>
      <c r="Q28" s="3447" t="s">
        <v>3320</v>
      </c>
      <c r="R28" s="3447" t="s">
        <v>3244</v>
      </c>
      <c r="S28" s="3450">
        <f t="shared" si="0"/>
        <v>81.623902735987173</v>
      </c>
    </row>
    <row r="29" spans="1:19">
      <c r="A29" s="3447" t="s">
        <v>3321</v>
      </c>
      <c r="B29" s="3447" t="s">
        <v>3227</v>
      </c>
      <c r="C29" s="3447" t="s">
        <v>3228</v>
      </c>
      <c r="D29" s="3447">
        <v>67236.600000000006</v>
      </c>
      <c r="E29" s="3447">
        <v>108923.3</v>
      </c>
      <c r="F29" s="3447" t="s">
        <v>3322</v>
      </c>
      <c r="G29" s="3447" t="s">
        <v>3230</v>
      </c>
      <c r="H29" s="3447" t="s">
        <v>3111</v>
      </c>
      <c r="I29" s="3447">
        <v>0</v>
      </c>
      <c r="J29" s="3447" t="s">
        <v>3323</v>
      </c>
      <c r="K29" s="3447" t="s">
        <v>3323</v>
      </c>
      <c r="L29" s="3447">
        <v>3713.88</v>
      </c>
      <c r="M29" s="3447">
        <v>3713.88</v>
      </c>
      <c r="N29" s="3447">
        <v>340.95</v>
      </c>
      <c r="P29" s="3447">
        <v>0</v>
      </c>
      <c r="Q29" s="3447" t="s">
        <v>3324</v>
      </c>
      <c r="R29" s="3447" t="s">
        <v>3271</v>
      </c>
      <c r="S29" s="3450">
        <f t="shared" si="0"/>
        <v>36.824175814957918</v>
      </c>
    </row>
    <row r="30" spans="1:19">
      <c r="A30" s="3447" t="s">
        <v>3325</v>
      </c>
      <c r="B30" s="3447" t="s">
        <v>3227</v>
      </c>
      <c r="C30" s="3447" t="s">
        <v>3228</v>
      </c>
      <c r="D30" s="3447">
        <v>14296.58</v>
      </c>
      <c r="E30" s="3447">
        <v>36599.24</v>
      </c>
      <c r="F30" s="3447" t="s">
        <v>3326</v>
      </c>
      <c r="G30" s="3447" t="s">
        <v>3230</v>
      </c>
      <c r="H30" s="3447" t="s">
        <v>3111</v>
      </c>
      <c r="I30" s="3447">
        <v>0</v>
      </c>
      <c r="J30" s="3447" t="s">
        <v>3327</v>
      </c>
      <c r="K30" s="3447" t="s">
        <v>3327</v>
      </c>
      <c r="L30" s="3447">
        <v>1181.45</v>
      </c>
      <c r="M30" s="3447">
        <v>1181.45</v>
      </c>
      <c r="N30" s="3447">
        <v>322.81</v>
      </c>
      <c r="P30" s="3447">
        <v>0</v>
      </c>
      <c r="Q30" s="3447" t="s">
        <v>3328</v>
      </c>
      <c r="R30" s="3447" t="s">
        <v>3251</v>
      </c>
      <c r="S30" s="3450">
        <f t="shared" si="0"/>
        <v>55.092705493201869</v>
      </c>
    </row>
    <row r="31" spans="1:19">
      <c r="A31" s="3447" t="s">
        <v>3329</v>
      </c>
      <c r="B31" s="3447" t="s">
        <v>3227</v>
      </c>
      <c r="C31" s="3447" t="s">
        <v>3228</v>
      </c>
      <c r="D31" s="3447">
        <v>3634.32</v>
      </c>
      <c r="E31" s="3447">
        <v>1090.3</v>
      </c>
      <c r="F31" s="3447" t="s">
        <v>3229</v>
      </c>
      <c r="G31" s="3447" t="s">
        <v>3230</v>
      </c>
      <c r="H31" s="3447" t="s">
        <v>3330</v>
      </c>
      <c r="I31" s="3447">
        <v>0</v>
      </c>
      <c r="J31" s="3447" t="s">
        <v>3331</v>
      </c>
      <c r="K31" s="3447" t="s">
        <v>3331</v>
      </c>
      <c r="L31" s="3447">
        <v>410.05</v>
      </c>
      <c r="M31" s="3447">
        <v>410.05</v>
      </c>
      <c r="N31" s="3447">
        <v>3760.88</v>
      </c>
      <c r="O31" s="3447">
        <f>N31*0.3</f>
        <v>1128.2639999999999</v>
      </c>
      <c r="P31" s="3447">
        <v>0</v>
      </c>
      <c r="Q31" s="3447" t="s">
        <v>3332</v>
      </c>
      <c r="R31" s="3447" t="s">
        <v>3304</v>
      </c>
      <c r="S31" s="3450">
        <f t="shared" si="0"/>
        <v>75.218481999383641</v>
      </c>
    </row>
    <row r="32" spans="1:19">
      <c r="A32" s="3447" t="s">
        <v>3333</v>
      </c>
      <c r="B32" s="3447" t="s">
        <v>3227</v>
      </c>
      <c r="C32" s="3447" t="s">
        <v>3228</v>
      </c>
      <c r="D32" s="3447">
        <v>32250.07</v>
      </c>
      <c r="E32" s="3447">
        <v>88687.69</v>
      </c>
      <c r="F32" s="3447" t="s">
        <v>3334</v>
      </c>
      <c r="G32" s="3447" t="s">
        <v>3230</v>
      </c>
      <c r="H32" s="3447" t="s">
        <v>3111</v>
      </c>
      <c r="I32" s="3447">
        <v>0</v>
      </c>
      <c r="J32" s="3447" t="s">
        <v>3335</v>
      </c>
      <c r="K32" s="3447" t="s">
        <v>3335</v>
      </c>
      <c r="L32" s="3447">
        <v>2261.8000000000002</v>
      </c>
      <c r="M32" s="3447">
        <v>2261.8000000000002</v>
      </c>
      <c r="N32" s="3447">
        <v>255.03</v>
      </c>
      <c r="P32" s="3447">
        <v>0</v>
      </c>
      <c r="Q32" s="3447" t="s">
        <v>3336</v>
      </c>
      <c r="R32" s="3447" t="s">
        <v>3304</v>
      </c>
      <c r="S32" s="3450">
        <f t="shared" si="0"/>
        <v>46.7556878481194</v>
      </c>
    </row>
    <row r="33" spans="1:19">
      <c r="A33" s="3447" t="s">
        <v>3337</v>
      </c>
      <c r="B33" s="3447" t="s">
        <v>3227</v>
      </c>
      <c r="C33" s="3447" t="s">
        <v>3228</v>
      </c>
      <c r="D33" s="3447">
        <v>5899.19</v>
      </c>
      <c r="E33" s="3447">
        <v>5309.27</v>
      </c>
      <c r="F33" s="3447" t="s">
        <v>3338</v>
      </c>
      <c r="G33" s="3447" t="s">
        <v>3230</v>
      </c>
      <c r="H33" s="3447" t="s">
        <v>3111</v>
      </c>
      <c r="I33" s="3447">
        <v>0</v>
      </c>
      <c r="J33" s="3447" t="s">
        <v>3339</v>
      </c>
      <c r="K33" s="3447" t="s">
        <v>3339</v>
      </c>
      <c r="L33" s="3447">
        <v>252.52</v>
      </c>
      <c r="M33" s="3447">
        <v>252.52</v>
      </c>
      <c r="N33" s="3447">
        <v>475.62</v>
      </c>
      <c r="P33" s="3447">
        <v>0</v>
      </c>
      <c r="Q33" s="3447" t="s">
        <v>3340</v>
      </c>
      <c r="R33" s="3447" t="s">
        <v>3271</v>
      </c>
      <c r="S33" s="3450">
        <f t="shared" si="0"/>
        <v>28.537393845595755</v>
      </c>
    </row>
    <row r="34" spans="1:19">
      <c r="A34" s="3447" t="s">
        <v>3341</v>
      </c>
      <c r="B34" s="3447" t="s">
        <v>3227</v>
      </c>
      <c r="C34" s="3447" t="s">
        <v>3228</v>
      </c>
      <c r="D34" s="3447">
        <v>4080.32</v>
      </c>
      <c r="E34" s="3447">
        <v>4080.32</v>
      </c>
      <c r="F34" s="3447" t="s">
        <v>3342</v>
      </c>
      <c r="G34" s="3447" t="s">
        <v>3230</v>
      </c>
      <c r="H34" s="3447" t="s">
        <v>3111</v>
      </c>
      <c r="I34" s="3447">
        <v>0</v>
      </c>
      <c r="J34" s="3447" t="s">
        <v>3343</v>
      </c>
      <c r="K34" s="3447" t="s">
        <v>3343</v>
      </c>
      <c r="L34" s="3447">
        <v>415.48</v>
      </c>
      <c r="M34" s="3447">
        <v>415.48</v>
      </c>
      <c r="N34" s="3447">
        <v>1018.25</v>
      </c>
      <c r="O34" s="3447">
        <f>N34</f>
        <v>1018.25</v>
      </c>
      <c r="P34" s="3447">
        <v>0</v>
      </c>
      <c r="Q34" s="3447" t="s">
        <v>3344</v>
      </c>
      <c r="R34" s="3447" t="s">
        <v>3251</v>
      </c>
    </row>
    <row r="35" spans="1:19">
      <c r="A35" s="3447" t="s">
        <v>3345</v>
      </c>
      <c r="B35" s="3447" t="s">
        <v>3227</v>
      </c>
      <c r="C35" s="3447" t="s">
        <v>3228</v>
      </c>
      <c r="D35" s="3447">
        <v>10176.67</v>
      </c>
      <c r="E35" s="3447">
        <v>55971.69</v>
      </c>
      <c r="F35" s="3447" t="s">
        <v>3346</v>
      </c>
      <c r="G35" s="3447" t="s">
        <v>3230</v>
      </c>
      <c r="H35" s="3447" t="s">
        <v>3330</v>
      </c>
      <c r="I35" s="3447">
        <v>0</v>
      </c>
      <c r="J35" s="3447" t="s">
        <v>3347</v>
      </c>
      <c r="K35" s="3447" t="s">
        <v>3347</v>
      </c>
      <c r="L35" s="3447">
        <v>10288.700000000001</v>
      </c>
      <c r="M35" s="3447">
        <v>10288.700000000001</v>
      </c>
      <c r="N35" s="3447">
        <v>1838.2</v>
      </c>
      <c r="P35" s="3447">
        <v>0</v>
      </c>
      <c r="Q35" s="3447" t="s">
        <v>3348</v>
      </c>
      <c r="R35" s="3447" t="s">
        <v>3251</v>
      </c>
    </row>
    <row r="36" spans="1:19">
      <c r="A36" s="3447" t="s">
        <v>3349</v>
      </c>
      <c r="B36" s="3447" t="s">
        <v>3227</v>
      </c>
      <c r="C36" s="3447" t="s">
        <v>3228</v>
      </c>
      <c r="D36" s="3447">
        <v>3341.37</v>
      </c>
      <c r="E36" s="3447">
        <v>8019.29</v>
      </c>
      <c r="F36" s="3447" t="s">
        <v>3350</v>
      </c>
      <c r="G36" s="3447" t="s">
        <v>3230</v>
      </c>
      <c r="H36" s="3447" t="s">
        <v>3351</v>
      </c>
      <c r="I36" s="3447">
        <v>0</v>
      </c>
      <c r="J36" s="3447" t="s">
        <v>3352</v>
      </c>
      <c r="K36" s="3447" t="s">
        <v>3352</v>
      </c>
      <c r="L36" s="3447">
        <v>684.71</v>
      </c>
      <c r="M36" s="3447">
        <v>684.71</v>
      </c>
      <c r="N36" s="3447">
        <v>853.83</v>
      </c>
      <c r="P36" s="3447">
        <v>0</v>
      </c>
      <c r="Q36" s="3447" t="s">
        <v>3353</v>
      </c>
      <c r="R36" s="3447" t="s">
        <v>3251</v>
      </c>
    </row>
    <row r="37" spans="1:19">
      <c r="A37" s="3447" t="s">
        <v>3267</v>
      </c>
      <c r="B37" s="3447" t="s">
        <v>3227</v>
      </c>
      <c r="C37" s="3447" t="s">
        <v>3228</v>
      </c>
      <c r="D37" s="3447">
        <v>13996</v>
      </c>
      <c r="E37" s="3447">
        <v>15955.44</v>
      </c>
      <c r="F37" s="3447" t="s">
        <v>3354</v>
      </c>
      <c r="G37" s="3447" t="s">
        <v>3230</v>
      </c>
      <c r="H37" s="3447" t="s">
        <v>3351</v>
      </c>
      <c r="I37" s="3447">
        <v>0</v>
      </c>
      <c r="J37" s="3447" t="s">
        <v>3355</v>
      </c>
      <c r="K37" s="3447" t="s">
        <v>3355</v>
      </c>
      <c r="L37" s="3447">
        <v>711.1</v>
      </c>
      <c r="M37" s="3447">
        <v>711.1</v>
      </c>
      <c r="N37" s="3447">
        <v>445.68</v>
      </c>
      <c r="P37" s="3447">
        <v>0</v>
      </c>
      <c r="Q37" s="3447" t="s">
        <v>3268</v>
      </c>
      <c r="R37" s="3447" t="s">
        <v>3271</v>
      </c>
    </row>
    <row r="38" spans="1:19">
      <c r="A38" s="3447" t="s">
        <v>3356</v>
      </c>
      <c r="B38" s="3447" t="s">
        <v>3227</v>
      </c>
      <c r="C38" s="3447" t="s">
        <v>3228</v>
      </c>
      <c r="D38" s="3447">
        <v>8845.14</v>
      </c>
      <c r="E38" s="3447">
        <v>33965.339999999997</v>
      </c>
      <c r="F38" s="3447" t="s">
        <v>3357</v>
      </c>
      <c r="G38" s="3447" t="s">
        <v>3230</v>
      </c>
      <c r="H38" s="3447" t="s">
        <v>3111</v>
      </c>
      <c r="I38" s="3447">
        <v>0</v>
      </c>
      <c r="J38" s="3447" t="s">
        <v>3358</v>
      </c>
      <c r="K38" s="3447" t="s">
        <v>3358</v>
      </c>
      <c r="L38" s="3447">
        <v>5758.18</v>
      </c>
      <c r="M38" s="3447">
        <v>5758.18</v>
      </c>
      <c r="N38" s="3447">
        <v>1695.3</v>
      </c>
      <c r="P38" s="3447">
        <v>0</v>
      </c>
      <c r="Q38" s="3447" t="s">
        <v>3359</v>
      </c>
      <c r="R38" s="3447" t="s">
        <v>3271</v>
      </c>
    </row>
    <row r="39" spans="1:19">
      <c r="A39" s="3447" t="s">
        <v>3356</v>
      </c>
      <c r="B39" s="3447" t="s">
        <v>3227</v>
      </c>
      <c r="C39" s="3447" t="s">
        <v>3228</v>
      </c>
      <c r="D39" s="3447">
        <v>8845.14</v>
      </c>
      <c r="E39" s="3447">
        <v>33965.339999999997</v>
      </c>
      <c r="F39" s="3447" t="s">
        <v>3357</v>
      </c>
      <c r="G39" s="3447" t="s">
        <v>3230</v>
      </c>
      <c r="H39" s="3447" t="s">
        <v>3351</v>
      </c>
      <c r="I39" s="3447">
        <v>0</v>
      </c>
      <c r="J39" s="3447" t="s">
        <v>3360</v>
      </c>
      <c r="K39" s="3447" t="s">
        <v>3358</v>
      </c>
      <c r="L39" s="3447">
        <v>5758.18</v>
      </c>
      <c r="M39" s="3447">
        <v>5758.18</v>
      </c>
      <c r="N39" s="3447">
        <v>1695.3</v>
      </c>
      <c r="P39" s="3447">
        <v>0</v>
      </c>
      <c r="Q39" s="3447" t="s">
        <v>3359</v>
      </c>
      <c r="R39" s="3447" t="s">
        <v>3271</v>
      </c>
    </row>
    <row r="40" spans="1:19">
      <c r="A40" s="3447" t="s">
        <v>3361</v>
      </c>
      <c r="B40" s="3447" t="s">
        <v>3227</v>
      </c>
      <c r="C40" s="3447" t="s">
        <v>3228</v>
      </c>
      <c r="D40" s="3447">
        <v>4215</v>
      </c>
      <c r="E40" s="3447">
        <v>843</v>
      </c>
      <c r="F40" s="3447" t="s">
        <v>3362</v>
      </c>
      <c r="G40" s="3447" t="s">
        <v>3230</v>
      </c>
      <c r="H40" s="3447" t="s">
        <v>3330</v>
      </c>
      <c r="I40" s="3447">
        <v>0</v>
      </c>
      <c r="J40" s="3447" t="s">
        <v>3363</v>
      </c>
      <c r="K40" s="3447" t="s">
        <v>3363</v>
      </c>
      <c r="L40" s="3447">
        <v>416.8</v>
      </c>
      <c r="M40" s="3447">
        <v>416.8</v>
      </c>
      <c r="N40" s="3447">
        <v>4944.25</v>
      </c>
      <c r="P40" s="3447">
        <v>0</v>
      </c>
      <c r="Q40" s="3447" t="s">
        <v>3266</v>
      </c>
      <c r="R40" s="3447" t="s">
        <v>3271</v>
      </c>
    </row>
    <row r="41" spans="1:19">
      <c r="A41" s="3447" t="s">
        <v>3364</v>
      </c>
      <c r="B41" s="3447" t="s">
        <v>3227</v>
      </c>
      <c r="C41" s="3447" t="s">
        <v>3228</v>
      </c>
      <c r="D41" s="3447">
        <v>4362.32</v>
      </c>
      <c r="E41" s="3447">
        <v>6499.86</v>
      </c>
      <c r="F41" s="3447" t="s">
        <v>3365</v>
      </c>
      <c r="G41" s="3447" t="s">
        <v>3230</v>
      </c>
      <c r="H41" s="3447" t="s">
        <v>3351</v>
      </c>
      <c r="I41" s="3447">
        <v>0</v>
      </c>
      <c r="J41" s="3447" t="s">
        <v>3366</v>
      </c>
      <c r="K41" s="3447" t="s">
        <v>3366</v>
      </c>
      <c r="L41" s="3447">
        <v>222.8</v>
      </c>
      <c r="M41" s="3447">
        <v>222.8</v>
      </c>
      <c r="N41" s="3447">
        <v>342.77</v>
      </c>
      <c r="P41" s="3447">
        <v>0</v>
      </c>
      <c r="Q41" s="3447" t="s">
        <v>3268</v>
      </c>
      <c r="R41" s="3447" t="s">
        <v>3271</v>
      </c>
    </row>
    <row r="42" spans="1:19">
      <c r="A42" s="3447" t="s">
        <v>3367</v>
      </c>
      <c r="B42" s="3447" t="s">
        <v>3227</v>
      </c>
      <c r="C42" s="3447" t="s">
        <v>3228</v>
      </c>
      <c r="D42" s="3447">
        <v>15301.36</v>
      </c>
      <c r="E42" s="3447">
        <v>44832.98</v>
      </c>
      <c r="F42" s="3447" t="s">
        <v>3368</v>
      </c>
      <c r="G42" s="3447" t="s">
        <v>3230</v>
      </c>
      <c r="H42" s="3447" t="s">
        <v>3330</v>
      </c>
      <c r="I42" s="3447">
        <v>0</v>
      </c>
      <c r="J42" s="3447" t="s">
        <v>3369</v>
      </c>
      <c r="K42" s="3447" t="s">
        <v>3370</v>
      </c>
      <c r="L42" s="3447">
        <v>5304.3</v>
      </c>
      <c r="M42" s="3447">
        <v>5304.3</v>
      </c>
      <c r="N42" s="3447">
        <v>1183.1099999999999</v>
      </c>
      <c r="P42" s="3447">
        <v>0</v>
      </c>
      <c r="Q42" s="3447" t="s">
        <v>3259</v>
      </c>
      <c r="R42" s="3447" t="s">
        <v>3251</v>
      </c>
    </row>
    <row r="43" spans="1:19">
      <c r="A43" s="3447" t="s">
        <v>3371</v>
      </c>
      <c r="B43" s="3447" t="s">
        <v>3227</v>
      </c>
      <c r="C43" s="3447" t="s">
        <v>3228</v>
      </c>
      <c r="D43" s="3447">
        <v>3113.66</v>
      </c>
      <c r="E43" s="3447">
        <v>311.37</v>
      </c>
      <c r="F43" s="3447" t="s">
        <v>3372</v>
      </c>
      <c r="G43" s="3447" t="s">
        <v>3230</v>
      </c>
      <c r="H43" s="3447" t="s">
        <v>3330</v>
      </c>
      <c r="I43" s="3447">
        <v>0</v>
      </c>
      <c r="J43" s="3447" t="s">
        <v>3373</v>
      </c>
      <c r="K43" s="3447" t="s">
        <v>3373</v>
      </c>
      <c r="L43" s="3447">
        <v>446.19</v>
      </c>
      <c r="M43" s="3447">
        <v>446.19</v>
      </c>
      <c r="N43" s="3447">
        <v>14330.21</v>
      </c>
      <c r="P43" s="3447">
        <v>0</v>
      </c>
      <c r="Q43" s="3447" t="s">
        <v>3281</v>
      </c>
      <c r="R43" s="3447" t="s">
        <v>3244</v>
      </c>
    </row>
    <row r="44" spans="1:19">
      <c r="A44" s="3447" t="s">
        <v>3374</v>
      </c>
      <c r="B44" s="3447" t="s">
        <v>3227</v>
      </c>
      <c r="C44" s="3447" t="s">
        <v>3228</v>
      </c>
      <c r="D44" s="3447">
        <v>2812.08</v>
      </c>
      <c r="E44" s="3447">
        <v>9561.07</v>
      </c>
      <c r="F44" s="3447" t="s">
        <v>3375</v>
      </c>
      <c r="G44" s="3447" t="s">
        <v>3230</v>
      </c>
      <c r="H44" s="3447" t="s">
        <v>3111</v>
      </c>
      <c r="I44" s="3447">
        <v>0</v>
      </c>
      <c r="J44" s="3447" t="s">
        <v>3376</v>
      </c>
      <c r="K44" s="3447" t="s">
        <v>3376</v>
      </c>
      <c r="L44" s="3447" t="s">
        <v>1298</v>
      </c>
      <c r="M44" s="3447">
        <v>1343.09</v>
      </c>
      <c r="N44" s="3447">
        <v>1404.75</v>
      </c>
      <c r="P44" s="3447" t="s">
        <v>1298</v>
      </c>
      <c r="Q44" s="3447" t="s">
        <v>3377</v>
      </c>
      <c r="R44" s="3447" t="s">
        <v>3251</v>
      </c>
    </row>
    <row r="45" spans="1:19">
      <c r="A45" s="3447" t="s">
        <v>3378</v>
      </c>
      <c r="B45" s="3447" t="s">
        <v>3227</v>
      </c>
      <c r="C45" s="3447" t="s">
        <v>3228</v>
      </c>
      <c r="D45" s="3447">
        <v>4726.33</v>
      </c>
      <c r="E45" s="3447">
        <v>945.27</v>
      </c>
      <c r="F45" s="3447" t="s">
        <v>3379</v>
      </c>
      <c r="G45" s="3447" t="s">
        <v>3230</v>
      </c>
      <c r="H45" s="3447" t="s">
        <v>3111</v>
      </c>
      <c r="I45" s="3447">
        <v>0</v>
      </c>
      <c r="J45" s="3447" t="s">
        <v>3380</v>
      </c>
      <c r="K45" s="3447" t="s">
        <v>3380</v>
      </c>
      <c r="L45" s="3447" t="s">
        <v>1298</v>
      </c>
      <c r="M45" s="3447">
        <v>263.60000000000002</v>
      </c>
      <c r="N45" s="3447">
        <v>2788.61</v>
      </c>
      <c r="P45" s="3447" t="s">
        <v>1298</v>
      </c>
      <c r="Q45" s="3447" t="s">
        <v>3381</v>
      </c>
      <c r="R45" s="3447" t="s">
        <v>3304</v>
      </c>
    </row>
    <row r="46" spans="1:19">
      <c r="A46" s="3447" t="s">
        <v>3382</v>
      </c>
      <c r="B46" s="3447" t="s">
        <v>3227</v>
      </c>
      <c r="C46" s="3447" t="s">
        <v>3235</v>
      </c>
      <c r="D46" s="3447">
        <v>94035.91</v>
      </c>
      <c r="E46" s="3447">
        <v>18807.18</v>
      </c>
      <c r="F46" s="3447" t="s">
        <v>3383</v>
      </c>
      <c r="G46" s="3447" t="s">
        <v>3230</v>
      </c>
      <c r="H46" s="3447" t="s">
        <v>3384</v>
      </c>
      <c r="I46" s="3447">
        <v>0</v>
      </c>
      <c r="J46" s="3447" t="s">
        <v>3385</v>
      </c>
      <c r="K46" s="3447" t="s">
        <v>3385</v>
      </c>
      <c r="L46" s="3447">
        <v>1950</v>
      </c>
      <c r="M46" s="3447">
        <v>3921.3</v>
      </c>
      <c r="N46" s="3447">
        <v>2085</v>
      </c>
      <c r="P46" s="3447">
        <v>101.09</v>
      </c>
      <c r="Q46" s="3447" t="s">
        <v>3386</v>
      </c>
      <c r="R46" s="3447" t="s">
        <v>3233</v>
      </c>
    </row>
    <row r="47" spans="1:19">
      <c r="A47" s="3447" t="s">
        <v>3382</v>
      </c>
      <c r="B47" s="3447" t="s">
        <v>3227</v>
      </c>
      <c r="C47" s="3447" t="s">
        <v>3235</v>
      </c>
      <c r="D47" s="3447">
        <v>82916.19</v>
      </c>
      <c r="E47" s="3447">
        <v>16583.240000000002</v>
      </c>
      <c r="F47" s="3447" t="s">
        <v>3383</v>
      </c>
      <c r="G47" s="3447" t="s">
        <v>3230</v>
      </c>
      <c r="H47" s="3447" t="s">
        <v>3384</v>
      </c>
      <c r="I47" s="3447">
        <v>0</v>
      </c>
      <c r="J47" s="3447" t="s">
        <v>3385</v>
      </c>
      <c r="K47" s="3447" t="s">
        <v>3385</v>
      </c>
      <c r="L47" s="3447">
        <v>3772.69</v>
      </c>
      <c r="M47" s="3447">
        <v>3772.69</v>
      </c>
      <c r="N47" s="3447">
        <v>2275</v>
      </c>
      <c r="P47" s="3447">
        <v>0</v>
      </c>
      <c r="Q47" s="3447" t="s">
        <v>3387</v>
      </c>
      <c r="R47" s="3447" t="s">
        <v>3233</v>
      </c>
    </row>
    <row r="48" spans="1:19">
      <c r="A48" s="3447" t="s">
        <v>3388</v>
      </c>
      <c r="B48" s="3447" t="s">
        <v>3227</v>
      </c>
      <c r="C48" s="3447" t="s">
        <v>3228</v>
      </c>
      <c r="D48" s="3447">
        <v>3653.01</v>
      </c>
      <c r="E48" s="3447">
        <v>7306.02</v>
      </c>
      <c r="F48" s="3447" t="s">
        <v>3389</v>
      </c>
      <c r="G48" s="3447" t="s">
        <v>3230</v>
      </c>
      <c r="H48" s="3447" t="s">
        <v>3111</v>
      </c>
      <c r="I48" s="3447">
        <v>0</v>
      </c>
      <c r="J48" s="3447" t="s">
        <v>3390</v>
      </c>
      <c r="K48" s="3447" t="s">
        <v>3390</v>
      </c>
      <c r="L48" s="3447">
        <v>184.09</v>
      </c>
      <c r="M48" s="3447">
        <v>184.09</v>
      </c>
      <c r="N48" s="3447">
        <v>251.97</v>
      </c>
      <c r="P48" s="3447">
        <v>0</v>
      </c>
      <c r="Q48" s="3447" t="s">
        <v>3268</v>
      </c>
      <c r="R48" s="3447" t="s">
        <v>3271</v>
      </c>
    </row>
    <row r="49" spans="1:18">
      <c r="A49" s="3447" t="s">
        <v>3391</v>
      </c>
      <c r="B49" s="3447" t="s">
        <v>3227</v>
      </c>
      <c r="C49" s="3447" t="s">
        <v>3228</v>
      </c>
      <c r="D49" s="3447">
        <v>981.32</v>
      </c>
      <c r="E49" s="3447">
        <v>1864.51</v>
      </c>
      <c r="F49" s="3447" t="s">
        <v>3392</v>
      </c>
      <c r="G49" s="3447" t="s">
        <v>3230</v>
      </c>
      <c r="H49" s="3447" t="s">
        <v>3111</v>
      </c>
      <c r="I49" s="3447">
        <v>0</v>
      </c>
      <c r="J49" s="3447" t="s">
        <v>3393</v>
      </c>
      <c r="K49" s="3447" t="s">
        <v>3393</v>
      </c>
      <c r="L49" s="3447" t="s">
        <v>1298</v>
      </c>
      <c r="M49" s="3447">
        <v>60.64</v>
      </c>
      <c r="N49" s="3447">
        <v>325.29000000000002</v>
      </c>
      <c r="P49" s="3447" t="s">
        <v>1298</v>
      </c>
      <c r="Q49" s="3447" t="s">
        <v>3394</v>
      </c>
      <c r="R49" s="3447" t="s">
        <v>3271</v>
      </c>
    </row>
    <row r="50" spans="1:18">
      <c r="A50" s="3447" t="s">
        <v>3395</v>
      </c>
      <c r="B50" s="3447" t="s">
        <v>3227</v>
      </c>
      <c r="C50" s="3447" t="s">
        <v>3228</v>
      </c>
      <c r="D50" s="3447">
        <v>3461.3</v>
      </c>
      <c r="E50" s="3447">
        <v>3807.43</v>
      </c>
      <c r="F50" s="3447" t="s">
        <v>3396</v>
      </c>
      <c r="G50" s="3447" t="s">
        <v>3230</v>
      </c>
      <c r="H50" s="3447" t="s">
        <v>3111</v>
      </c>
      <c r="I50" s="3447">
        <v>0</v>
      </c>
      <c r="J50" s="3447" t="s">
        <v>3397</v>
      </c>
      <c r="K50" s="3447" t="s">
        <v>3397</v>
      </c>
      <c r="L50" s="3447" t="s">
        <v>1298</v>
      </c>
      <c r="M50" s="3447">
        <v>523.70000000000005</v>
      </c>
      <c r="N50" s="3447">
        <v>1375.47</v>
      </c>
      <c r="P50" s="3447" t="s">
        <v>1298</v>
      </c>
      <c r="Q50" s="3447" t="s">
        <v>3398</v>
      </c>
      <c r="R50" s="3447" t="s">
        <v>3251</v>
      </c>
    </row>
    <row r="51" spans="1:18">
      <c r="A51" s="3447" t="s">
        <v>3399</v>
      </c>
      <c r="B51" s="3447" t="s">
        <v>3227</v>
      </c>
      <c r="C51" s="3447" t="s">
        <v>3228</v>
      </c>
      <c r="D51" s="3447">
        <v>10964.12</v>
      </c>
      <c r="E51" s="3447">
        <v>64688.31</v>
      </c>
      <c r="F51" s="3447" t="s">
        <v>3400</v>
      </c>
      <c r="G51" s="3447" t="s">
        <v>3230</v>
      </c>
      <c r="H51" s="3447" t="s">
        <v>3330</v>
      </c>
      <c r="I51" s="3447">
        <v>0</v>
      </c>
      <c r="J51" s="3447" t="s">
        <v>3401</v>
      </c>
      <c r="K51" s="3447" t="s">
        <v>3401</v>
      </c>
      <c r="L51" s="3447" t="s">
        <v>1298</v>
      </c>
      <c r="M51" s="3447">
        <v>1396.82</v>
      </c>
      <c r="N51" s="3447">
        <v>215.93</v>
      </c>
      <c r="P51" s="3447" t="s">
        <v>1298</v>
      </c>
      <c r="Q51" s="3447" t="s">
        <v>3402</v>
      </c>
      <c r="R51" s="3447" t="s">
        <v>3251</v>
      </c>
    </row>
  </sheetData>
  <phoneticPr fontId="140" type="noConversion"/>
  <pageMargins left="0.75" right="0.75" top="1" bottom="1" header="0.5" footer="0.5"/>
  <pageSetup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742" t="s">
        <v>1627</v>
      </c>
      <c r="B1" s="3742"/>
      <c r="C1" s="3742"/>
      <c r="D1" s="3742"/>
    </row>
    <row r="2" spans="1:4" ht="18">
      <c r="A2" s="3743" t="s">
        <v>1611</v>
      </c>
      <c r="B2" s="3743"/>
      <c r="C2" s="3743"/>
      <c r="D2" s="3743"/>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743" t="s">
        <v>1617</v>
      </c>
      <c r="B6" s="3743"/>
      <c r="C6" s="3743"/>
      <c r="D6" s="374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744" t="s">
        <v>1620</v>
      </c>
      <c r="B11" s="3745"/>
      <c r="C11" s="3745"/>
      <c r="D11" s="3745"/>
    </row>
    <row r="12" spans="1:4" ht="15.75">
      <c r="A12" s="37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6"/>
      <c r="C12" s="3746"/>
      <c r="D12" s="3746"/>
    </row>
    <row r="13" spans="1:4" ht="30" customHeight="1">
      <c r="A13" s="3745" t="str">
        <f>IF(项目基本情况!B8="抵押","3.抵押双方在办理抵押登记手续时，应使用本公司出具的正式《房地产评估报告》，特提醒报告使用者注意。","——")</f>
        <v>——</v>
      </c>
      <c r="B13" s="3746"/>
      <c r="C13" s="3746"/>
      <c r="D13" s="3746"/>
    </row>
    <row r="14" spans="1:4" ht="15.75" customHeight="1">
      <c r="A14" s="3745" t="str">
        <f>IF(项目基本情况!B8="抵押","4.本次评估估价师所知悉的法定优先受偿款情况说明如下：","——")</f>
        <v>——</v>
      </c>
      <c r="B14" s="3746"/>
      <c r="C14" s="3746"/>
      <c r="D14" s="3746"/>
    </row>
    <row r="15" spans="1:4" ht="42" customHeight="1">
      <c r="A15" s="3745" t="str">
        <f>IF(项目基本情况!B8="抵押","（1）"&amp;CONCATENATE(项目基本情况!L20,项目基本情况!L21,项目基本情况!L22),"——")</f>
        <v>——</v>
      </c>
      <c r="B15" s="3745"/>
      <c r="C15" s="3745"/>
      <c r="D15" s="3745"/>
    </row>
    <row r="16" spans="1:4" ht="30" customHeight="1">
      <c r="A16" s="3748" t="s">
        <v>1621</v>
      </c>
      <c r="B16" s="3748"/>
      <c r="C16" s="3748"/>
      <c r="D16" s="3748"/>
    </row>
    <row r="17" spans="1:4" ht="144" customHeight="1">
      <c r="A17" s="3748" t="s">
        <v>1622</v>
      </c>
      <c r="B17" s="3748"/>
      <c r="C17" s="3748"/>
      <c r="D17" s="3748"/>
    </row>
    <row r="18" spans="1:4" ht="15.75" customHeight="1">
      <c r="A18" s="3745" t="str">
        <f>IF(项目基本情况!B8="抵押",结果表!K120,"——")</f>
        <v>——</v>
      </c>
      <c r="B18" s="3745"/>
      <c r="C18" s="3745"/>
      <c r="D18" s="3745"/>
    </row>
    <row r="19" spans="1:4" ht="46.5" customHeight="1">
      <c r="A19" s="37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5"/>
      <c r="C19" s="3745"/>
      <c r="D19" s="3745"/>
    </row>
    <row r="20" spans="1:4" ht="57.75" customHeight="1">
      <c r="A20" s="37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5"/>
      <c r="C20" s="3745"/>
      <c r="D20" s="3745"/>
    </row>
    <row r="21" spans="1:4" ht="57.75" customHeight="1">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spans="1:4" ht="18.75" customHeight="1">
      <c r="A22" s="3750" t="s">
        <v>1623</v>
      </c>
      <c r="B22" s="3750"/>
      <c r="C22" s="3750"/>
      <c r="D22" s="375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747">
        <v>42551</v>
      </c>
      <c r="D31" s="37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56" t="s">
        <v>1634</v>
      </c>
      <c r="B15" s="3751" t="s">
        <v>136</v>
      </c>
      <c r="C15" s="3752"/>
    </row>
    <row r="16" spans="1:7" ht="13.5">
      <c r="A16" s="3757"/>
      <c r="B16" s="3751" t="s">
        <v>69</v>
      </c>
      <c r="C16" s="3752"/>
    </row>
    <row r="17" spans="1:3" ht="13.5">
      <c r="A17" s="3757"/>
      <c r="B17" s="3754" t="s">
        <v>1635</v>
      </c>
      <c r="C17" s="1717" t="s">
        <v>1634</v>
      </c>
    </row>
    <row r="18" spans="1:3" ht="13.5">
      <c r="A18" s="3757"/>
      <c r="B18" s="3754"/>
      <c r="C18" s="1717" t="s">
        <v>1636</v>
      </c>
    </row>
    <row r="19" spans="1:3" ht="13.5">
      <c r="A19" s="3757"/>
      <c r="B19" s="3754"/>
      <c r="C19" s="1717" t="s">
        <v>1637</v>
      </c>
    </row>
    <row r="20" spans="1:3" ht="13.5">
      <c r="A20" s="3758"/>
      <c r="B20" s="3753" t="s">
        <v>1638</v>
      </c>
      <c r="C20" s="3752"/>
    </row>
    <row r="21" spans="1:3" ht="13.5">
      <c r="A21" s="1718" t="s">
        <v>1639</v>
      </c>
      <c r="B21" s="1719"/>
      <c r="C21" s="1720"/>
    </row>
    <row r="22" spans="1:3" ht="13.5">
      <c r="A22" s="3755" t="s">
        <v>1640</v>
      </c>
      <c r="B22" s="3753" t="s">
        <v>1641</v>
      </c>
      <c r="C22" s="3752"/>
    </row>
    <row r="23" spans="1:3" ht="13.5">
      <c r="A23" s="3755"/>
      <c r="B23" s="3753" t="s">
        <v>1642</v>
      </c>
      <c r="C23" s="3752"/>
    </row>
    <row r="24" spans="1:3" ht="13.5">
      <c r="A24" s="3755"/>
      <c r="B24" s="3753" t="s">
        <v>1643</v>
      </c>
      <c r="C24" s="3752"/>
    </row>
    <row r="25" spans="1:3" ht="13.5">
      <c r="A25" s="3755"/>
      <c r="B25" s="3754" t="s">
        <v>1644</v>
      </c>
      <c r="C25" s="1717" t="s">
        <v>1645</v>
      </c>
    </row>
    <row r="26" spans="1:3" ht="13.5">
      <c r="A26" s="3755"/>
      <c r="B26" s="3754"/>
      <c r="C26" s="1717" t="s">
        <v>1646</v>
      </c>
    </row>
    <row r="27" spans="1:3" ht="13.5">
      <c r="A27" s="3755"/>
      <c r="B27" s="3754"/>
      <c r="C27" s="1717" t="s">
        <v>1647</v>
      </c>
    </row>
    <row r="28" spans="1:3" ht="13.5">
      <c r="A28" s="3755"/>
      <c r="B28" s="3754"/>
      <c r="C28" s="1717" t="s">
        <v>1648</v>
      </c>
    </row>
    <row r="29" spans="1:3" ht="13.5">
      <c r="A29" s="3755"/>
      <c r="B29" s="3754"/>
      <c r="C29" s="1717" t="s">
        <v>1649</v>
      </c>
    </row>
    <row r="30" spans="1:3" ht="13.5">
      <c r="A30" s="3755"/>
      <c r="B30" s="3754"/>
      <c r="C30" s="1717" t="s">
        <v>1650</v>
      </c>
    </row>
    <row r="31" spans="1:3" ht="13.5">
      <c r="A31" s="3755"/>
      <c r="B31" s="3754"/>
      <c r="C31" s="1717" t="s">
        <v>1651</v>
      </c>
    </row>
    <row r="32" spans="1:3" ht="13.5">
      <c r="A32" s="3755"/>
      <c r="B32" s="3754"/>
      <c r="C32" s="1717" t="s">
        <v>1652</v>
      </c>
    </row>
    <row r="33" spans="1:3" ht="13.5">
      <c r="A33" s="3755"/>
      <c r="B33" s="375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44529</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59" t="s">
        <v>2903</v>
      </c>
      <c r="B17" s="3759"/>
      <c r="C17" s="3759"/>
      <c r="D17" s="3759"/>
      <c r="E17" s="3759"/>
      <c r="F17" s="3759"/>
      <c r="G17" s="3759"/>
      <c r="H17" s="3759"/>
    </row>
    <row r="18" spans="1:8" ht="24" customHeight="1">
      <c r="A18" s="3760" t="s">
        <v>2904</v>
      </c>
      <c r="B18" s="3760"/>
      <c r="C18" s="3760"/>
      <c r="D18" s="2566"/>
      <c r="E18" s="3761" t="s">
        <v>2905</v>
      </c>
      <c r="F18" s="3760"/>
      <c r="G18" s="376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经营性测算 (无租约)</vt:lpstr>
      <vt:lpstr>油品</vt:lpstr>
      <vt:lpstr>Sheet3</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2021-11-29T01:16:41Z</dcterms:modified>
</cp:coreProperties>
</file>