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300" yWindow="90" windowWidth="13410" windowHeight="118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租赁情况" sheetId="81"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面积表" sheetId="80"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3" hidden="1">租赁情况!$A$2:$B$79</definedName>
    <definedName name="_Hlk484976287" localSheetId="46">面积表!$B$4</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5" i="74" l="1"/>
  <c r="B15" i="74"/>
  <c r="D15" i="74" l="1"/>
  <c r="G15" i="74" l="1"/>
  <c r="L80" i="81" l="1"/>
  <c r="F80" i="81"/>
  <c r="M80" i="81"/>
  <c r="M71" i="81"/>
  <c r="M72" i="81"/>
  <c r="M73" i="81"/>
  <c r="M74" i="81"/>
  <c r="M75" i="81"/>
  <c r="M76" i="81"/>
  <c r="M77" i="81"/>
  <c r="M78" i="81"/>
  <c r="M79" i="81"/>
  <c r="M70" i="81"/>
  <c r="M69" i="81"/>
  <c r="M68" i="81"/>
  <c r="M67" i="81"/>
  <c r="M66" i="81"/>
  <c r="M65" i="81"/>
  <c r="M64" i="81"/>
  <c r="M63" i="81"/>
  <c r="M62" i="81"/>
  <c r="M61" i="81"/>
  <c r="M60" i="81"/>
  <c r="M59" i="81"/>
  <c r="M58" i="81"/>
  <c r="M57" i="81"/>
  <c r="M56" i="81"/>
  <c r="M55" i="81"/>
  <c r="M54" i="81"/>
  <c r="M53" i="81"/>
  <c r="M52" i="81"/>
  <c r="M51" i="81"/>
  <c r="M50" i="81"/>
  <c r="M49" i="81"/>
  <c r="M48" i="81"/>
  <c r="M47" i="81"/>
  <c r="M46" i="81"/>
  <c r="M45" i="81"/>
  <c r="M44" i="81"/>
  <c r="M43" i="81"/>
  <c r="M42" i="81"/>
  <c r="M41" i="81"/>
  <c r="M40" i="81"/>
  <c r="M39" i="81"/>
  <c r="M38" i="81"/>
  <c r="M37" i="81"/>
  <c r="M36" i="81"/>
  <c r="M35" i="81"/>
  <c r="M34" i="81"/>
  <c r="M33" i="81"/>
  <c r="M32" i="81"/>
  <c r="M31" i="81"/>
  <c r="M30" i="81"/>
  <c r="M29" i="81"/>
  <c r="M28" i="81"/>
  <c r="M27" i="81"/>
  <c r="M26" i="81"/>
  <c r="M25" i="81"/>
  <c r="M24" i="81"/>
  <c r="M23" i="81"/>
  <c r="M22" i="81"/>
  <c r="M21" i="81"/>
  <c r="M20" i="81"/>
  <c r="M19" i="81"/>
  <c r="M18" i="81"/>
  <c r="M17" i="81"/>
  <c r="M16" i="81"/>
  <c r="M15" i="81"/>
  <c r="M14" i="81"/>
  <c r="M13" i="81"/>
  <c r="M12" i="81"/>
  <c r="M11" i="81"/>
  <c r="M10" i="81"/>
  <c r="M9" i="81"/>
  <c r="M8" i="81"/>
  <c r="M7" i="81"/>
  <c r="M6" i="81"/>
  <c r="M5" i="81"/>
  <c r="M4" i="81"/>
  <c r="M3" i="81"/>
  <c r="M2" i="81"/>
  <c r="O2" i="81" s="1"/>
  <c r="D14" i="9"/>
  <c r="Y6" i="1"/>
  <c r="G29" i="80"/>
  <c r="I13" i="3" s="1"/>
  <c r="J52" i="67" l="1"/>
  <c r="J49" i="67"/>
  <c r="J52" i="15"/>
  <c r="B35" i="1"/>
  <c r="B21" i="1"/>
  <c r="N21" i="1"/>
  <c r="N19" i="1"/>
  <c r="D3" i="4" l="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c r="E59" i="71"/>
  <c r="E60" i="71"/>
  <c r="U60" i="71" s="1"/>
  <c r="E63" i="71"/>
  <c r="E64" i="71" s="1"/>
  <c r="U64" i="7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c r="E26" i="71" s="1"/>
  <c r="AA3" i="71"/>
  <c r="AA25" i="71"/>
  <c r="AA26" i="71"/>
  <c r="AA27" i="71"/>
  <c r="AA28" i="71"/>
  <c r="D28" i="71"/>
  <c r="U28" i="71"/>
  <c r="C66" i="71"/>
  <c r="O67" i="71"/>
  <c r="D67" i="71"/>
  <c r="C64" i="71"/>
  <c r="T64" i="71" s="1"/>
  <c r="D63"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43" i="71"/>
  <c r="D39" i="71"/>
  <c r="C36" i="71"/>
  <c r="D35" i="71"/>
  <c r="C32" i="71"/>
  <c r="D31" i="71"/>
  <c r="D26" i="71"/>
  <c r="D27" i="71"/>
  <c r="V28" i="71"/>
  <c r="P65" i="71"/>
  <c r="O66" i="71"/>
  <c r="D66" i="71"/>
  <c r="O65" i="71"/>
  <c r="T32" i="71"/>
  <c r="D32" i="71"/>
  <c r="T36" i="71"/>
  <c r="D36" i="71"/>
  <c r="T40" i="71"/>
  <c r="D40" i="71"/>
  <c r="T44" i="71"/>
  <c r="D44" i="71"/>
  <c r="T52" i="71"/>
  <c r="D52" i="71"/>
  <c r="T56" i="71"/>
  <c r="D56" i="71"/>
  <c r="T60" i="71"/>
  <c r="D60"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s="1"/>
  <c r="H37" i="34"/>
  <c r="U37" i="34" s="1"/>
  <c r="H25" i="34"/>
  <c r="AB25" i="34"/>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46" i="33"/>
  <c r="AA14" i="33"/>
  <c r="J36" i="37"/>
  <c r="AC36" i="37" s="1"/>
  <c r="J10" i="36"/>
  <c r="AC10" i="36" s="1"/>
  <c r="AB26" i="33"/>
  <c r="AB30" i="21"/>
  <c r="AA14" i="37"/>
  <c r="W31" i="34"/>
  <c r="AC13" i="36"/>
  <c r="W13" i="36"/>
  <c r="S11" i="36"/>
  <c r="AC30" i="34"/>
  <c r="S45" i="33"/>
  <c r="AB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A12" i="35"/>
  <c r="W23" i="35"/>
  <c r="W14" i="37"/>
  <c r="U33" i="37"/>
  <c r="U39" i="37"/>
  <c r="W26" i="37"/>
  <c r="U26" i="37"/>
  <c r="W47" i="34"/>
  <c r="AB13" i="34"/>
  <c r="AC36" i="34"/>
  <c r="AA13" i="33"/>
  <c r="AC31" i="33"/>
  <c r="AC45" i="33"/>
  <c r="W44" i="33"/>
  <c r="U11" i="33"/>
  <c r="U19" i="21"/>
  <c r="U26" i="21"/>
  <c r="U12"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W11" i="39" s="1"/>
  <c r="F11" i="39"/>
  <c r="AA11" i="39" s="1"/>
  <c r="S11" i="39"/>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G509" i="3"/>
  <c r="BL493" i="3"/>
  <c r="AZ491" i="3"/>
  <c r="AZ376" i="3"/>
  <c r="AZ390" i="3"/>
  <c r="AZ382" i="3"/>
  <c r="AZ493" i="3"/>
  <c r="U36" i="40"/>
  <c r="F83" i="43"/>
  <c r="H85" i="43" s="1"/>
  <c r="F50" i="43"/>
  <c r="H54" i="43" s="1"/>
  <c r="F72" i="43"/>
  <c r="H75" i="43" s="1"/>
  <c r="U17" i="39"/>
  <c r="S14" i="35"/>
  <c r="AC35"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F28" i="6"/>
  <c r="BL14" i="3"/>
  <c r="AZ266" i="3"/>
  <c r="U30" i="33"/>
  <c r="AC13" i="34"/>
  <c r="AA47" i="34"/>
  <c r="W28" i="37"/>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J10" i="33"/>
  <c r="W10" i="33" s="1"/>
  <c r="H10" i="33"/>
  <c r="U10" i="33" s="1"/>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W29" i="21"/>
  <c r="S19" i="21"/>
  <c r="S9" i="21"/>
  <c r="AA9" i="21"/>
  <c r="K141" i="21"/>
  <c r="K144" i="21"/>
  <c r="K143" i="21"/>
  <c r="U27" i="21"/>
  <c r="AB25" i="21"/>
  <c r="AB44" i="21"/>
  <c r="AA30" i="21"/>
  <c r="W13" i="21"/>
  <c r="AC45" i="21"/>
  <c r="F10" i="21"/>
  <c r="AA10" i="21" s="1"/>
  <c r="K145" i="21"/>
  <c r="W25" i="21"/>
  <c r="AA29"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32" i="39"/>
  <c r="U21" i="39"/>
  <c r="S21"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J23" i="21"/>
  <c r="W23" i="21" s="1"/>
  <c r="H23" i="21"/>
  <c r="S13" i="21"/>
  <c r="AP7" i="1"/>
  <c r="AB45" i="21"/>
  <c r="AB9" i="21"/>
  <c r="U9" i="21"/>
  <c r="AC9" i="21"/>
  <c r="U32" i="39"/>
  <c r="AC32" i="39"/>
  <c r="W32" i="39"/>
  <c r="W19" i="37"/>
  <c r="AC19" i="37"/>
  <c r="AC23" i="37"/>
  <c r="J11" i="37"/>
  <c r="AC11" i="37" s="1"/>
  <c r="J11" i="34"/>
  <c r="W11" i="34" s="1"/>
  <c r="AB36" i="33"/>
  <c r="W27" i="33"/>
  <c r="W25" i="33"/>
  <c r="AA23" i="33"/>
  <c r="S23" i="33"/>
  <c r="AB19" i="33"/>
  <c r="AA17" i="33"/>
  <c r="U17" i="33"/>
  <c r="AB17" i="33"/>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6" i="67"/>
  <c r="M28" i="15"/>
  <c r="C76" i="67"/>
  <c r="D3" i="73"/>
  <c r="D35" i="9"/>
  <c r="E12" i="76"/>
  <c r="E10" i="76"/>
  <c r="E13" i="76"/>
  <c r="D5" i="73"/>
  <c r="D34" i="9"/>
  <c r="M9" i="15"/>
  <c r="J15" i="15"/>
  <c r="F13" i="15"/>
  <c r="F43" i="15"/>
  <c r="B13" i="76"/>
  <c r="E9" i="76"/>
  <c r="F5" i="73"/>
  <c r="F37" i="15"/>
  <c r="F4" i="73"/>
  <c r="F7" i="73"/>
  <c r="B12" i="76"/>
  <c r="AO13" i="1"/>
  <c r="F3" i="73"/>
  <c r="F40" i="15"/>
  <c r="F37" i="67"/>
  <c r="L48" i="15"/>
  <c r="B8" i="76"/>
  <c r="M6" i="15"/>
  <c r="F9" i="15"/>
  <c r="M22" i="67"/>
  <c r="F36" i="67"/>
  <c r="F16" i="15"/>
  <c r="M24" i="67"/>
  <c r="E2" i="69"/>
  <c r="B11" i="76"/>
  <c r="E2" i="68"/>
  <c r="E11" i="76"/>
  <c r="F20" i="31"/>
  <c r="M23" i="15"/>
  <c r="F6" i="73"/>
  <c r="F16" i="67"/>
  <c r="F7" i="15"/>
  <c r="M28" i="67"/>
  <c r="F26" i="67"/>
  <c r="D4" i="73"/>
  <c r="F40" i="67"/>
  <c r="M8" i="15"/>
  <c r="F13" i="67"/>
  <c r="E7" i="76"/>
  <c r="B7" i="76"/>
  <c r="D7" i="73"/>
  <c r="B9" i="76"/>
  <c r="B10" i="76"/>
  <c r="M24" i="15"/>
  <c r="D6" i="73"/>
  <c r="M23" i="67"/>
  <c r="E8" i="76"/>
  <c r="G6" i="1" l="1"/>
  <c r="I24" i="43"/>
  <c r="D88" i="43"/>
  <c r="F29" i="6"/>
  <c r="A15" i="62"/>
  <c r="B61" i="72" s="1"/>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F28" i="67"/>
  <c r="C28" i="67" s="1"/>
  <c r="F32" i="15"/>
  <c r="F60" i="15" s="1"/>
  <c r="F52" i="9"/>
  <c r="F30" i="68"/>
  <c r="F48" i="68" s="1"/>
  <c r="E19" i="71"/>
  <c r="E18" i="71" s="1"/>
  <c r="E17" i="71" s="1"/>
  <c r="E16" i="71" s="1"/>
  <c r="V20" i="71"/>
  <c r="AZ521" i="3"/>
  <c r="AZ497" i="3"/>
  <c r="BL5" i="3"/>
  <c r="D17" i="71"/>
  <c r="C16" i="71"/>
  <c r="D16" i="53"/>
  <c r="B34" i="72" s="1"/>
  <c r="D6" i="52"/>
  <c r="AB15" i="21"/>
  <c r="AC17" i="37"/>
  <c r="D68" i="9"/>
  <c r="M18" i="15"/>
  <c r="F30" i="69"/>
  <c r="F48" i="69" s="1"/>
  <c r="M18" i="67"/>
  <c r="F31" i="12"/>
  <c r="C31" i="12" s="1"/>
  <c r="F30" i="11"/>
  <c r="C48" i="11" s="1"/>
  <c r="W30" i="40"/>
  <c r="W17" i="21"/>
  <c r="AC15" i="21"/>
  <c r="S23" i="39"/>
  <c r="AA39" i="39"/>
  <c r="W27" i="40"/>
  <c r="S20" i="35"/>
  <c r="U12" i="39"/>
  <c r="AA27" i="40"/>
  <c r="AB27" i="40"/>
  <c r="G28" i="6"/>
  <c r="U12" i="35"/>
  <c r="AB12" i="35"/>
  <c r="S38" i="40"/>
  <c r="AA38" i="40"/>
  <c r="G5" i="3"/>
  <c r="B3" i="3" s="1"/>
  <c r="E253" i="3" s="1"/>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56" i="3"/>
  <c r="E238" i="3"/>
  <c r="E434" i="3"/>
  <c r="E128" i="3"/>
  <c r="E262" i="3"/>
  <c r="E120" i="3"/>
  <c r="E177" i="3"/>
  <c r="E330" i="3"/>
  <c r="Q6" i="3"/>
  <c r="E437" i="3"/>
  <c r="E481" i="3"/>
  <c r="E424" i="3"/>
  <c r="E344" i="3"/>
  <c r="AE6" i="3"/>
  <c r="E429" i="3"/>
  <c r="E496" i="3"/>
  <c r="E55" i="3"/>
  <c r="E73" i="3"/>
  <c r="E203" i="3"/>
  <c r="E256" i="3"/>
  <c r="E274" i="3"/>
  <c r="E394"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M7" i="15"/>
  <c r="J6" i="15" s="1"/>
  <c r="F50" i="15"/>
  <c r="F71" i="15"/>
  <c r="Q71" i="67"/>
  <c r="C27" i="67"/>
  <c r="F65" i="15"/>
  <c r="B13" i="70"/>
  <c r="F68" i="67"/>
  <c r="F64" i="67"/>
  <c r="F68" i="15"/>
  <c r="C36" i="68"/>
  <c r="D9" i="69"/>
  <c r="F27" i="69"/>
  <c r="C36" i="69"/>
  <c r="D9" i="68"/>
  <c r="F43" i="67"/>
  <c r="F42" i="67"/>
  <c r="M26" i="15"/>
  <c r="F42" i="15"/>
  <c r="M9" i="67"/>
  <c r="M26" i="67"/>
  <c r="F7" i="67"/>
  <c r="F9" i="67"/>
  <c r="J15" i="67"/>
  <c r="M29" i="15"/>
  <c r="F36" i="15"/>
  <c r="L47" i="15"/>
  <c r="F8" i="15"/>
  <c r="G1" i="73"/>
  <c r="L47" i="67"/>
  <c r="F38" i="67"/>
  <c r="F6" i="15"/>
  <c r="M22" i="15"/>
  <c r="C76" i="15"/>
  <c r="F26" i="15"/>
  <c r="M6" i="67"/>
  <c r="F8" i="67"/>
  <c r="F38" i="15"/>
  <c r="L48" i="67"/>
  <c r="M29" i="67"/>
  <c r="M8" i="67"/>
  <c r="C16" i="15"/>
  <c r="E441" i="3" l="1"/>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362" i="3"/>
  <c r="E315" i="3"/>
  <c r="E214" i="3"/>
  <c r="E171" i="3"/>
  <c r="E146" i="3"/>
  <c r="E106" i="3"/>
  <c r="E454" i="3"/>
  <c r="E468" i="3"/>
  <c r="E577" i="3"/>
  <c r="E587" i="3"/>
  <c r="E465" i="3"/>
  <c r="E406" i="3"/>
  <c r="E472" i="3"/>
  <c r="E560" i="3"/>
  <c r="K6" i="3"/>
  <c r="E133" i="3"/>
  <c r="E277" i="3"/>
  <c r="E228" i="3"/>
  <c r="AK6" i="3"/>
  <c r="E545" i="3"/>
  <c r="E181" i="3"/>
  <c r="E568" i="3"/>
  <c r="E77"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59" i="40"/>
  <c r="P6" i="1"/>
  <c r="C13" i="12" s="1"/>
  <c r="C30" i="11"/>
  <c r="C30" i="68"/>
  <c r="F51" i="15"/>
  <c r="C27" i="15"/>
  <c r="L58" i="15"/>
  <c r="Q73" i="15" s="1"/>
  <c r="N59" i="15"/>
  <c r="M59" i="15"/>
  <c r="L59" i="15"/>
  <c r="Q74" i="15" s="1"/>
  <c r="Q71" i="15"/>
  <c r="F64" i="15"/>
  <c r="J53" i="67"/>
  <c r="Q52" i="67" s="1"/>
  <c r="J57" i="67"/>
  <c r="J55" i="67" s="1"/>
  <c r="J58" i="67" s="1"/>
  <c r="Q50" i="67" s="1"/>
  <c r="I54" i="67"/>
  <c r="L56" i="67"/>
  <c r="F31" i="15"/>
  <c r="C6" i="15"/>
  <c r="C32" i="15" s="1"/>
  <c r="F66" i="15"/>
  <c r="F66" i="67"/>
  <c r="C6" i="67"/>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33" i="43" s="1"/>
  <c r="D1" i="43" s="1"/>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J18" i="15"/>
  <c r="C32" i="67"/>
  <c r="M11" i="67"/>
  <c r="J10" i="67" s="1"/>
  <c r="F11" i="15"/>
  <c r="M11" i="15"/>
  <c r="J10" i="15" s="1"/>
  <c r="J5" i="15" s="1"/>
  <c r="J24" i="15" s="1"/>
  <c r="F11" i="67"/>
  <c r="F1" i="15"/>
  <c r="Q52" i="15"/>
  <c r="AE11" i="1"/>
  <c r="AE9" i="1"/>
  <c r="F27" i="68"/>
  <c r="AE7" i="1"/>
  <c r="AE8" i="1"/>
  <c r="AE12" i="1"/>
  <c r="AE10" i="1"/>
  <c r="AE6" i="1"/>
  <c r="C16" i="67"/>
  <c r="F41" i="67"/>
  <c r="Q61" i="67" l="1"/>
  <c r="F1" i="67"/>
  <c r="Q60" i="15"/>
  <c r="Q61" i="15"/>
  <c r="C49" i="67"/>
  <c r="Q73" i="67"/>
  <c r="J5" i="67"/>
  <c r="J24" i="67" s="1"/>
  <c r="M17" i="67"/>
  <c r="E11" i="71"/>
  <c r="E10" i="71" s="1"/>
  <c r="E9" i="71" s="1"/>
  <c r="E8" i="71" s="1"/>
  <c r="E7" i="71" s="1"/>
  <c r="E6" i="71" s="1"/>
  <c r="E5" i="71" s="1"/>
  <c r="V12" i="71"/>
  <c r="Q66" i="71"/>
  <c r="Q65" i="71"/>
  <c r="B11" i="71"/>
  <c r="B10" i="71" s="1"/>
  <c r="B9" i="71" s="1"/>
  <c r="B8" i="71" s="1"/>
  <c r="B7" i="71" s="1"/>
  <c r="B6" i="71" s="1"/>
  <c r="B5" i="71" s="1"/>
  <c r="S12" i="71"/>
  <c r="E65" i="39"/>
  <c r="C14" i="71"/>
  <c r="D15"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M27" i="15"/>
  <c r="M27" i="67"/>
  <c r="F41" i="15"/>
  <c r="B1" i="74" l="1"/>
  <c r="B14" i="74"/>
  <c r="C48" i="67"/>
  <c r="C66" i="67"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D10" i="69"/>
  <c r="C34" i="69"/>
  <c r="D10" i="68"/>
  <c r="C17" i="67"/>
  <c r="C14" i="67"/>
  <c r="C17" i="15"/>
  <c r="C14" i="74" l="1"/>
  <c r="B2" i="74" s="1"/>
  <c r="C60" i="67"/>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4" l="1"/>
  <c r="D7" i="74"/>
  <c r="B3" i="43"/>
  <c r="C6" i="68"/>
  <c r="C7" i="68" s="1"/>
  <c r="C18" i="12"/>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5" i="68" l="1"/>
  <c r="C23" i="68"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25" i="68" l="1"/>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7"/>
  <c r="D2" i="34"/>
  <c r="M24" i="43" l="1"/>
  <c r="Q57" i="67"/>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9" i="1"/>
  <c r="AO10" i="1"/>
  <c r="AO12" i="1"/>
  <c r="AO7"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20" i="9"/>
  <c r="D19" i="9"/>
  <c r="D102" i="9" l="1"/>
  <c r="G19" i="9"/>
  <c r="C32" i="9" s="1"/>
  <c r="C35" i="9" s="1"/>
  <c r="C34" i="9" s="1"/>
  <c r="D21" i="9"/>
  <c r="D22" i="9"/>
  <c r="B6" i="70"/>
  <c r="B2" i="70" s="1"/>
  <c r="B3" i="70" s="1"/>
  <c r="D103" i="9"/>
  <c r="G20"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1"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11" i="9" l="1"/>
  <c r="D19" i="53" s="1"/>
  <c r="B38" i="72" s="1"/>
  <c r="H112" i="9"/>
  <c r="D21" i="53" s="1"/>
  <c r="B39" i="72" s="1"/>
  <c r="D126" i="9" l="1"/>
  <c r="D12" i="52" s="1"/>
  <c r="C8" i="74"/>
  <c r="D127" i="9"/>
  <c r="D13" i="52" s="1"/>
  <c r="D20" i="53"/>
  <c r="B40" i="72" s="1"/>
  <c r="D118" i="9"/>
  <c r="D4" i="52" s="1"/>
  <c r="B47" i="72" s="1"/>
  <c r="F118" i="9"/>
  <c r="F4" i="52" s="1"/>
  <c r="B51" i="72" s="1"/>
  <c r="H118" i="9"/>
  <c r="H4" i="52" l="1"/>
  <c r="D14" i="74"/>
  <c r="H101" i="9"/>
  <c r="H107" i="9" s="1"/>
  <c r="D13" i="53" s="1"/>
  <c r="I118" i="9"/>
  <c r="C105" i="9" s="1"/>
  <c r="H119" i="9"/>
  <c r="H5" i="52" s="1"/>
  <c r="F119" i="9"/>
  <c r="F5" i="52" s="1"/>
  <c r="B53" i="72" s="1"/>
  <c r="G118" i="9"/>
  <c r="G4" i="52" s="1"/>
  <c r="B52" i="72" s="1"/>
  <c r="D119" i="9"/>
  <c r="D5" i="52" s="1"/>
  <c r="B49" i="72" s="1"/>
  <c r="C104" i="9"/>
  <c r="F14" i="74" l="1"/>
  <c r="E14" i="74"/>
  <c r="B5" i="74"/>
  <c r="D5" i="74" s="1"/>
  <c r="I4" i="52"/>
  <c r="H102" i="9"/>
  <c r="D7" i="53" s="1"/>
  <c r="B21" i="72" s="1"/>
  <c r="M49" i="9"/>
  <c r="L65" i="9" s="1"/>
  <c r="M65" i="9" s="1"/>
  <c r="M48" i="9"/>
  <c r="D122" i="9"/>
  <c r="E118" i="9"/>
  <c r="E4" i="52" s="1"/>
  <c r="B48" i="72" s="1"/>
  <c r="D45" i="9"/>
  <c r="D52" i="9" s="1"/>
  <c r="D5" i="53"/>
  <c r="D6" i="53" s="1"/>
  <c r="B22" i="72" s="1"/>
  <c r="D14" i="53"/>
  <c r="B32" i="72" s="1"/>
  <c r="B30" i="72"/>
  <c r="D8" i="52" l="1"/>
  <c r="G14" i="74"/>
  <c r="B6" i="74" s="1"/>
  <c r="C5" i="74"/>
  <c r="H108" i="9"/>
  <c r="C6" i="74" s="1"/>
  <c r="B20" i="72"/>
  <c r="D53" i="9"/>
  <c r="D48" i="9" s="1"/>
  <c r="M52" i="9" s="1"/>
  <c r="L63" i="9"/>
  <c r="M63" i="9" s="1"/>
  <c r="C85" i="9"/>
  <c r="L68" i="9"/>
  <c r="M68" i="9" s="1"/>
  <c r="L67" i="9"/>
  <c r="M67" i="9" s="1"/>
  <c r="C64" i="9"/>
  <c r="C63" i="9" s="1"/>
  <c r="C67" i="9" s="1"/>
  <c r="C68" i="9" s="1"/>
  <c r="D54" i="9" s="1"/>
  <c r="C78" i="9"/>
  <c r="C73" i="9" s="1"/>
  <c r="D123" i="9"/>
  <c r="D9" i="52" s="1"/>
  <c r="L66" i="9"/>
  <c r="M66" i="9" s="1"/>
  <c r="L64" i="9"/>
  <c r="M64" i="9" s="1"/>
  <c r="C72" i="9"/>
  <c r="D55" i="9"/>
  <c r="M53" i="9" s="1"/>
  <c r="C93" i="9"/>
  <c r="C86" i="9" s="1"/>
  <c r="C95" i="9" s="1"/>
  <c r="D59" i="9"/>
  <c r="M55" i="9" s="1"/>
  <c r="D6" i="74" l="1"/>
  <c r="A28" i="74"/>
  <c r="D15" i="53"/>
  <c r="B31" i="72" s="1"/>
  <c r="M69" i="9"/>
  <c r="N69" i="9" s="1"/>
  <c r="C79" i="9"/>
  <c r="C96" i="9"/>
  <c r="E96" i="9" s="1"/>
  <c r="E97" i="9" s="1"/>
  <c r="C97" i="9" l="1"/>
  <c r="D58" i="9" s="1"/>
  <c r="D56" i="9" s="1"/>
  <c r="M54" i="9" s="1"/>
  <c r="N57" i="9" s="1"/>
  <c r="N58" i="9" s="1"/>
  <c r="C80" i="9"/>
  <c r="E80" i="9" s="1"/>
  <c r="E81"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<sst xmlns="http://schemas.openxmlformats.org/spreadsheetml/2006/main" count="8705" uniqueCount="3938">
  <si>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</si>
  <si>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</si>
  <si>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</si>
  <si>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</si>
  <si>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</si>
  <si>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</si>
  <si>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</si>
  <si>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</si>
  <si>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</si>
  <si>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</si>
  <si>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</si>
  <si>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</si>
  <si>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</si>
  <si>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</si>
  <si>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</si>
  <si>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</si>
  <si>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</si>
  <si>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</si>
  <si>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</si>
  <si>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</si>
  <si>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</si>
  <si>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</si>
  <si>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</si>
  <si>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</si>
  <si>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</si>
  <si>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</si>
  <si>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</si>
  <si>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</si>
  <si>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</si>
  <si>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</si>
  <si>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</si>
  <si>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</si>
  <si>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</si>
  <si>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</si>
  <si>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</si>
  <si>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</si>
  <si>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</si>
  <si>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</si>
  <si>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</si>
  <si>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</si>
  <si>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</si>
  <si>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</si>
  <si>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</si>
  <si>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</si>
  <si>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</si>
  <si>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</si>
  <si>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</si>
  <si>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</si>
  <si>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</si>
  <si>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</si>
  <si>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</si>
  <si>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</si>
  <si>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</si>
  <si>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</si>
  <si>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</si>
  <si>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</si>
  <si>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</si>
  <si>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</si>
  <si>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</si>
  <si>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</si>
  <si>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</si>
  <si>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</si>
  <si>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</si>
  <si>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</si>
  <si>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</si>
  <si>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</si>
  <si>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</si>
  <si>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</si>
  <si>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</si>
  <si>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</si>
  <si>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</si>
  <si>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</si>
  <si>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</si>
  <si>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</si>
  <si>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</si>
  <si>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</si>
  <si>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</si>
  <si>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</si>
  <si>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</si>
  <si>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</si>
  <si>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</si>
  <si>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</si>
  <si>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</si>
  <si>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</si>
  <si>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</si>
  <si>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</si>
  <si>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</si>
  <si>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</si>
  <si>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</si>
  <si>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</si>
  <si>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</si>
  <si>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</si>
  <si>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</si>
  <si>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</si>
  <si>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</si>
  <si>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</si>
  <si>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</si>
  <si>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</si>
  <si>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</si>
  <si>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</si>
  <si>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</si>
  <si>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</si>
  <si>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</si>
  <si>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</si>
  <si>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</si>
  <si>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</si>
  <si>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</si>
  <si>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</si>
  <si>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</si>
  <si>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</si>
  <si>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</si>
  <si>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</si>
  <si>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</si>
  <si>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</si>
  <si>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</si>
  <si>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</si>
  <si>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</si>
  <si>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</si>
  <si>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</si>
  <si>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</si>
  <si>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</si>
  <si>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</si>
  <si>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</si>
  <si>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</si>
  <si>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</si>
  <si>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</si>
  <si>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</si>
  <si>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</si>
  <si>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</si>
  <si>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</si>
  <si>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</si>
  <si>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</si>
  <si>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</si>
  <si>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</si>
  <si>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</si>
  <si>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</si>
  <si>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</si>
  <si>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</si>
  <si>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</si>
  <si>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</si>
  <si>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</si>
  <si>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</si>
  <si>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</si>
  <si>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</si>
  <si>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</si>
  <si>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</si>
  <si>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</si>
  <si>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</si>
  <si>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</si>
  <si>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</si>
  <si>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</si>
  <si>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</si>
  <si>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</si>
  <si>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</si>
  <si>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</si>
  <si>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</si>
  <si>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</si>
  <si>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</si>
  <si>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</si>
  <si>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</si>
  <si>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</si>
  <si>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</si>
  <si>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</si>
  <si>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</si>
  <si>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</si>
  <si>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</si>
  <si>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</si>
  <si>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</si>
  <si>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</si>
  <si>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</si>
  <si>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</si>
  <si>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</si>
  <si>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</si>
  <si>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</si>
  <si>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</si>
  <si>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</si>
  <si>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</si>
  <si>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</si>
  <si>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</si>
  <si>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</si>
  <si>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</si>
  <si>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</si>
  <si>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</si>
  <si>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</si>
  <si>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</si>
  <si>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</si>
  <si>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</si>
  <si>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</si>
  <si>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</si>
  <si>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</si>
  <si>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</si>
  <si>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</si>
  <si>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</si>
  <si>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</si>
  <si>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</si>
  <si>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</si>
  <si>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</si>
  <si>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</si>
  <si>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</si>
  <si>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</si>
  <si>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</si>
  <si>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</si>
  <si>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</si>
  <si>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</si>
  <si>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</si>
  <si>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</si>
  <si>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</si>
  <si>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</si>
  <si>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</si>
  <si>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</si>
  <si>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</si>
  <si>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</si>
  <si>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</si>
  <si>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</si>
  <si>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</si>
  <si>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</si>
  <si>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</si>
  <si>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</si>
  <si>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</si>
  <si>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</si>
  <si>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</si>
  <si>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</si>
  <si>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</si>
  <si>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</si>
  <si>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</si>
  <si>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</si>
  <si>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</si>
  <si>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</si>
  <si>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</si>
  <si>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</si>
  <si>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</si>
  <si>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</si>
  <si>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</si>
  <si>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</si>
  <si>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</si>
  <si>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</si>
  <si>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</si>
  <si>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</si>
  <si>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</si>
  <si>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</si>
  <si>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</si>
  <si>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</si>
  <si>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</si>
  <si>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</si>
  <si>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</si>
  <si>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</si>
  <si>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</si>
  <si>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</si>
  <si>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</si>
  <si>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</si>
  <si>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</si>
  <si>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</si>
  <si>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</si>
  <si>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</si>
  <si>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</si>
  <si>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</si>
  <si>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</si>
  <si>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</si>
  <si>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</si>
  <si>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</si>
  <si>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</si>
  <si>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</si>
  <si>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</si>
  <si>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</si>
  <si>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</si>
  <si>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</si>
  <si>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</si>
  <si>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</si>
  <si>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</si>
  <si>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</si>
  <si>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</si>
  <si>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</si>
  <si>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</si>
  <si>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</si>
  <si>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</si>
  <si>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</si>
  <si>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</si>
  <si>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</si>
  <si>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</si>
  <si>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</si>
  <si>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</si>
  <si>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</si>
  <si>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</si>
  <si>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</si>
  <si>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</si>
  <si>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</si>
  <si>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</si>
  <si>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</si>
  <si>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</si>
  <si>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</si>
  <si>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</si>
  <si>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</si>
  <si>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</si>
  <si>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</si>
  <si>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</si>
  <si>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</si>
  <si>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</si>
  <si>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</si>
  <si>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</si>
  <si>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</si>
  <si>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</si>
  <si>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</si>
  <si>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</si>
  <si>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</si>
  <si>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</si>
  <si>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</si>
  <si>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</si>
  <si>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</si>
  <si>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</si>
  <si>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</si>
  <si>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</si>
  <si>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</si>
  <si>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</si>
  <si>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</si>
  <si>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</si>
  <si>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</si>
  <si>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</si>
  <si>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</si>
  <si>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</si>
  <si>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</si>
  <si>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</si>
  <si>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</si>
  <si>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</si>
  <si>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</si>
  <si>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</si>
  <si>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</si>
  <si>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</si>
  <si>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</si>
  <si>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</si>
  <si>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</si>
  <si>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</si>
  <si>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</si>
  <si>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</si>
  <si>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</si>
  <si>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</si>
  <si>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</si>
  <si>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</si>
  <si>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</si>
  <si>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</si>
  <si>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</si>
  <si>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</si>
  <si>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</si>
  <si>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</si>
  <si>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</si>
  <si>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</si>
  <si>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</si>
  <si>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</si>
  <si>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</si>
  <si>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</si>
  <si>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</si>
  <si>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</si>
  <si>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</si>
  <si>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</si>
  <si>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</si>
  <si>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</si>
  <si>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</si>
  <si>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</si>
  <si>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</si>
  <si>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</si>
  <si>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</si>
  <si>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</si>
  <si>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</si>
  <si>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</si>
  <si>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</si>
  <si>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</si>
  <si>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</si>
  <si>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</si>
  <si>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</si>
  <si>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</si>
  <si>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</si>
  <si>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</si>
  <si>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</si>
  <si>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</si>
  <si>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</si>
  <si>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</si>
  <si>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</si>
  <si>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</si>
  <si>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</si>
  <si>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</si>
  <si>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</si>
  <si>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</si>
  <si>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</si>
  <si>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</si>
  <si>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</si>
  <si>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</si>
  <si>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</si>
  <si>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</si>
  <si>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</si>
  <si>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</si>
  <si>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</si>
  <si>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</si>
  <si>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</si>
  <si>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</si>
  <si>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</si>
  <si>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</si>
  <si>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</si>
  <si>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</si>
  <si>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</si>
  <si>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</si>
  <si>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</si>
  <si>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</si>
  <si>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</si>
  <si>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</si>
  <si>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</si>
  <si>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</si>
  <si>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</si>
  <si>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</si>
  <si>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</si>
  <si>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</si>
  <si>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</si>
  <si>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</si>
  <si>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</si>
  <si>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</si>
  <si>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</si>
  <si>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</si>
  <si>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</si>
  <si>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</si>
  <si>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</si>
  <si>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</si>
  <si>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</si>
  <si>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</si>
  <si>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</si>
  <si>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</si>
  <si>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</si>
  <si>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</si>
  <si>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</si>
  <si>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</si>
  <si>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</si>
  <si>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</si>
  <si>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</si>
  <si>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</si>
  <si>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</si>
  <si>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</si>
  <si>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</si>
  <si>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</si>
  <si>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</si>
  <si>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</si>
  <si>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</si>
  <si>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</si>
  <si>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</si>
  <si>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</si>
  <si>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</si>
  <si>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</si>
  <si>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</si>
  <si>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</si>
  <si>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</si>
  <si>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</si>
  <si>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</si>
  <si>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</si>
  <si>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</si>
  <si>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</si>
  <si>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</si>
  <si>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</si>
  <si>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</si>
  <si>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</si>
  <si>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</si>
  <si>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</si>
  <si>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</si>
  <si>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</si>
  <si>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</si>
  <si>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</si>
  <si>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</si>
  <si>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</si>
  <si>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</si>
  <si>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</si>
  <si>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</si>
  <si>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</si>
  <si>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</si>
  <si>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</si>
  <si>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</si>
  <si>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</si>
  <si>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</si>
  <si>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</si>
  <si>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</si>
  <si>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</si>
  <si>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</si>
  <si>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</si>
  <si>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</si>
  <si>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</si>
  <si>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</si>
  <si>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</si>
  <si>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</si>
  <si>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</si>
  <si>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</si>
  <si>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</si>
  <si>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</si>
  <si>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</si>
  <si>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</si>
  <si>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</si>
  <si>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</si>
  <si>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</si>
  <si>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</si>
  <si>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</si>
  <si>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</si>
  <si>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</si>
  <si>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</si>
  <si>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</si>
  <si>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</si>
  <si>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</si>
  <si>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</si>
  <si>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</si>
  <si>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</si>
  <si>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</si>
  <si>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</si>
  <si>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</si>
  <si>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</si>
  <si>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</si>
  <si>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</si>
  <si>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</si>
  <si>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</si>
  <si>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</si>
  <si>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</si>
  <si>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</si>
  <si>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</si>
  <si>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</si>
  <si>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</si>
  <si>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</si>
  <si>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</si>
  <si>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</si>
  <si>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</si>
  <si>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</si>
  <si>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</si>
  <si>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</si>
  <si>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</si>
  <si>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</si>
  <si>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</si>
  <si>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</si>
  <si>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</si>
  <si>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</si>
  <si>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</si>
  <si>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</si>
  <si>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</si>
  <si>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</si>
  <si>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</si>
  <si>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</si>
  <si>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</si>
  <si>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</si>
  <si>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</si>
  <si>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</si>
  <si>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</si>
  <si>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</si>
  <si>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</si>
  <si>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</si>
  <si>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</si>
  <si>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</si>
  <si>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</si>
  <si>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</si>
  <si>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</si>
  <si>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</si>
  <si>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</si>
  <si>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</si>
  <si>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</si>
  <si>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</si>
  <si>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</si>
  <si>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</si>
  <si>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</si>
  <si>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</si>
  <si>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</si>
  <si>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</si>
  <si>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</si>
  <si>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</si>
  <si>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</si>
  <si>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</si>
  <si>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</si>
  <si>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</si>
  <si>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</si>
  <si>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</si>
  <si>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</si>
  <si>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</si>
  <si>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</si>
  <si>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</si>
  <si>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</si>
  <si>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</si>
  <si>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</si>
  <si>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</si>
  <si>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</si>
  <si>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</si>
  <si>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</si>
  <si>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</si>
  <si>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</si>
  <si>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</si>
  <si>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</si>
  <si>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</si>
  <si>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</si>
  <si>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</si>
  <si>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</si>
  <si>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</si>
  <si>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</si>
  <si>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</si>
  <si>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</si>
  <si>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</si>
  <si>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</si>
  <si>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</si>
  <si>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</si>
  <si>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</si>
  <si>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</si>
  <si>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</si>
  <si>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</si>
  <si>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</si>
  <si>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</si>
  <si>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</si>
  <si>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</si>
  <si>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</si>
  <si>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</si>
  <si>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</si>
  <si>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</si>
  <si>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</si>
  <si>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</si>
  <si>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</si>
  <si>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</si>
  <si>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</si>
  <si>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</si>
  <si>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</si>
  <si>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</si>
  <si>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</si>
  <si>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</si>
  <si>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</si>
  <si>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</si>
  <si>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</si>
  <si>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</si>
  <si>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</si>
  <si>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</si>
  <si>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</si>
  <si>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</si>
  <si>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</si>
  <si>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</si>
  <si>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</si>
  <si>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</si>
  <si>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</si>
  <si>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</si>
  <si>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</si>
  <si>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</si>
  <si>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</si>
  <si>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</si>
  <si>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</si>
  <si>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</si>
  <si>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</si>
  <si>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</si>
  <si>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</si>
  <si>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</si>
  <si>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</si>
  <si>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</si>
  <si>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</si>
  <si>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</si>
  <si>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</si>
  <si>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</si>
  <si>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</si>
  <si>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</si>
  <si>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</si>
  <si>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</si>
  <si>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</si>
  <si>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</si>
  <si>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</si>
  <si>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</si>
  <si>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</si>
  <si>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</si>
  <si>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</si>
  <si>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</si>
  <si>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</si>
  <si>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</si>
  <si>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</si>
  <si>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</si>
  <si>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</si>
  <si>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</si>
  <si>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</si>
  <si>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</si>
  <si>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</si>
  <si>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</si>
  <si>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</si>
  <si>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</si>
  <si>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</si>
  <si>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</si>
  <si>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</si>
  <si>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</si>
  <si>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</si>
  <si>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</si>
  <si>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</si>
  <si>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</si>
  <si>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</si>
  <si>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</si>
  <si>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</si>
  <si>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</si>
  <si>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</si>
  <si>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</si>
  <si>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</si>
  <si>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</si>
  <si>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</si>
  <si>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</si>
  <si>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</si>
  <si>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</si>
  <si>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</si>
  <si>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</si>
  <si>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</si>
  <si>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</si>
  <si>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</si>
  <si>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</si>
  <si>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</si>
  <si>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</si>
  <si>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</si>
  <si>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</si>
  <si>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</si>
  <si>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</si>
  <si>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</si>
  <si>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</si>
  <si>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</si>
  <si>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</si>
  <si>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</si>
  <si>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</si>
  <si>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</si>
  <si>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</si>
  <si>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</si>
  <si>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</si>
  <si>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</si>
  <si>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</si>
  <si>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</si>
  <si>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</si>
  <si>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</si>
  <si>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</si>
  <si>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</si>
  <si>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</si>
  <si>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</si>
  <si>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</si>
  <si>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</si>
  <si>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</si>
  <si>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</si>
  <si>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</si>
  <si>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</si>
  <si>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</si>
  <si>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</si>
  <si>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</si>
  <si>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</si>
  <si>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</si>
  <si>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</si>
  <si>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</si>
  <si>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</si>
  <si>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</si>
  <si>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</si>
  <si>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</si>
  <si>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</si>
  <si>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</si>
  <si>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</si>
  <si>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</si>
  <si>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</si>
  <si>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</si>
  <si>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</si>
  <si>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</si>
  <si>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</si>
  <si>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</si>
  <si>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</si>
  <si>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</si>
  <si>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</si>
  <si>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</si>
  <si>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</si>
  <si>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</si>
  <si>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</si>
  <si>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</si>
  <si>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</si>
  <si>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</si>
  <si>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</si>
  <si>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</si>
  <si>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</si>
  <si>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</si>
  <si>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</si>
  <si>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</si>
  <si>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</si>
  <si>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</si>
  <si>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</si>
  <si>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</si>
  <si>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</si>
  <si>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</si>
  <si>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</si>
  <si>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</si>
  <si>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</si>
  <si>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</si>
  <si>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</si>
  <si>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</si>
  <si>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</si>
  <si>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</si>
  <si>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</si>
  <si>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</si>
  <si>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</si>
  <si>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</si>
  <si>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</si>
  <si>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</si>
  <si>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</si>
  <si>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</si>
  <si>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</si>
  <si>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</si>
  <si>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</si>
  <si>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</si>
  <si>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</si>
  <si>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</si>
  <si>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</si>
  <si>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</si>
  <si>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</si>
  <si>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</si>
  <si>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</si>
  <si>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</si>
  <si>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</si>
  <si>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</si>
  <si>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</si>
  <si>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</si>
  <si>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</si>
  <si>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</si>
  <si>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</si>
  <si>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</si>
  <si>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</si>
  <si>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</si>
  <si>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</si>
  <si>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</si>
  <si>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</si>
  <si>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</si>
  <si>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</si>
  <si>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</si>
  <si>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</si>
  <si>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</si>
  <si>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</si>
  <si>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</si>
  <si>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</si>
  <si>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</si>
  <si>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</si>
  <si>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</si>
  <si>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</si>
  <si>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</si>
  <si>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</si>
  <si>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</si>
  <si>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</si>
  <si>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</si>
  <si>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</si>
  <si>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</si>
  <si>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</si>
  <si>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</si>
  <si>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</si>
  <si>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</si>
  <si>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</si>
  <si>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</si>
  <si>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</si>
  <si>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</si>
  <si>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</si>
  <si>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</si>
  <si>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</si>
  <si>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</si>
  <si>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</si>
  <si>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</si>
  <si>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</si>
  <si>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</si>
  <si>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</si>
  <si>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</si>
  <si>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</si>
  <si>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</si>
  <si>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</si>
  <si>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</si>
  <si>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</si>
  <si>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</si>
  <si>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</si>
  <si>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</si>
  <si>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</si>
  <si>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</si>
  <si>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</si>
  <si>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</si>
  <si>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</si>
  <si>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</si>
  <si>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</si>
  <si>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</si>
  <si>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</si>
  <si>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</si>
  <si>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</si>
  <si>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</si>
  <si>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</si>
  <si>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</si>
  <si>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</si>
  <si>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</si>
  <si>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</si>
  <si>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</si>
  <si>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</si>
  <si>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</si>
  <si>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</si>
  <si>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</si>
  <si>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</si>
  <si>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</si>
  <si>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</si>
  <si>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</si>
  <si>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</si>
  <si>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</si>
  <si>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</si>
  <si>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</si>
  <si>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</si>
  <si>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</si>
  <si>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</si>
  <si>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</si>
  <si>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</si>
  <si>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</si>
  <si>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</si>
  <si>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</si>
  <si>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</si>
  <si>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</si>
  <si>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</si>
  <si>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</si>
  <si>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</si>
  <si>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</si>
  <si>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</si>
  <si>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</si>
  <si>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</si>
  <si>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</si>
  <si>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</si>
  <si>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</si>
  <si>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</si>
  <si>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</si>
  <si>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</si>
  <si>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</si>
  <si>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</si>
  <si>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</si>
  <si>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</si>
  <si>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</si>
  <si>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</si>
  <si>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</si>
  <si>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</si>
  <si>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</si>
  <si>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</si>
  <si>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</si>
  <si>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</si>
  <si>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</si>
  <si>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</si>
  <si>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</si>
  <si>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</si>
  <si>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</si>
  <si>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</si>
  <si>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</si>
  <si>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</si>
  <si>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</si>
  <si>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</si>
  <si>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</si>
  <si>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</si>
  <si>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</si>
  <si>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</si>
  <si>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</si>
  <si>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</si>
  <si>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</si>
  <si>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</si>
  <si>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</si>
  <si>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</si>
  <si>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</si>
  <si>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</si>
  <si>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</si>
  <si>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</si>
  <si>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</si>
  <si>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</si>
  <si>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</si>
  <si>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</si>
  <si>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</si>
  <si>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</si>
  <si>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</si>
  <si>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</si>
  <si>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</si>
  <si>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</si>
  <si>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</si>
  <si>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</si>
  <si>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</si>
  <si>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</si>
  <si>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</si>
  <si>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</si>
  <si>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</si>
  <si>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</si>
  <si>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</si>
  <si>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</si>
  <si>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</si>
  <si>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</si>
  <si>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</si>
  <si>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</si>
  <si>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</si>
  <si>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</si>
  <si>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</si>
  <si>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</si>
  <si>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</si>
  <si>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</si>
  <si>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</si>
  <si>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</si>
  <si>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</si>
  <si>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</si>
  <si>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</si>
  <si>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</si>
  <si>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</si>
  <si>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</si>
  <si>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</si>
  <si>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</si>
  <si>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</si>
  <si>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</si>
  <si>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</si>
  <si>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</si>
  <si>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</si>
  <si>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</si>
  <si>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</si>
  <si>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</si>
  <si>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</si>
  <si>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</si>
  <si>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</si>
  <si>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</si>
  <si>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</si>
  <si>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</si>
  <si>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</si>
  <si>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</si>
  <si>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</si>
  <si>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</si>
  <si>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</si>
  <si>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</si>
  <si>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</si>
  <si>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</si>
  <si>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</si>
  <si>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</si>
  <si>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</si>
  <si>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</si>
  <si>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</si>
  <si>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</si>
  <si>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</si>
  <si>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</si>
  <si>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</si>
  <si>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</si>
  <si>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</si>
  <si>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</si>
  <si>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</si>
  <si>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</si>
  <si>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</si>
  <si>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</si>
  <si>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</si>
  <si>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</si>
  <si>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</si>
  <si>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</si>
  <si>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</si>
  <si>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</si>
  <si>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</si>
  <si>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</si>
  <si>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</si>
  <si>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</si>
  <si>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</si>
  <si>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</si>
  <si>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</si>
  <si>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</si>
  <si>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</si>
  <si>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</si>
  <si>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</si>
  <si>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</si>
  <si>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</si>
  <si>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</si>
  <si>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</si>
  <si>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</si>
  <si>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</si>
  <si>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</si>
  <si>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</si>
  <si>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</si>
  <si>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</si>
  <si>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</si>
  <si>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</si>
  <si>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</si>
  <si>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</si>
  <si>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</si>
  <si>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</si>
  <si>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</si>
  <si>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</si>
  <si>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</si>
  <si>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</si>
  <si>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</si>
  <si>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</si>
  <si>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</si>
  <si>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</si>
  <si>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</si>
  <si>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</si>
  <si>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</si>
  <si>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</si>
  <si>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</si>
  <si>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</si>
  <si>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</si>
  <si>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</si>
  <si>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</si>
  <si>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</si>
  <si>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</si>
  <si>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</si>
  <si>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</si>
  <si>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</si>
  <si>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</si>
  <si>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</si>
  <si>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</si>
  <si>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</si>
  <si>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</si>
  <si>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</si>
  <si>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</si>
  <si>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</si>
  <si>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</si>
  <si>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</si>
  <si>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</si>
  <si>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</si>
  <si>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</si>
  <si>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</si>
  <si>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</si>
  <si>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</si>
  <si>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</si>
  <si>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</si>
  <si>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</si>
  <si>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</si>
  <si>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</si>
  <si>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</si>
  <si>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</si>
  <si>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</si>
  <si>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</si>
  <si>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</si>
  <si>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</si>
  <si>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</si>
  <si>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</si>
  <si>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</si>
  <si>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</si>
  <si>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</si>
  <si>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</si>
  <si>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</si>
  <si>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</si>
  <si>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</si>
  <si>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</si>
  <si>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</si>
  <si>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</si>
  <si>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</si>
  <si>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</si>
  <si>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</si>
  <si>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</si>
  <si>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</si>
  <si>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</si>
  <si>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</si>
  <si>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</si>
  <si>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</si>
  <si>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</si>
  <si>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</si>
  <si>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</si>
  <si>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</si>
  <si>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</si>
  <si>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</si>
  <si>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</si>
  <si>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</si>
  <si>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</si>
  <si>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</si>
  <si>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</si>
  <si>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</si>
  <si>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</si>
  <si>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</si>
  <si>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</si>
  <si>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</si>
  <si>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</si>
  <si>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</si>
  <si>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</si>
  <si>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</si>
  <si>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</si>
  <si>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</si>
  <si>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</si>
  <si>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</si>
  <si>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</si>
  <si>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</si>
  <si>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</si>
  <si>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</si>
  <si>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</si>
  <si>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</si>
  <si>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</si>
  <si>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</si>
  <si>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</si>
  <si>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</si>
  <si>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</si>
  <si>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</si>
  <si>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</si>
  <si>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</si>
  <si>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</si>
  <si>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</si>
  <si>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</si>
  <si>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</si>
  <si>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</si>
  <si>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</si>
  <si>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</si>
  <si>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</si>
  <si>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</si>
  <si>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</si>
  <si>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</si>
  <si>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</si>
  <si>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</si>
  <si>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</si>
  <si>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</si>
  <si>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</si>
  <si>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</si>
  <si>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</si>
  <si>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</si>
  <si>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</si>
  <si>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</si>
  <si>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</si>
  <si>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</si>
  <si>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</si>
  <si>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</si>
  <si>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</si>
  <si>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</si>
  <si>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</si>
  <si>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</si>
  <si>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</si>
  <si>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</si>
  <si>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</si>
  <si>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</si>
  <si>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</si>
  <si>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</si>
  <si>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</si>
  <si>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</si>
  <si>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</si>
  <si>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</si>
  <si>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</si>
  <si>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</si>
  <si>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</si>
  <si>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</si>
  <si>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</si>
  <si>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</si>
  <si>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</si>
  <si>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</si>
  <si>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</si>
  <si>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</si>
  <si>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</si>
  <si>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</si>
  <si>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</si>
  <si>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</si>
  <si>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</si>
  <si>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</si>
  <si>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</si>
  <si>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</si>
  <si>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</si>
  <si>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</si>
  <si>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</si>
  <si>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</si>
  <si>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</si>
  <si>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</si>
  <si>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</si>
  <si>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</si>
  <si>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</si>
  <si>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</si>
  <si>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</si>
  <si>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</si>
  <si>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</si>
  <si>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</si>
  <si>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</si>
  <si>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</si>
  <si>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</si>
  <si>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</si>
  <si>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</si>
  <si>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</si>
  <si>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</si>
  <si>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</si>
  <si>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</si>
  <si>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</si>
  <si>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</si>
  <si>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</si>
  <si>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</si>
  <si>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</si>
  <si>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</si>
  <si>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</si>
  <si>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</si>
  <si>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</si>
  <si>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</si>
  <si>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</si>
  <si>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</si>
  <si>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</si>
  <si>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</si>
  <si>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</si>
  <si>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</si>
  <si>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</si>
  <si>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</si>
  <si>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</si>
  <si>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</si>
  <si>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</si>
  <si>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</si>
  <si>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</si>
  <si>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</si>
  <si>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</si>
  <si>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</si>
  <si>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</si>
  <si>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</si>
  <si>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</si>
  <si>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</si>
  <si>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</si>
  <si>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</si>
  <si>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</si>
  <si>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</si>
  <si>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</si>
  <si>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</si>
  <si>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</si>
  <si>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</si>
  <si>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</si>
  <si>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</si>
  <si>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</si>
  <si>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</si>
  <si>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</si>
  <si>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</si>
  <si>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</si>
  <si>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</si>
  <si>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</si>
  <si>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</si>
  <si>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</si>
  <si>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</si>
  <si>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</si>
  <si>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</si>
  <si>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</si>
  <si>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</si>
  <si>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</si>
  <si>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</si>
  <si>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</si>
  <si>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</si>
  <si>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</si>
  <si>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</si>
  <si>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</si>
  <si>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</si>
  <si>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</si>
  <si>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</si>
  <si>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</si>
  <si>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</si>
  <si>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</si>
  <si>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</si>
  <si>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</si>
  <si>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</si>
  <si>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</si>
  <si>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</si>
  <si>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</si>
  <si>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</si>
  <si>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</si>
  <si>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</si>
  <si>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</si>
  <si>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</si>
  <si>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</si>
  <si>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</si>
  <si>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</si>
  <si>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</si>
  <si>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</si>
  <si>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</si>
  <si>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</si>
  <si>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</si>
  <si>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</si>
  <si>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</si>
  <si>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</si>
  <si>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</si>
  <si>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</si>
  <si>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</si>
  <si>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</si>
  <si>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</si>
  <si>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</si>
  <si>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</si>
  <si>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</si>
  <si>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</si>
  <si>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</si>
  <si>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</si>
  <si>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</si>
  <si>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</si>
  <si>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</si>
  <si>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</si>
  <si>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</si>
  <si>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</si>
  <si>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</si>
  <si>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</si>
  <si>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</si>
  <si>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</si>
  <si>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</si>
  <si>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</si>
  <si>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</si>
  <si>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</si>
  <si>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</si>
  <si>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</si>
  <si>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</si>
  <si>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</si>
  <si>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</si>
  <si>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</si>
  <si>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</si>
  <si>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</si>
  <si>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</si>
  <si>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</si>
  <si>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</si>
  <si>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</si>
  <si>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</si>
  <si>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</si>
  <si>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</si>
  <si>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</si>
  <si>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</si>
  <si>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</si>
  <si>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</si>
  <si>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</si>
  <si>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</si>
  <si>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</si>
  <si>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</si>
  <si>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</si>
  <si>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</si>
  <si>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</si>
  <si>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</si>
  <si>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</si>
  <si>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</si>
  <si>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</si>
  <si>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</si>
  <si>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</si>
  <si>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</si>
  <si>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</si>
  <si>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</si>
  <si>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</si>
  <si>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</si>
  <si>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</si>
  <si>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</si>
  <si>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</si>
  <si>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</si>
  <si>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</si>
  <si>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</si>
  <si>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</si>
  <si>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</si>
  <si>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</si>
  <si>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</si>
  <si>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</si>
  <si>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</si>
  <si>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</si>
  <si>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</si>
  <si>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</si>
  <si>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</si>
  <si>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</si>
  <si>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</si>
  <si>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</si>
  <si>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</si>
  <si>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</si>
  <si>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</si>
  <si>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</si>
  <si>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</si>
  <si>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</si>
  <si>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</si>
  <si>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</si>
  <si>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</si>
  <si>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</si>
  <si>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</si>
  <si>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</si>
  <si>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</si>
  <si>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</si>
  <si>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</si>
  <si>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</si>
  <si>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</si>
  <si>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</si>
  <si>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</si>
  <si>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</si>
  <si>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</si>
  <si>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</si>
  <si>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</si>
  <si>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</si>
  <si>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</si>
  <si>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</si>
  <si>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</si>
  <si>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</si>
  <si>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</si>
  <si>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</si>
  <si>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</si>
  <si>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</si>
  <si>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</si>
  <si>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</si>
  <si>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</si>
  <si>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</si>
  <si>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</si>
  <si>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</si>
  <si>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</si>
  <si>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</si>
  <si>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</si>
  <si>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</si>
  <si>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</si>
  <si>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</si>
  <si>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</si>
  <si>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</si>
  <si>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</si>
  <si>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</si>
  <si>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</si>
  <si>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</si>
  <si>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</si>
  <si>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</si>
  <si>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</si>
  <si>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</si>
  <si>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</si>
  <si>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</si>
  <si>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</si>
  <si>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</si>
  <si>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</si>
  <si>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</si>
  <si>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</si>
  <si>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</si>
  <si>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</si>
  <si>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</si>
  <si>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</si>
  <si>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</si>
  <si>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</si>
  <si>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</si>
  <si>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</si>
  <si>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</si>
  <si>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</si>
  <si>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</si>
  <si>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</si>
  <si>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</si>
  <si>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</si>
  <si>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</si>
  <si>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</si>
  <si>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</si>
  <si>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</si>
  <si>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</si>
  <si>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</si>
  <si>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</si>
  <si>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</si>
  <si>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</si>
  <si>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</si>
  <si>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</si>
  <si>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</si>
  <si>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</si>
  <si>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</si>
  <si>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</si>
  <si>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</si>
  <si>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</si>
  <si>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</si>
  <si>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</si>
  <si>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</si>
  <si>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</si>
  <si>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</si>
  <si>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</si>
  <si>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</si>
  <si>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</si>
  <si>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</si>
  <si>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</si>
  <si>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</si>
  <si>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</si>
  <si>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</si>
  <si>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</si>
  <si>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</si>
  <si>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</si>
  <si>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</si>
  <si>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</si>
  <si>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</si>
  <si>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</si>
  <si>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</si>
  <si>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</si>
  <si>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</si>
  <si>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</si>
  <si>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</si>
  <si>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</si>
  <si>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</si>
  <si>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</si>
  <si>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</si>
  <si>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</si>
  <si>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</si>
  <si>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</si>
  <si>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</si>
  <si>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</si>
  <si>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</si>
  <si>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</si>
  <si>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</si>
  <si>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</si>
  <si>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</si>
  <si>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</si>
  <si>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</si>
  <si>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</si>
  <si>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</si>
  <si>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</si>
  <si>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</si>
  <si>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</si>
  <si>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</si>
  <si>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</si>
  <si>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</si>
  <si>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</si>
  <si>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</si>
  <si>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</si>
  <si>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</si>
  <si>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</si>
  <si>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</si>
  <si>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</si>
  <si>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</si>
  <si>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</si>
  <si>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</si>
  <si>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</si>
  <si>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</si>
  <si>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</si>
  <si>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</si>
  <si>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</si>
  <si>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</si>
  <si>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</si>
  <si>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</si>
  <si>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</si>
  <si>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</si>
  <si>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</si>
  <si>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</si>
  <si>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</si>
  <si>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</si>
  <si>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</si>
  <si>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</si>
  <si>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</si>
  <si>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</si>
  <si>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</si>
  <si>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</si>
  <si>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</si>
  <si>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</si>
  <si>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</si>
  <si>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</si>
  <si>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</si>
  <si>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</si>
  <si>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</si>
  <si>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</si>
  <si>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</si>
  <si>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</si>
  <si>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</si>
  <si>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</si>
  <si>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</si>
  <si>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</si>
  <si>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</si>
  <si>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</si>
  <si>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</si>
  <si>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</si>
  <si>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</si>
  <si>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</si>
  <si>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</si>
  <si>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</si>
  <si>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</si>
  <si>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</si>
  <si>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</si>
  <si>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</si>
  <si>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</si>
  <si>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</si>
  <si>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</si>
  <si>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</si>
  <si>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</si>
  <si>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</si>
  <si>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</si>
  <si>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</si>
  <si>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</si>
  <si>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</si>
  <si>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</si>
  <si>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</si>
  <si>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</si>
  <si>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</si>
  <si>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</si>
  <si>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</si>
  <si>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</si>
  <si>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</si>
  <si>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</si>
  <si>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</si>
  <si>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</si>
  <si>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</si>
  <si>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</si>
  <si>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</si>
  <si>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</si>
  <si>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</si>
  <si>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</si>
  <si>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</si>
  <si>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</si>
  <si>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</si>
  <si>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</si>
  <si>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</si>
  <si>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</si>
  <si>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</si>
  <si>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</si>
  <si>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</si>
  <si>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</si>
  <si>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</si>
  <si>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</si>
  <si>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</si>
  <si>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</si>
  <si>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</si>
  <si>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</si>
  <si>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</si>
  <si>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</si>
  <si>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</si>
  <si>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</si>
  <si>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</si>
  <si>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</si>
  <si>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</si>
  <si>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</si>
  <si>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</si>
  <si>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</si>
  <si>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</si>
  <si>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</si>
  <si>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</si>
  <si>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</si>
  <si>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</si>
  <si>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</si>
  <si>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</si>
  <si>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</si>
  <si>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</si>
  <si>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</si>
  <si>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</si>
  <si>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</si>
  <si>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</si>
  <si>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</si>
  <si>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</si>
  <si>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</si>
  <si>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</si>
  <si>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</si>
  <si>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</si>
  <si>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</si>
  <si>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</si>
  <si>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</si>
  <si>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</si>
  <si>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</si>
  <si>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</si>
  <si>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</si>
  <si>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</si>
  <si>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</si>
  <si>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</si>
  <si>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</si>
  <si>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</si>
  <si>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</si>
  <si>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</si>
  <si>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</si>
  <si>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</si>
  <si>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</si>
  <si>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</si>
  <si>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</si>
  <si>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</si>
  <si>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</si>
  <si>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</si>
  <si>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</si>
  <si>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</si>
  <si>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</si>
  <si>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</si>
  <si>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</si>
  <si>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</si>
  <si>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</si>
  <si>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</si>
  <si>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</si>
  <si>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</si>
  <si>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</si>
  <si>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</si>
  <si>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</si>
  <si>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</si>
  <si>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</si>
  <si>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</si>
  <si>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</si>
  <si>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</si>
  <si>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</si>
  <si>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</si>
  <si>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</si>
  <si>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</si>
  <si>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</si>
  <si>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</si>
  <si>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</si>
  <si>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</si>
  <si>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</si>
  <si>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</si>
  <si>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</si>
  <si>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</si>
  <si>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</si>
  <si>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</si>
  <si>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</si>
  <si>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</si>
  <si>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</si>
  <si>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</si>
  <si>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</si>
  <si>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</si>
  <si>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</si>
  <si>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</si>
  <si>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</si>
  <si>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</si>
  <si>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</si>
  <si>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</si>
  <si>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</si>
  <si>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</si>
  <si>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</si>
  <si>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</si>
  <si>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</si>
  <si>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</si>
  <si>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</si>
  <si>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</si>
  <si>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</si>
  <si>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</si>
  <si>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</si>
  <si>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</si>
  <si>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</si>
  <si>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</si>
  <si>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</si>
  <si>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</si>
  <si>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</si>
  <si>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</si>
  <si>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</si>
  <si>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</si>
  <si>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</si>
  <si>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</si>
  <si>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</si>
  <si>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</si>
  <si>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</si>
  <si>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</si>
  <si>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</si>
  <si>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</si>
  <si>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</si>
  <si>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</si>
  <si>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</si>
  <si>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</si>
  <si>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</si>
  <si>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</si>
  <si>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</si>
  <si>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</si>
  <si>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</si>
  <si>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</si>
  <si>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</si>
  <si>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</si>
  <si>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</si>
  <si>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</si>
  <si>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</si>
  <si>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</si>
  <si>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</si>
  <si>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</si>
  <si>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</si>
  <si>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</si>
  <si>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</si>
  <si>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</si>
  <si>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</si>
  <si>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</si>
  <si>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</si>
  <si>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</si>
  <si>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</si>
  <si>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</si>
  <si>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</si>
  <si>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</si>
  <si>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</si>
  <si>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</si>
  <si>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</si>
  <si>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</si>
  <si>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</si>
  <si>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</si>
  <si>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</si>
  <si>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</si>
  <si>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</si>
  <si>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</si>
  <si>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</si>
  <si>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</si>
  <si>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</si>
  <si>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</si>
  <si>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</si>
  <si>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</si>
  <si>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</si>
  <si>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</si>
  <si>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</si>
  <si>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</si>
  <si>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</si>
  <si>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</si>
  <si>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</si>
  <si>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</si>
  <si>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</si>
  <si>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</si>
  <si>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</si>
  <si>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</si>
  <si>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</si>
  <si>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</si>
  <si>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</si>
  <si>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</si>
  <si>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</si>
  <si>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</si>
  <si>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</si>
  <si>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</si>
  <si>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</si>
  <si>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</si>
  <si>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</si>
  <si>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</si>
  <si>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</si>
  <si>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</si>
  <si>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</si>
  <si>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</si>
  <si>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</si>
  <si>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</si>
  <si>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</si>
  <si>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</si>
  <si>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</si>
  <si>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</si>
  <si>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</si>
  <si>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</si>
  <si>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</si>
  <si>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</si>
  <si>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</si>
  <si>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</si>
  <si>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</si>
  <si>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</si>
  <si>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</si>
  <si>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</si>
  <si>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</si>
  <si>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</si>
  <si>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</si>
  <si>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</si>
  <si>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</si>
  <si>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</si>
  <si>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</si>
  <si>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</si>
  <si>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</si>
  <si>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</si>
  <si>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</si>
  <si>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</si>
  <si>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</si>
  <si>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</si>
  <si>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</si>
  <si>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</si>
  <si>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</si>
  <si>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</si>
  <si>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</si>
  <si>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</si>
  <si>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</si>
  <si>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</si>
  <si>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</si>
  <si>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</si>
  <si>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</si>
  <si>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</si>
  <si>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</si>
  <si>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</si>
  <si>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</si>
  <si>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</si>
  <si>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</si>
  <si>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</si>
  <si>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</si>
  <si>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</si>
  <si>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</si>
  <si>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</si>
  <si>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</si>
  <si>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</si>
  <si>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</si>
  <si>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</si>
  <si>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</si>
  <si>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</si>
  <si>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</si>
  <si>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</si>
  <si>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</si>
  <si>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</si>
  <si>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</si>
  <si>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</si>
  <si>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</si>
  <si>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</si>
  <si>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</si>
  <si>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</si>
  <si>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</si>
  <si>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</si>
  <si>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</si>
  <si>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</si>
  <si>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</si>
  <si>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</si>
  <si>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</si>
  <si>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</si>
  <si>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</si>
  <si>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</si>
  <si>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</si>
  <si>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</si>
  <si>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</si>
  <si>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</si>
  <si>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</si>
  <si>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</si>
  <si>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</si>
  <si>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</si>
  <si>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</si>
  <si>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</si>
  <si>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</si>
  <si>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</si>
  <si>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</si>
  <si>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</si>
  <si>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</si>
  <si>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</si>
  <si>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</si>
  <si>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</si>
  <si>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</si>
  <si>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</si>
  <si>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</si>
  <si>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</si>
  <si>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</si>
  <si>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</si>
  <si>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</si>
  <si>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</si>
  <si>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</si>
  <si>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</si>
  <si>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</si>
  <si>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</si>
  <si>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</si>
  <si>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</si>
  <si>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</si>
  <si>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</si>
  <si>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</si>
  <si>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</si>
  <si>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</si>
  <si>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</si>
  <si>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</si>
  <si>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</si>
  <si>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</si>
  <si>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</si>
  <si>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</si>
  <si>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</si>
  <si>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</si>
  <si>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</si>
  <si>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</si>
  <si>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</si>
  <si>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</si>
  <si>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</si>
  <si>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</si>
  <si>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</si>
  <si>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</si>
  <si>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</si>
  <si>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</si>
  <si>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</si>
  <si>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</si>
  <si>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</si>
  <si>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</si>
  <si>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</si>
  <si>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</si>
  <si>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</si>
  <si>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</si>
  <si>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</si>
  <si>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</si>
  <si>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</si>
  <si>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</si>
  <si>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</si>
  <si>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</si>
  <si>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</si>
  <si>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</si>
  <si>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</si>
  <si>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</si>
  <si>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</si>
  <si>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</si>
  <si>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</si>
  <si>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</si>
  <si>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</si>
  <si>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</si>
  <si>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</si>
  <si>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</si>
  <si>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</si>
  <si>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</si>
  <si>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</si>
  <si>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</si>
  <si>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</si>
  <si>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</si>
  <si>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</si>
  <si>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</si>
  <si>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</si>
  <si>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</si>
  <si>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</si>
  <si>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</si>
  <si>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</si>
  <si>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</si>
  <si>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</si>
  <si>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</si>
  <si>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</si>
  <si>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</si>
  <si>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</si>
  <si>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</si>
  <si>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</si>
  <si>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</si>
  <si>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</si>
  <si>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</si>
  <si>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</si>
  <si>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</si>
  <si>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</si>
  <si>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</si>
  <si>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</si>
  <si>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</si>
  <si>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</si>
  <si>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</si>
  <si>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</si>
  <si>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</si>
  <si>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</si>
  <si>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</si>
  <si>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</si>
  <si>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</si>
  <si>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</si>
  <si>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</si>
  <si>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</si>
  <si>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</si>
  <si>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</si>
  <si>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</si>
  <si>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</si>
  <si>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</si>
  <si>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</si>
  <si>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</si>
  <si>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</si>
  <si>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</si>
  <si>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</si>
  <si>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</si>
  <si>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</si>
  <si>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</si>
  <si>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</si>
  <si>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</si>
  <si>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</si>
  <si>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</si>
  <si>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</si>
  <si>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</si>
  <si>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</si>
  <si>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</si>
  <si>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</si>
  <si>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</si>
  <si>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</si>
  <si>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</si>
  <si>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</si>
  <si>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</si>
  <si>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</si>
  <si>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</si>
  <si>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</si>
  <si>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</si>
  <si>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</si>
  <si>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</si>
  <si>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</si>
  <si>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</si>
  <si>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</si>
  <si>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</si>
  <si>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</si>
  <si>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</si>
  <si>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</si>
  <si>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</si>
  <si>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</si>
  <si>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</si>
  <si>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</si>
  <si>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</si>
  <si>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</si>
  <si>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</si>
  <si>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</si>
  <si>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</si>
  <si>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</si>
  <si>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</si>
  <si>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</si>
  <si>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</si>
  <si>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</si>
  <si>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</si>
  <si>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</si>
  <si>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</si>
  <si>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</si>
  <si>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</si>
  <si>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</si>
  <si>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</si>
  <si>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</si>
  <si>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</si>
  <si>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</si>
  <si>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</si>
  <si>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</si>
  <si>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</si>
  <si>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</si>
  <si>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</si>
  <si>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</si>
  <si>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</si>
  <si>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</si>
  <si>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</si>
  <si>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</si>
  <si>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</si>
  <si>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</si>
  <si>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</si>
  <si>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</si>
  <si>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</si>
  <si>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</si>
  <si>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</si>
  <si>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</si>
  <si>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</si>
  <si>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</si>
  <si>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</si>
  <si>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</si>
  <si>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</si>
  <si>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</si>
  <si>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</si>
  <si>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</si>
  <si>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</si>
  <si>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</si>
  <si>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</si>
  <si>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</si>
  <si>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</si>
  <si>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</si>
  <si>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</si>
  <si>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</si>
  <si>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</si>
  <si>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</si>
  <si>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</si>
  <si>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</si>
  <si>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</si>
  <si>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</si>
  <si>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</si>
  <si>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</si>
  <si>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</si>
  <si>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</si>
  <si>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</si>
  <si>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</si>
  <si>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</si>
  <si>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</si>
  <si>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</si>
  <si>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</si>
  <si>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</si>
  <si>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</si>
  <si>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</si>
  <si>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</si>
  <si>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</si>
  <si>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</si>
  <si>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</si>
  <si>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</si>
  <si>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</si>
  <si>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</si>
  <si>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</si>
  <si>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</si>
  <si>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</si>
  <si>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</si>
  <si>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</si>
  <si>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</si>
  <si>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</si>
  <si>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</si>
  <si>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</si>
  <si>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</si>
  <si>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</si>
  <si>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</si>
  <si>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</si>
  <si>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</si>
  <si>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</si>
  <si>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</si>
  <si>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</si>
  <si>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</si>
  <si>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</si>
  <si>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</si>
  <si>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</si>
  <si>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</si>
  <si>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</si>
  <si>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</si>
  <si>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</si>
  <si>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</si>
  <si>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</si>
  <si>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</si>
  <si>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</si>
  <si>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</si>
  <si>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</si>
  <si>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</si>
  <si>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</si>
  <si>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</si>
  <si>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</si>
  <si>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</si>
  <si>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</si>
  <si>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</si>
  <si>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</si>
  <si>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</si>
  <si>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</si>
  <si>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</si>
  <si>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</si>
  <si>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</si>
  <si>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</si>
  <si>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</si>
  <si>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</si>
  <si>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</si>
  <si>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</si>
  <si>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</si>
  <si>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</si>
  <si>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</si>
  <si>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</si>
  <si>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</si>
  <si>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</si>
  <si>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</si>
  <si>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</si>
  <si>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</si>
  <si>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</si>
  <si>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</si>
  <si>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</si>
  <si>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</si>
  <si>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</si>
  <si>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</si>
  <si>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</si>
  <si>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</si>
  <si>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</si>
  <si>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</si>
  <si>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</si>
  <si>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</si>
  <si>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</si>
  <si>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</si>
  <si>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</si>
  <si>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</si>
  <si>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</si>
  <si>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</si>
  <si>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</si>
  <si>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</si>
  <si>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</si>
  <si>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</si>
  <si>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</si>
  <si>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</si>
  <si>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</si>
  <si>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</si>
  <si>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</si>
  <si>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</si>
  <si>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</si>
  <si>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</si>
  <si>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</si>
  <si>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</si>
  <si>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</si>
  <si>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</si>
  <si>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</si>
  <si>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</si>
  <si>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</si>
  <si>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</si>
  <si>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</si>
  <si>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</si>
  <si>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</si>
  <si>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</si>
  <si>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</si>
  <si>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</si>
  <si>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</si>
  <si>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</si>
  <si>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</si>
  <si>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</si>
  <si>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</si>
  <si>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</si>
  <si>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</si>
  <si>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</si>
  <si>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</si>
  <si>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</si>
  <si>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</si>
  <si>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</si>
  <si>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</si>
  <si>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</si>
  <si>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</si>
  <si>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</si>
  <si>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</si>
  <si>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</si>
  <si>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</si>
  <si>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</si>
  <si>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</si>
  <si>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</si>
  <si>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</si>
  <si>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</si>
  <si>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</si>
  <si>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</si>
  <si>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</si>
  <si>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</si>
  <si>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</si>
  <si>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</si>
  <si>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</si>
  <si>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</si>
  <si>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</si>
  <si>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</si>
  <si>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</si>
  <si>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</si>
  <si>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</si>
  <si>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</si>
  <si>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</si>
  <si>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</si>
  <si>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</si>
  <si>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</si>
  <si>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</si>
  <si>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</si>
  <si>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</si>
  <si>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</si>
  <si>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</si>
  <si>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</si>
  <si>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</si>
  <si>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</si>
  <si>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</si>
  <si>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</si>
  <si>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</si>
  <si>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</si>
  <si>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</si>
  <si>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</si>
  <si>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</si>
  <si>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</si>
  <si>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</si>
  <si>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</si>
  <si>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</si>
  <si>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</si>
  <si>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</si>
  <si>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</si>
  <si>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</si>
  <si>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</si>
  <si>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</si>
  <si>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</si>
  <si>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</si>
  <si>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</si>
  <si>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</si>
  <si>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</si>
  <si>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</si>
  <si>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</si>
  <si>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</si>
  <si>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</si>
  <si>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</si>
  <si>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</si>
  <si>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</si>
  <si>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</si>
  <si>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</si>
  <si>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</si>
  <si>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</si>
  <si>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</si>
  <si>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</si>
  <si>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</si>
  <si>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</si>
  <si>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</si>
  <si>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</si>
  <si>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</si>
  <si>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</si>
  <si>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</si>
  <si>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</si>
  <si>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</si>
  <si>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</si>
  <si>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</si>
  <si>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</si>
  <si>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</si>
  <si>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</si>
  <si>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</si>
  <si>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</si>
  <si>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</si>
  <si>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</si>
  <si>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</si>
  <si>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</si>
  <si>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</si>
  <si>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</si>
  <si>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</si>
  <si>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</si>
  <si>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</si>
  <si>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</si>
  <si>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</si>
  <si>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</si>
  <si>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</si>
  <si>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</si>
  <si>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</si>
  <si>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</si>
  <si>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</si>
  <si>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</si>
  <si>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</si>
  <si>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</si>
  <si>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</si>
  <si>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</si>
  <si>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</si>
  <si>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</si>
  <si>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</si>
  <si>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</si>
  <si>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</si>
  <si>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</si>
  <si>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</si>
  <si>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</si>
  <si>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</si>
  <si>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</si>
  <si>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</si>
  <si>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</si>
  <si>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</si>
  <si>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</si>
  <si>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</si>
  <si>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</si>
  <si>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</si>
  <si>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</si>
  <si>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</si>
  <si>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</si>
  <si>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</si>
  <si>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</si>
  <si>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</si>
  <si>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</si>
  <si>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</si>
  <si>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</si>
  <si>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</si>
  <si>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</si>
  <si>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</si>
  <si>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</si>
  <si>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</si>
  <si>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</si>
  <si>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</si>
  <si>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</si>
  <si>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</si>
  <si>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</si>
  <si>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</si>
  <si>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</si>
  <si>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</si>
  <si>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</si>
  <si>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</si>
  <si>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</si>
  <si>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</si>
  <si>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</si>
  <si>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</si>
  <si>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</si>
  <si>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</si>
  <si>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</si>
  <si>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</si>
  <si>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</si>
  <si>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</si>
  <si>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</si>
  <si>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</si>
  <si>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</si>
  <si>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</si>
  <si>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</si>
  <si>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</si>
  <si>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</si>
  <si>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</si>
  <si>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</si>
  <si>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</si>
  <si>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</si>
  <si>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</si>
  <si>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</si>
  <si>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</si>
  <si>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</si>
  <si>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</si>
  <si>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</si>
  <si>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</si>
  <si>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</si>
  <si>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</si>
  <si>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</si>
  <si>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</si>
  <si>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</si>
  <si>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</si>
  <si>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</si>
  <si>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</si>
  <si>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</si>
  <si>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</si>
  <si>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</si>
  <si>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</si>
  <si>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</si>
  <si>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</si>
  <si>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</si>
  <si>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</si>
  <si>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</si>
  <si>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</si>
  <si>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</si>
  <si>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</si>
  <si>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</si>
  <si>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</si>
  <si>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</si>
  <si>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</si>
  <si>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</si>
  <si>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</si>
  <si>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</si>
  <si>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</si>
  <si>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</si>
  <si>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</si>
  <si>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</si>
  <si>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</si>
  <si>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</si>
  <si>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</si>
  <si>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</si>
  <si>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</si>
  <si>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</si>
  <si>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</si>
  <si>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</si>
  <si>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</si>
  <si>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</si>
  <si>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</si>
  <si>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</si>
  <si>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</si>
  <si>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</si>
  <si>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</si>
  <si>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</si>
  <si>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</si>
  <si>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</si>
  <si>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</si>
  <si>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</si>
  <si>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</si>
  <si>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</si>
  <si>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</si>
  <si>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</si>
  <si>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</si>
  <si>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</si>
  <si>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</si>
  <si>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</si>
  <si>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</si>
  <si>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</si>
  <si>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</si>
  <si>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</si>
  <si>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</si>
  <si>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</si>
  <si>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</si>
  <si>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</si>
  <si>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</si>
  <si>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</si>
  <si>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</si>
  <si>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</si>
  <si>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</si>
  <si>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</si>
  <si>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</si>
  <si>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</si>
  <si>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</si>
  <si>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</si>
  <si>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</si>
  <si>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</si>
  <si>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</si>
  <si>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</si>
  <si>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</si>
  <si>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</si>
  <si>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</si>
  <si>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</si>
  <si>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</si>
  <si>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</si>
  <si>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</si>
  <si>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</si>
  <si>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</si>
  <si>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</si>
  <si>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</si>
  <si>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</si>
  <si>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</si>
  <si>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</si>
  <si>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</si>
  <si>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</si>
  <si>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</si>
  <si>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</si>
  <si>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</si>
  <si>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</si>
  <si>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</si>
  <si>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</si>
  <si>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</si>
  <si>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</si>
  <si>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</si>
  <si>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</si>
  <si>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</si>
  <si>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</si>
  <si>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</si>
  <si>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</si>
  <si>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</si>
  <si>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</si>
  <si>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</si>
  <si>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</si>
  <si>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</si>
  <si>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</si>
  <si>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</si>
  <si>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</si>
  <si>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</si>
  <si>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</si>
  <si>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</si>
  <si>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</si>
  <si>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</si>
  <si>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</si>
  <si>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</si>
  <si>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</si>
  <si>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</si>
  <si>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</si>
  <si>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</si>
  <si>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</si>
  <si>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</si>
  <si>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</si>
  <si>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</si>
  <si>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</si>
  <si>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</si>
  <si>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</si>
  <si>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</si>
  <si>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</si>
  <si>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</si>
  <si>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</si>
  <si>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</si>
  <si>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</si>
  <si>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</si>
  <si>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</si>
  <si>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</si>
  <si>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</si>
  <si>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</si>
  <si>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</si>
  <si>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</si>
  <si>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</si>
  <si>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</si>
  <si>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</si>
  <si>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</si>
  <si>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</si>
  <si>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</si>
  <si>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</si>
  <si>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</si>
  <si>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</si>
  <si>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</si>
  <si>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</si>
  <si>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</si>
  <si>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</si>
  <si>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</si>
  <si>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</si>
  <si>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</si>
  <si>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</si>
  <si>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</si>
  <si>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</si>
  <si>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</si>
  <si>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</si>
  <si>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</si>
  <si>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</si>
  <si>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</si>
  <si>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</si>
  <si>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</si>
  <si>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</si>
  <si>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</si>
  <si>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</si>
  <si>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</si>
  <si>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</si>
  <si>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</si>
  <si>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</si>
  <si>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</si>
  <si>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</si>
  <si>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</si>
  <si>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</si>
  <si>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</si>
  <si>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</si>
  <si>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</si>
  <si>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</si>
  <si>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</si>
  <si>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</si>
  <si>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</si>
  <si>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</si>
  <si>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</si>
  <si>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</si>
  <si>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</si>
  <si>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</si>
  <si>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</si>
  <si>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</si>
  <si>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</si>
  <si>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</si>
  <si>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</si>
  <si>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</si>
  <si>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</si>
  <si>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</si>
  <si>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</si>
  <si>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</si>
  <si>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</si>
  <si>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</si>
  <si>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</si>
  <si>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</si>
  <si>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</si>
  <si>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</si>
  <si>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</si>
  <si>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</si>
  <si>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</si>
  <si>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</si>
  <si>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</si>
  <si>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</si>
  <si>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</si>
  <si>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</si>
  <si>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</si>
  <si>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</si>
  <si>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</si>
  <si>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</si>
  <si>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</si>
  <si>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</si>
  <si>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</si>
  <si>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</si>
  <si>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</si>
  <si>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</si>
  <si>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</si>
  <si>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</si>
  <si>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</si>
  <si>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</si>
  <si>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</si>
  <si>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</si>
  <si>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</si>
  <si>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</si>
  <si>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</si>
  <si>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</si>
  <si>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</si>
  <si>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</si>
  <si>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</si>
  <si>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</si>
  <si>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</si>
  <si>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</si>
  <si>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</si>
  <si>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</si>
  <si>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</si>
  <si>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</si>
  <si>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</si>
  <si>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</si>
  <si>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</si>
  <si>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</si>
  <si>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</si>
  <si>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</si>
  <si>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</si>
  <si>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</si>
  <si>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</si>
  <si>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</si>
  <si>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</si>
  <si>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</si>
  <si>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</si>
  <si>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</si>
  <si>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</si>
  <si>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</si>
  <si>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</si>
  <si>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</si>
  <si>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</si>
  <si>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</si>
  <si>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</si>
  <si>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</si>
  <si>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</si>
  <si>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</si>
  <si>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</si>
  <si>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</si>
  <si>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</si>
  <si>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</si>
  <si>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</si>
  <si>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</si>
  <si>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</si>
  <si>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</si>
  <si>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</si>
  <si>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</si>
  <si>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</si>
  <si>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</si>
  <si>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</si>
  <si>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</si>
  <si>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</si>
  <si>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</si>
  <si>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</si>
  <si>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</si>
  <si>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</si>
  <si>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</si>
  <si>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</si>
  <si>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</si>
  <si>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</si>
  <si>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</si>
  <si>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</si>
  <si>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</si>
  <si>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</si>
  <si>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</si>
  <si>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</si>
  <si>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</si>
  <si>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</si>
  <si>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</si>
  <si>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</si>
  <si>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</si>
  <si>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</si>
  <si>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</si>
  <si>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</si>
  <si>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</si>
  <si>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</si>
  <si>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</si>
  <si>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</si>
  <si>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</si>
  <si>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</si>
  <si>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</si>
  <si>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</si>
  <si>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</si>
  <si>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</si>
  <si>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</si>
  <si>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</si>
  <si>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</si>
  <si>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</si>
  <si>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</si>
  <si>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</si>
  <si>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</si>
  <si>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</si>
  <si>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</si>
  <si>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</si>
  <si>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</si>
  <si>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</si>
  <si>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</si>
  <si>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</si>
  <si>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</si>
  <si>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</si>
  <si>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</si>
  <si>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</si>
  <si>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</si>
  <si>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</si>
  <si>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</si>
  <si>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</si>
  <si>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</si>
  <si>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</si>
  <si>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</si>
  <si>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</si>
  <si>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</si>
  <si>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</si>
  <si>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</si>
  <si>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</si>
  <si>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</si>
  <si>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</si>
  <si>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</si>
  <si>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</si>
  <si>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</si>
  <si>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</si>
  <si>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</si>
  <si>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</si>
  <si>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</si>
  <si>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</si>
  <si>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</si>
  <si>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</si>
  <si>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</si>
  <si>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</si>
  <si>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</si>
  <si>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</si>
  <si>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</si>
  <si>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</si>
  <si>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</si>
  <si>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</si>
  <si>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</si>
  <si>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</si>
  <si>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</si>
  <si>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</si>
  <si>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</si>
  <si>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</si>
  <si>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</si>
  <si>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</si>
  <si>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</si>
  <si>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</si>
  <si>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</si>
  <si>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</si>
  <si>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</si>
  <si>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</si>
  <si>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</si>
  <si>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</si>
  <si>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</si>
  <si>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</si>
  <si>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</si>
  <si>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</si>
  <si>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</si>
  <si>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</si>
  <si>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</si>
  <si>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</si>
  <si>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</si>
  <si>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</si>
  <si>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</si>
  <si>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</si>
  <si>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</si>
  <si>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</si>
  <si>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</si>
  <si>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</si>
  <si>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</si>
  <si>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</si>
  <si>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</si>
  <si>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</si>
  <si>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</si>
  <si>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</si>
  <si>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</si>
  <si>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</si>
  <si>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</si>
  <si>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</si>
  <si>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</si>
  <si>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</si>
  <si>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</si>
  <si>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</si>
  <si>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</si>
  <si>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</si>
  <si>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</si>
  <si>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</si>
  <si>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</si>
  <si>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</si>
  <si>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</si>
  <si>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</si>
  <si>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</si>
  <si>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</si>
  <si>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</si>
  <si>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</si>
  <si>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</si>
  <si>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</si>
  <si>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</si>
  <si>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</si>
  <si>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</si>
  <si>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</si>
  <si>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</si>
  <si>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</si>
  <si>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</si>
  <si>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</si>
  <si>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</si>
  <si>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</si>
  <si>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</si>
  <si>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</si>
  <si>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</si>
  <si>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</si>
  <si>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</si>
  <si>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</si>
  <si>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</si>
  <si>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</si>
  <si>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</si>
  <si>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</si>
  <si>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</si>
  <si>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</si>
  <si>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</si>
  <si>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</si>
  <si>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</si>
  <si>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</si>
  <si>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</si>
  <si>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</si>
  <si>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</si>
  <si>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</si>
  <si>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</si>
  <si>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</si>
  <si>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</si>
  <si>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</si>
  <si>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</si>
  <si>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</si>
  <si>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</si>
  <si>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</si>
  <si>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</si>
  <si>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</si>
  <si>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</si>
  <si>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</si>
  <si>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</si>
  <si>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</si>
  <si>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</si>
  <si>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</si>
  <si>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</si>
  <si>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</si>
  <si>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</si>
  <si>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</si>
  <si>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</si>
  <si>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</si>
  <si>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</si>
  <si>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</si>
  <si>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</si>
  <si>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</si>
  <si>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</si>
  <si>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</si>
  <si>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</si>
  <si>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</si>
  <si>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</si>
  <si>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</si>
  <si>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</si>
  <si>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</si>
  <si>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</si>
  <si>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</si>
  <si>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</si>
  <si>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</si>
  <si>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</si>
  <si>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</si>
  <si>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</si>
  <si>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</si>
  <si>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</si>
  <si>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</si>
  <si>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</si>
  <si>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</si>
  <si>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</si>
  <si>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</si>
  <si>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</si>
  <si>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</si>
  <si>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</si>
  <si>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</si>
  <si>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</si>
  <si>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</si>
  <si>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</si>
  <si>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</si>
  <si>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</si>
  <si>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</si>
  <si>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</si>
  <si>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</si>
  <si>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</si>
  <si>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</si>
  <si>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</si>
  <si>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</si>
  <si>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</si>
  <si>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</si>
  <si>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</si>
  <si>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</si>
  <si>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</si>
  <si>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</si>
  <si>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</si>
  <si>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</si>
  <si>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</si>
  <si>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</si>
  <si>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</si>
  <si>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</si>
  <si>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</si>
  <si>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</si>
  <si>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</si>
  <si>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</si>
  <si>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</si>
  <si>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</si>
  <si>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</si>
  <si>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</si>
  <si>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</si>
  <si>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</si>
  <si>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</si>
  <si>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</si>
  <si>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</si>
  <si>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</si>
  <si>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</si>
  <si>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</si>
  <si>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</si>
  <si>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</si>
  <si>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</si>
  <si>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</si>
  <si>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</si>
  <si>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</si>
  <si>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</si>
  <si>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</si>
  <si>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</si>
  <si>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</si>
  <si>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</si>
  <si>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</si>
  <si>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</si>
  <si>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</si>
  <si>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</si>
  <si>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</si>
  <si>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</si>
  <si>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</si>
  <si>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</si>
  <si>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</si>
  <si>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</si>
  <si>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</si>
  <si>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</si>
  <si>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</si>
  <si>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</si>
  <si>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</si>
  <si>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</si>
  <si>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</si>
  <si>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</si>
  <si>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</si>
  <si>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</si>
  <si>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</si>
  <si>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</si>
  <si>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</si>
  <si>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</si>
  <si>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</si>
  <si>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</si>
  <si>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</si>
  <si>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</si>
  <si>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</si>
  <si>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</si>
  <si>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</si>
  <si>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</si>
  <si>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</si>
  <si>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</si>
  <si>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</si>
  <si>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</si>
  <si>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</si>
  <si>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</si>
  <si>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</si>
  <si>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</si>
  <si>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</si>
  <si>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</si>
  <si>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</si>
  <si>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</si>
  <si>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</si>
  <si>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</si>
  <si>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</si>
  <si>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</si>
  <si>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</si>
  <si>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</si>
  <si>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</si>
  <si>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</si>
  <si>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</si>
  <si>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</si>
  <si>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</si>
  <si>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</si>
  <si>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</si>
  <si>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</si>
  <si>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</si>
  <si>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</si>
  <si>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</si>
  <si>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</si>
  <si>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</si>
  <si>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</si>
  <si>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</si>
  <si>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</si>
  <si>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</si>
  <si>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</si>
  <si>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</si>
  <si>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</si>
  <si>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</si>
  <si>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</si>
  <si>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</si>
  <si>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</si>
  <si>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</si>
  <si>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</si>
  <si>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</si>
  <si>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</si>
  <si>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</si>
  <si>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</si>
  <si>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</si>
  <si>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</si>
  <si>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</si>
  <si>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</si>
  <si>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</si>
  <si>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</si>
  <si>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</si>
  <si>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</si>
  <si>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</si>
  <si>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</si>
  <si>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</si>
  <si>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</si>
  <si>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</si>
  <si>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</si>
  <si>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</si>
  <si>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</si>
  <si>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</si>
  <si>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</si>
  <si>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</si>
  <si>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</si>
  <si>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</si>
  <si>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</si>
  <si>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</si>
  <si>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</si>
  <si>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</si>
  <si>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</si>
  <si>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</si>
  <si>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</si>
  <si>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</si>
  <si>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</si>
  <si>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</si>
  <si>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</si>
  <si>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</si>
  <si>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</si>
  <si>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</si>
  <si>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</si>
  <si>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</si>
  <si>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</si>
  <si>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</si>
  <si>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</si>
  <si>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</si>
  <si>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</si>
  <si>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</si>
  <si>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</si>
  <si>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</si>
  <si>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</si>
  <si>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</si>
  <si>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</si>
  <si>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</si>
  <si>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</si>
  <si>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</si>
  <si>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</si>
  <si>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</si>
  <si>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</si>
  <si>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</si>
  <si>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</si>
  <si>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</si>
  <si>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</si>
  <si>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</si>
  <si>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</si>
  <si>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</si>
  <si>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</si>
  <si>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</si>
  <si>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</si>
  <si>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</si>
  <si>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</si>
  <si>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</si>
  <si>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</si>
  <si>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</si>
  <si>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</si>
  <si>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</si>
  <si>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</si>
  <si>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</si>
  <si>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</si>
  <si>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</si>
  <si>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</si>
  <si>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</si>
  <si>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</si>
  <si>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</si>
  <si>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</si>
  <si>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</si>
  <si>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</si>
  <si>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</si>
  <si>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</si>
  <si>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</si>
  <si>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</si>
  <si>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</si>
  <si>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</si>
  <si>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</si>
  <si>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</si>
  <si>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</si>
  <si>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</si>
  <si>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</si>
  <si>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</si>
  <si>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</si>
  <si>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</si>
  <si>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</si>
  <si>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</si>
  <si>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</si>
  <si>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</si>
  <si>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</si>
  <si>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</si>
  <si>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</si>
  <si>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</si>
  <si>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</si>
  <si>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</si>
  <si>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</si>
  <si>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</si>
  <si>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</si>
  <si>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</si>
  <si>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</si>
  <si>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</si>
  <si>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</si>
  <si>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</si>
  <si>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</si>
  <si>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</si>
  <si>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</si>
  <si>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</si>
  <si>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</si>
  <si>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</si>
  <si>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</si>
  <si>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</si>
  <si>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</si>
  <si>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</si>
  <si>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</si>
  <si>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</si>
  <si>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</si>
  <si>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</si>
  <si>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</si>
  <si>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</si>
  <si>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</si>
  <si>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</si>
  <si>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</si>
  <si>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</si>
  <si>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</si>
  <si>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</si>
  <si>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</si>
  <si>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</si>
  <si>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</si>
  <si>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</si>
  <si>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</si>
  <si>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</si>
  <si>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</si>
  <si>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</si>
  <si>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</si>
  <si>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</si>
  <si>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</si>
  <si>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</si>
  <si>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</si>
  <si>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</si>
  <si>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</si>
  <si>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</si>
  <si>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</si>
  <si>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</si>
  <si>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</si>
  <si>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</si>
  <si>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</si>
  <si>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</si>
  <si>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</si>
  <si>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</si>
  <si>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</si>
  <si>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</si>
  <si>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</si>
  <si>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</si>
  <si>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</si>
  <si>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</si>
  <si>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</si>
  <si>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</si>
  <si>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</si>
  <si>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</si>
  <si>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</si>
  <si>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</si>
  <si>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</si>
  <si>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</si>
  <si>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</si>
  <si>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</si>
  <si>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</si>
  <si>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</si>
  <si>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</si>
  <si>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</si>
  <si>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</si>
  <si>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</si>
  <si>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</si>
  <si>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</si>
  <si>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</si>
  <si>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</si>
  <si>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</si>
  <si>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</si>
  <si>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</si>
  <si>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</si>
  <si>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</si>
  <si>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</si>
  <si>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</si>
  <si>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</si>
  <si>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</si>
  <si>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</si>
  <si>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</si>
  <si>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</si>
  <si>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</si>
  <si>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</si>
  <si>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</si>
  <si>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</si>
  <si>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</si>
  <si>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</si>
  <si>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</si>
  <si>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</si>
  <si>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</si>
  <si>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</si>
  <si>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</si>
  <si>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</si>
  <si>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</si>
  <si>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</si>
  <si>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</si>
  <si>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</si>
  <si>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</si>
  <si>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</si>
  <si>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</si>
  <si>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</si>
  <si>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</si>
  <si>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</si>
  <si>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</si>
  <si>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</si>
  <si>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</si>
  <si>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</si>
  <si>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</si>
  <si>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</si>
  <si>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</si>
  <si>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</si>
  <si>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</si>
  <si>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</si>
  <si>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</si>
  <si>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</si>
  <si>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</si>
  <si>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</si>
  <si>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</si>
  <si>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</si>
  <si>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</si>
  <si>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</si>
  <si>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</si>
  <si>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</si>
  <si>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</si>
  <si>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</si>
  <si>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</si>
  <si>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</si>
  <si>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</si>
  <si>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</si>
  <si>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</si>
  <si>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2023-4</t>
  </si>
  <si>
    <t>2023-3</t>
  </si>
  <si>
    <t>2022-4</t>
    <phoneticPr fontId="4" type="noConversion"/>
  </si>
  <si>
    <t>2023-2</t>
    <phoneticPr fontId="4" type="noConversion"/>
  </si>
  <si>
    <t>2023-1</t>
    <phoneticPr fontId="4" type="noConversion"/>
  </si>
  <si>
    <t>2023-2</t>
    <phoneticPr fontId="4"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</si>
  <si>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</si>
  <si>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</si>
  <si>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</si>
  <si>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</si>
  <si>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</si>
  <si>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</si>
  <si>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</si>
  <si>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</si>
  <si>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</si>
  <si>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</si>
  <si>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</si>
  <si>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</si>
  <si>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</si>
  <si>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</si>
  <si>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</si>
  <si>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4" type="noConversion"/>
  </si>
  <si>
    <t>直线</t>
    <phoneticPr fontId="4" type="noConversion"/>
  </si>
  <si>
    <t>观察</t>
    <phoneticPr fontId="4" type="noConversion"/>
  </si>
  <si>
    <t>综合</t>
    <phoneticPr fontId="4" type="noConversion"/>
  </si>
  <si>
    <t>成新度</t>
  </si>
  <si>
    <t>收益法</t>
  </si>
  <si>
    <t>较好</t>
  </si>
  <si>
    <t>较好</t>
    <phoneticPr fontId="41" type="noConversion"/>
  </si>
  <si>
    <t>较好</t>
    <phoneticPr fontId="25" type="noConversion"/>
  </si>
  <si>
    <t>较好</t>
    <phoneticPr fontId="41" type="noConversion"/>
  </si>
  <si>
    <t>七通</t>
  </si>
  <si>
    <t>七通</t>
    <phoneticPr fontId="25" type="noConversion"/>
  </si>
  <si>
    <t>较好</t>
    <phoneticPr fontId="25" type="noConversion"/>
  </si>
  <si>
    <t>总价</t>
  </si>
  <si>
    <t>情况3</t>
  </si>
  <si>
    <t>正常</t>
  </si>
  <si>
    <t>自行开发建设</t>
  </si>
  <si>
    <t>非个人房产</t>
  </si>
  <si>
    <t>成本法</t>
  </si>
  <si>
    <t>未包含在土地购买价格中</t>
  </si>
  <si>
    <t>已包含在土地取得成本中</t>
  </si>
  <si>
    <t>押一</t>
  </si>
  <si>
    <t>钢混</t>
  </si>
  <si>
    <t>非生产用房</t>
  </si>
  <si>
    <t>否</t>
  </si>
  <si>
    <t>普通装修</t>
  </si>
  <si>
    <t>专业物业</t>
  </si>
  <si>
    <r>
      <rPr>
        <sz val="10"/>
        <color theme="9" tint="-0.249977111117893"/>
        <rFont val="宋体"/>
        <family val="3"/>
        <charset val="134"/>
      </rPr>
      <t>朝阳区郎家园</t>
    </r>
    <r>
      <rPr>
        <sz val="10"/>
        <color theme="9" tint="-0.249977111117893"/>
        <rFont val="Arial"/>
        <family val="2"/>
      </rPr>
      <t>6</t>
    </r>
    <r>
      <rPr>
        <sz val="10"/>
        <color theme="9" tint="-0.249977111117893"/>
        <rFont val="宋体"/>
        <family val="3"/>
        <charset val="134"/>
      </rPr>
      <t>号</t>
    </r>
    <r>
      <rPr>
        <sz val="10"/>
        <color theme="9" tint="-0.249977111117893"/>
        <rFont val="Arial"/>
        <family val="2"/>
      </rPr>
      <t>10</t>
    </r>
    <r>
      <rPr>
        <sz val="10"/>
        <color theme="9" tint="-0.249977111117893"/>
        <rFont val="宋体"/>
        <family val="3"/>
        <charset val="134"/>
      </rPr>
      <t>幢等</t>
    </r>
    <r>
      <rPr>
        <sz val="10"/>
        <color theme="9" tint="-0.249977111117893"/>
        <rFont val="Arial"/>
        <family val="2"/>
      </rPr>
      <t>17</t>
    </r>
    <r>
      <rPr>
        <sz val="10"/>
        <color theme="9" tint="-0.249977111117893"/>
        <rFont val="宋体"/>
        <family val="3"/>
        <charset val="134"/>
      </rPr>
      <t>幢</t>
    </r>
    <phoneticPr fontId="7" type="noConversion"/>
  </si>
  <si>
    <t>《不动产权证书》</t>
  </si>
  <si>
    <t>复印件</t>
  </si>
  <si>
    <t>工业项目</t>
  </si>
  <si>
    <t>无</t>
  </si>
  <si>
    <t>是</t>
  </si>
  <si>
    <t>产业园</t>
  </si>
  <si>
    <t>产业园</t>
    <phoneticPr fontId="17" type="noConversion"/>
  </si>
  <si>
    <t>国有土地使用证号</t>
  </si>
  <si>
    <t>房屋所有权证号</t>
  </si>
  <si>
    <t>证载</t>
  </si>
  <si>
    <t>幢号</t>
  </si>
  <si>
    <t>图示</t>
  </si>
  <si>
    <t>物业现</t>
  </si>
  <si>
    <t>状楼号</t>
  </si>
  <si>
    <t>证载建筑面积/㎡</t>
  </si>
  <si>
    <t>京朝国用（2011）</t>
  </si>
  <si>
    <t>出第00053号</t>
  </si>
  <si>
    <t>X京房权证朝字</t>
  </si>
  <si>
    <t>第956029号</t>
  </si>
  <si>
    <t>1幢</t>
  </si>
  <si>
    <t>A1</t>
  </si>
  <si>
    <t>17号楼</t>
  </si>
  <si>
    <t>2幢</t>
  </si>
  <si>
    <t>-</t>
  </si>
  <si>
    <t>已灭失</t>
  </si>
  <si>
    <t>拆除</t>
  </si>
  <si>
    <t>3幢</t>
  </si>
  <si>
    <t>18号楼</t>
  </si>
  <si>
    <t>4幢</t>
  </si>
  <si>
    <t>5幢</t>
  </si>
  <si>
    <t>A5</t>
  </si>
  <si>
    <t>19号楼</t>
  </si>
  <si>
    <t>6幢</t>
  </si>
  <si>
    <t>7幢</t>
  </si>
  <si>
    <t>A7</t>
  </si>
  <si>
    <t>20号楼</t>
  </si>
  <si>
    <t>出第00052号</t>
  </si>
  <si>
    <t>第956028号</t>
  </si>
  <si>
    <t>B1</t>
  </si>
  <si>
    <t>16号楼</t>
  </si>
  <si>
    <t>B2</t>
  </si>
  <si>
    <t>北侧卫生间</t>
  </si>
  <si>
    <t>B3</t>
  </si>
  <si>
    <t>11号楼</t>
  </si>
  <si>
    <t>B4</t>
  </si>
  <si>
    <t>10号楼</t>
  </si>
  <si>
    <t>B5</t>
  </si>
  <si>
    <t>8号楼</t>
  </si>
  <si>
    <t>B6</t>
  </si>
  <si>
    <t>7号楼</t>
  </si>
  <si>
    <t>6号楼</t>
  </si>
  <si>
    <t>B7</t>
  </si>
  <si>
    <t>3号楼</t>
  </si>
  <si>
    <t>8幢</t>
  </si>
  <si>
    <t>B8</t>
  </si>
  <si>
    <t>2号楼</t>
  </si>
  <si>
    <t>9幢</t>
  </si>
  <si>
    <t>10幢</t>
  </si>
  <si>
    <t>11幢</t>
  </si>
  <si>
    <t>12幢</t>
  </si>
  <si>
    <t>B12</t>
  </si>
  <si>
    <t>1号楼</t>
  </si>
  <si>
    <t>13幢</t>
  </si>
  <si>
    <t>B13</t>
  </si>
  <si>
    <t>南侧卫生间</t>
  </si>
  <si>
    <t>14幢</t>
  </si>
  <si>
    <t>B14</t>
  </si>
  <si>
    <t>5号楼</t>
  </si>
  <si>
    <t>15幢</t>
  </si>
  <si>
    <t>B15</t>
  </si>
  <si>
    <t>9号楼</t>
  </si>
  <si>
    <t>16幢</t>
  </si>
  <si>
    <t>B16</t>
  </si>
  <si>
    <t>12号楼</t>
  </si>
  <si>
    <t>17幢</t>
  </si>
  <si>
    <t>B17</t>
  </si>
  <si>
    <t>15号楼</t>
  </si>
  <si>
    <t>产业园</t>
    <phoneticPr fontId="8" type="noConversion"/>
  </si>
  <si>
    <t>宗地容积率</t>
  </si>
  <si>
    <t>不临65条商业街</t>
  </si>
  <si>
    <t>通热</t>
  </si>
  <si>
    <t>燃气</t>
  </si>
  <si>
    <t>与级别开发程度一致</t>
  </si>
  <si>
    <t>一般</t>
  </si>
  <si>
    <t>好</t>
  </si>
  <si>
    <r>
      <t>2022</t>
    </r>
    <r>
      <rPr>
        <sz val="10"/>
        <color indexed="8"/>
        <rFont val="宋体"/>
        <family val="3"/>
        <charset val="134"/>
      </rPr>
      <t>年预评</t>
    </r>
    <phoneticPr fontId="9" type="noConversion"/>
  </si>
  <si>
    <t>序列</t>
  </si>
  <si>
    <t>房产证号</t>
    <phoneticPr fontId="4" type="noConversion"/>
  </si>
  <si>
    <t>物业标识</t>
    <phoneticPr fontId="4" type="noConversion"/>
  </si>
  <si>
    <t>商（租）户名称</t>
  </si>
  <si>
    <t>合同编号</t>
    <phoneticPr fontId="4" type="noConversion"/>
  </si>
  <si>
    <t>面积</t>
    <phoneticPr fontId="4" type="noConversion"/>
  </si>
  <si>
    <t>租金单价</t>
    <phoneticPr fontId="4" type="noConversion"/>
  </si>
  <si>
    <t>管理费单价</t>
    <phoneticPr fontId="4" type="noConversion"/>
  </si>
  <si>
    <t>起租日期</t>
    <phoneticPr fontId="4" type="noConversion"/>
  </si>
  <si>
    <t>到租日期</t>
    <phoneticPr fontId="4" type="noConversion"/>
  </si>
  <si>
    <t>免租期</t>
    <phoneticPr fontId="4" type="noConversion"/>
  </si>
  <si>
    <t>12幢</t>
    <phoneticPr fontId="4" type="noConversion"/>
  </si>
  <si>
    <t>1#</t>
  </si>
  <si>
    <t xml:space="preserve">华胜资产管理有限公司 </t>
    <phoneticPr fontId="4" type="noConversion"/>
  </si>
  <si>
    <t>LBH272</t>
    <phoneticPr fontId="4" type="noConversion"/>
  </si>
  <si>
    <t>2021.10.08</t>
    <phoneticPr fontId="4" type="noConversion"/>
  </si>
  <si>
    <t>2023.10.07</t>
    <phoneticPr fontId="4" type="noConversion"/>
  </si>
  <si>
    <t>8幢</t>
    <phoneticPr fontId="4" type="noConversion"/>
  </si>
  <si>
    <t>2#-1F-W1</t>
    <phoneticPr fontId="4" type="noConversion"/>
  </si>
  <si>
    <t>北京理想国时代文化传媒有限公司</t>
    <phoneticPr fontId="4" type="noConversion"/>
  </si>
  <si>
    <t>LSH085</t>
    <phoneticPr fontId="4" type="noConversion"/>
  </si>
  <si>
    <t>2022.11.27</t>
    <phoneticPr fontId="4" type="noConversion"/>
  </si>
  <si>
    <t>2025.11.26</t>
    <phoneticPr fontId="4" type="noConversion"/>
  </si>
  <si>
    <t>2#-1F-E+E1</t>
    <phoneticPr fontId="4" type="noConversion"/>
  </si>
  <si>
    <t>北京私家味道餐饮有限责任公司</t>
    <phoneticPr fontId="4" type="noConversion"/>
  </si>
  <si>
    <t>LSH084</t>
    <phoneticPr fontId="4" type="noConversion"/>
  </si>
  <si>
    <t>2022.1.1</t>
    <phoneticPr fontId="4" type="noConversion"/>
  </si>
  <si>
    <t>2024.12.31</t>
    <phoneticPr fontId="4" type="noConversion"/>
  </si>
  <si>
    <t>2#-1F-W2</t>
  </si>
  <si>
    <t>尹诺裴（北京）餐饮有限公司朝阳第四分公司</t>
    <phoneticPr fontId="4" type="noConversion"/>
  </si>
  <si>
    <t>LSH081</t>
    <phoneticPr fontId="4" type="noConversion"/>
  </si>
  <si>
    <t>2022.2.20</t>
    <phoneticPr fontId="4" type="noConversion"/>
  </si>
  <si>
    <t>2025.2.19</t>
    <phoneticPr fontId="4" type="noConversion"/>
  </si>
  <si>
    <t>2022.2.20-2022.4.19</t>
    <phoneticPr fontId="4" type="noConversion"/>
  </si>
  <si>
    <t>8幢</t>
    <phoneticPr fontId="4" type="noConversion"/>
  </si>
  <si>
    <t>2#-1F-W3</t>
    <phoneticPr fontId="4" type="noConversion"/>
  </si>
  <si>
    <t>北京鹊缘叁两餐饮服务有限公司</t>
    <phoneticPr fontId="4" type="noConversion"/>
  </si>
  <si>
    <t>LSH094</t>
    <phoneticPr fontId="4" type="noConversion"/>
  </si>
  <si>
    <t>2022.12.15</t>
    <phoneticPr fontId="4" type="noConversion"/>
  </si>
  <si>
    <t>2024.12.14</t>
    <phoneticPr fontId="4" type="noConversion"/>
  </si>
  <si>
    <t>无</t>
    <phoneticPr fontId="4" type="noConversion"/>
  </si>
  <si>
    <t>2#-A-2F</t>
    <phoneticPr fontId="4" type="noConversion"/>
  </si>
  <si>
    <t>牧融集团有限公司</t>
    <phoneticPr fontId="4" type="noConversion"/>
  </si>
  <si>
    <t>LBH320</t>
    <phoneticPr fontId="4" type="noConversion"/>
  </si>
  <si>
    <t>2023.5.1</t>
    <phoneticPr fontId="4" type="noConversion"/>
  </si>
  <si>
    <t>2025.4.30</t>
    <phoneticPr fontId="4" type="noConversion"/>
  </si>
  <si>
    <t>牧融财富网络科技(北京)有限公司</t>
    <phoneticPr fontId="4" type="noConversion"/>
  </si>
  <si>
    <t>2#-B-2F</t>
    <phoneticPr fontId="4" type="noConversion"/>
  </si>
  <si>
    <t>北京翼多翼得健康科技有限公司</t>
    <phoneticPr fontId="4" type="noConversion"/>
  </si>
  <si>
    <t>LBH317</t>
    <phoneticPr fontId="4" type="noConversion"/>
  </si>
  <si>
    <t>2023.6.1</t>
    <phoneticPr fontId="4" type="noConversion"/>
  </si>
  <si>
    <t>2025.5.31</t>
    <phoneticPr fontId="4" type="noConversion"/>
  </si>
  <si>
    <t>无</t>
    <phoneticPr fontId="4" type="noConversion"/>
  </si>
  <si>
    <t>8幢</t>
    <phoneticPr fontId="4" type="noConversion"/>
  </si>
  <si>
    <t>2#-3F</t>
  </si>
  <si>
    <t>霍尔果斯万达影院技术服务有限公司北京分公司</t>
    <phoneticPr fontId="4" type="noConversion"/>
  </si>
  <si>
    <t>LBH301</t>
    <phoneticPr fontId="4" type="noConversion"/>
  </si>
  <si>
    <t>2022.7.1</t>
    <phoneticPr fontId="4" type="noConversion"/>
  </si>
  <si>
    <t>2024.6.30</t>
    <phoneticPr fontId="4" type="noConversion"/>
  </si>
  <si>
    <t>无</t>
    <phoneticPr fontId="4" type="noConversion"/>
  </si>
  <si>
    <t>8幢</t>
    <phoneticPr fontId="4" type="noConversion"/>
  </si>
  <si>
    <t>北京影立方电影科技有限公司</t>
    <phoneticPr fontId="4" type="noConversion"/>
  </si>
  <si>
    <t>2#-A-4F</t>
    <phoneticPr fontId="4" type="noConversion"/>
  </si>
  <si>
    <t>北京紫禁城影业有限责任公司</t>
    <phoneticPr fontId="4" type="noConversion"/>
  </si>
  <si>
    <t>LBH268</t>
    <phoneticPr fontId="4" type="noConversion"/>
  </si>
  <si>
    <t>2021.3.20</t>
    <phoneticPr fontId="4" type="noConversion"/>
  </si>
  <si>
    <t>2023.9.19</t>
    <phoneticPr fontId="4" type="noConversion"/>
  </si>
  <si>
    <t>2021.3.20-2021.4.19</t>
    <phoneticPr fontId="4" type="noConversion"/>
  </si>
  <si>
    <t>2#-B-4F</t>
    <phoneticPr fontId="4" type="noConversion"/>
  </si>
  <si>
    <t>卡布姆（北京）科技有限</t>
    <phoneticPr fontId="4" type="noConversion"/>
  </si>
  <si>
    <t>LBH283</t>
    <phoneticPr fontId="4" type="noConversion"/>
  </si>
  <si>
    <t>2021.11.25</t>
    <phoneticPr fontId="4" type="noConversion"/>
  </si>
  <si>
    <t>2024.11.24</t>
    <phoneticPr fontId="4" type="noConversion"/>
  </si>
  <si>
    <t>2021.11.25-2022.1.24</t>
    <phoneticPr fontId="4" type="noConversion"/>
  </si>
  <si>
    <t>2#-B-5F</t>
    <phoneticPr fontId="4" type="noConversion"/>
  </si>
  <si>
    <t>动艺时光信息技术（北京）有限公司</t>
    <phoneticPr fontId="4" type="noConversion"/>
  </si>
  <si>
    <t>LBH234</t>
    <phoneticPr fontId="4" type="noConversion"/>
  </si>
  <si>
    <t>2023.3.6</t>
    <phoneticPr fontId="4" type="noConversion"/>
  </si>
  <si>
    <t>2024.6.30</t>
    <phoneticPr fontId="4" type="noConversion"/>
  </si>
  <si>
    <t>2#-A-6F</t>
    <phoneticPr fontId="4" type="noConversion"/>
  </si>
  <si>
    <t>北京山中酒事商贸有限公司</t>
    <phoneticPr fontId="4" type="noConversion"/>
  </si>
  <si>
    <t>LBH287</t>
    <phoneticPr fontId="4" type="noConversion"/>
  </si>
  <si>
    <t>2022.4.15</t>
    <phoneticPr fontId="4" type="noConversion"/>
  </si>
  <si>
    <t>2024.4.14</t>
    <phoneticPr fontId="4" type="noConversion"/>
  </si>
  <si>
    <t>2022.4.15-2022.6.14</t>
    <phoneticPr fontId="4" type="noConversion"/>
  </si>
  <si>
    <t>8幢</t>
    <phoneticPr fontId="4" type="noConversion"/>
  </si>
  <si>
    <t>2#-A-6F</t>
    <phoneticPr fontId="4" type="noConversion"/>
  </si>
  <si>
    <t>东阳浦天影视文化有限公司</t>
    <phoneticPr fontId="4" type="noConversion"/>
  </si>
  <si>
    <t>LBH288</t>
  </si>
  <si>
    <t>2022.4.15</t>
    <phoneticPr fontId="4" type="noConversion"/>
  </si>
  <si>
    <t>2024.4.14</t>
    <phoneticPr fontId="4" type="noConversion"/>
  </si>
  <si>
    <t>厦门吉宏科技股份有限公司</t>
    <phoneticPr fontId="4" type="noConversion"/>
  </si>
  <si>
    <t>LBH289</t>
  </si>
  <si>
    <t>2#-A-7F</t>
    <phoneticPr fontId="4" type="noConversion"/>
  </si>
  <si>
    <t>湖南当燃影业有限公司</t>
    <phoneticPr fontId="4" type="noConversion"/>
  </si>
  <si>
    <t>LBH277</t>
    <phoneticPr fontId="4" type="noConversion"/>
  </si>
  <si>
    <t>2021.8.16</t>
    <phoneticPr fontId="4" type="noConversion"/>
  </si>
  <si>
    <t>2024.8.15</t>
    <phoneticPr fontId="4" type="noConversion"/>
  </si>
  <si>
    <t>2021.8.16-2021.10.15</t>
    <phoneticPr fontId="4" type="noConversion"/>
  </si>
  <si>
    <t>2#-A-8F</t>
    <phoneticPr fontId="4" type="noConversion"/>
  </si>
  <si>
    <t>昆药集团股份有限公司</t>
    <phoneticPr fontId="4" type="noConversion"/>
  </si>
  <si>
    <t>LBH 313</t>
    <phoneticPr fontId="4" type="noConversion"/>
  </si>
  <si>
    <t>2023.5.20</t>
    <phoneticPr fontId="4" type="noConversion"/>
  </si>
  <si>
    <t>2025.5.19</t>
    <phoneticPr fontId="4" type="noConversion"/>
  </si>
  <si>
    <t>2#-B-8F</t>
    <phoneticPr fontId="4" type="noConversion"/>
  </si>
  <si>
    <t>北京琮碧秋实私募基金管理有限公司</t>
    <phoneticPr fontId="4" type="noConversion"/>
  </si>
  <si>
    <t>LBH295</t>
    <phoneticPr fontId="4" type="noConversion"/>
  </si>
  <si>
    <t>2022.5.12</t>
    <phoneticPr fontId="4" type="noConversion"/>
  </si>
  <si>
    <t>2023.10.31</t>
    <phoneticPr fontId="4" type="noConversion"/>
  </si>
  <si>
    <t>珠海灏海辰星投资基金管理有限公司</t>
    <phoneticPr fontId="4" type="noConversion"/>
  </si>
  <si>
    <t>7幢</t>
    <phoneticPr fontId="4" type="noConversion"/>
  </si>
  <si>
    <t>3#-1.5夹层</t>
    <phoneticPr fontId="4" type="noConversion"/>
  </si>
  <si>
    <t>北京伸禾文化传播有限公司</t>
    <phoneticPr fontId="4" type="noConversion"/>
  </si>
  <si>
    <t>LBH292</t>
    <phoneticPr fontId="4" type="noConversion"/>
  </si>
  <si>
    <t>2022.5.1</t>
    <phoneticPr fontId="4" type="noConversion"/>
  </si>
  <si>
    <t>2024.4.30</t>
    <phoneticPr fontId="4" type="noConversion"/>
  </si>
  <si>
    <t>2022.5.1-2022.6.30</t>
    <phoneticPr fontId="4" type="noConversion"/>
  </si>
  <si>
    <t>3#-2F-N1</t>
    <phoneticPr fontId="4" type="noConversion"/>
  </si>
  <si>
    <t>北京升迎文化传媒有限公司</t>
    <phoneticPr fontId="4" type="noConversion"/>
  </si>
  <si>
    <t>LBH308</t>
    <phoneticPr fontId="4" type="noConversion"/>
  </si>
  <si>
    <t>2022.11.21</t>
    <phoneticPr fontId="4" type="noConversion"/>
  </si>
  <si>
    <t>2025.11.20</t>
    <phoneticPr fontId="4" type="noConversion"/>
  </si>
  <si>
    <t>2022.11.21-2023.1.20</t>
    <phoneticPr fontId="4" type="noConversion"/>
  </si>
  <si>
    <t>3#2F -N2</t>
    <phoneticPr fontId="4" type="noConversion"/>
  </si>
  <si>
    <t>秉臣科技（北京）有限公司</t>
    <phoneticPr fontId="4" type="noConversion"/>
  </si>
  <si>
    <t>LBH279</t>
    <phoneticPr fontId="4" type="noConversion"/>
  </si>
  <si>
    <t>2021.10.1</t>
    <phoneticPr fontId="4" type="noConversion"/>
  </si>
  <si>
    <t>2024.9.30</t>
    <phoneticPr fontId="4" type="noConversion"/>
  </si>
  <si>
    <t>2021.10.1-2021.11.30</t>
    <phoneticPr fontId="4" type="noConversion"/>
  </si>
  <si>
    <t>史黛芙国际贸易（北京）有限公司</t>
    <phoneticPr fontId="4" type="noConversion"/>
  </si>
  <si>
    <t>壹点壹珠宝首饰（北京）有限公司</t>
    <phoneticPr fontId="4" type="noConversion"/>
  </si>
  <si>
    <t>3#-3F-N1</t>
    <phoneticPr fontId="4" type="noConversion"/>
  </si>
  <si>
    <t>中视科华有限公司</t>
    <phoneticPr fontId="4" type="noConversion"/>
  </si>
  <si>
    <t>LBH274</t>
    <phoneticPr fontId="4" type="noConversion"/>
  </si>
  <si>
    <t>2023.1.1</t>
    <phoneticPr fontId="4" type="noConversion"/>
  </si>
  <si>
    <t>2023.12.31</t>
    <phoneticPr fontId="4" type="noConversion"/>
  </si>
  <si>
    <t>3#-4F</t>
    <phoneticPr fontId="4" type="noConversion"/>
  </si>
  <si>
    <t>北京哥尼数字营销顾问有限公司</t>
    <phoneticPr fontId="4" type="noConversion"/>
  </si>
  <si>
    <t>LBH180</t>
    <phoneticPr fontId="4" type="noConversion"/>
  </si>
  <si>
    <t>2021.12.20</t>
    <phoneticPr fontId="4" type="noConversion"/>
  </si>
  <si>
    <t>2024.12.19</t>
    <phoneticPr fontId="4" type="noConversion"/>
  </si>
  <si>
    <t>3#-5F-501</t>
    <phoneticPr fontId="4" type="noConversion"/>
  </si>
  <si>
    <t>北京晟思文化传播有限公司</t>
    <phoneticPr fontId="4" type="noConversion"/>
  </si>
  <si>
    <t>LBH322</t>
    <phoneticPr fontId="4" type="noConversion"/>
  </si>
  <si>
    <t>2023.5.17</t>
    <phoneticPr fontId="4" type="noConversion"/>
  </si>
  <si>
    <t>2024.5.16</t>
    <phoneticPr fontId="4" type="noConversion"/>
  </si>
  <si>
    <t>2023.5.17-2023.5.31</t>
    <phoneticPr fontId="4" type="noConversion"/>
  </si>
  <si>
    <t>3#-5F-504</t>
    <phoneticPr fontId="4" type="noConversion"/>
  </si>
  <si>
    <t>北京沐迪文化传播有限公司</t>
    <phoneticPr fontId="4" type="noConversion"/>
  </si>
  <si>
    <t>LBH276</t>
    <phoneticPr fontId="4" type="noConversion"/>
  </si>
  <si>
    <t>2021.8.23</t>
    <phoneticPr fontId="4" type="noConversion"/>
  </si>
  <si>
    <t>2023.8.22</t>
    <phoneticPr fontId="4" type="noConversion"/>
  </si>
  <si>
    <t>3#-5F-505</t>
  </si>
  <si>
    <t xml:space="preserve">北京羽德文化科技有限公司 </t>
    <phoneticPr fontId="4" type="noConversion"/>
  </si>
  <si>
    <t>LBH303</t>
    <phoneticPr fontId="4" type="noConversion"/>
  </si>
  <si>
    <t>2022.7.21</t>
    <phoneticPr fontId="4" type="noConversion"/>
  </si>
  <si>
    <t>2023.7.20</t>
    <phoneticPr fontId="4" type="noConversion"/>
  </si>
  <si>
    <t>2022.7.21-2022.8.4</t>
    <phoneticPr fontId="4" type="noConversion"/>
  </si>
  <si>
    <t>3#-5F-506</t>
    <phoneticPr fontId="4" type="noConversion"/>
  </si>
  <si>
    <t>北京均力充沛文化有限公司</t>
    <phoneticPr fontId="4" type="noConversion"/>
  </si>
  <si>
    <t>LBH307</t>
    <phoneticPr fontId="4" type="noConversion"/>
  </si>
  <si>
    <t>2022.11.16</t>
    <phoneticPr fontId="4" type="noConversion"/>
  </si>
  <si>
    <t>2023.11.15</t>
    <phoneticPr fontId="4" type="noConversion"/>
  </si>
  <si>
    <t>3#-5F-507-508</t>
    <phoneticPr fontId="4" type="noConversion"/>
  </si>
  <si>
    <t>北京维澳知识产权代理有限公司</t>
    <phoneticPr fontId="4" type="noConversion"/>
  </si>
  <si>
    <t>LBH305</t>
    <phoneticPr fontId="4" type="noConversion"/>
  </si>
  <si>
    <t>2022.8.16</t>
    <phoneticPr fontId="4" type="noConversion"/>
  </si>
  <si>
    <t>2022.8.16-2022.9.15</t>
    <phoneticPr fontId="4" type="noConversion"/>
  </si>
  <si>
    <t>3#-5F-509-510</t>
    <phoneticPr fontId="4" type="noConversion"/>
  </si>
  <si>
    <t>北京舒适国际文化传媒有限公司</t>
    <phoneticPr fontId="4" type="noConversion"/>
  </si>
  <si>
    <t>LBH306</t>
  </si>
  <si>
    <t>3#-5F-511</t>
    <phoneticPr fontId="4" type="noConversion"/>
  </si>
  <si>
    <t>天津海量信息技术股份有限公司北京分公司</t>
    <phoneticPr fontId="4" type="noConversion"/>
  </si>
  <si>
    <t>LBH092</t>
    <phoneticPr fontId="4" type="noConversion"/>
  </si>
  <si>
    <t>2024.12.31</t>
    <phoneticPr fontId="4" type="noConversion"/>
  </si>
  <si>
    <t>2023.1.1-2023.1.31</t>
    <phoneticPr fontId="4" type="noConversion"/>
  </si>
  <si>
    <t>14幢</t>
    <phoneticPr fontId="4" type="noConversion"/>
  </si>
  <si>
    <t>5#</t>
    <phoneticPr fontId="4" type="noConversion"/>
  </si>
  <si>
    <t>北京天禾兄弟影视投资有限公司</t>
    <phoneticPr fontId="4" type="noConversion"/>
  </si>
  <si>
    <t>LBH250</t>
    <phoneticPr fontId="4" type="noConversion"/>
  </si>
  <si>
    <t>2020.11.1</t>
    <phoneticPr fontId="4" type="noConversion"/>
  </si>
  <si>
    <t>2020.11.1-2020.12.31</t>
    <phoneticPr fontId="4" type="noConversion"/>
  </si>
  <si>
    <t>6幢</t>
    <phoneticPr fontId="4" type="noConversion"/>
  </si>
  <si>
    <t>7#</t>
    <phoneticPr fontId="4" type="noConversion"/>
  </si>
  <si>
    <t>北京兰境文化发展有限公司</t>
    <phoneticPr fontId="4" type="noConversion"/>
  </si>
  <si>
    <t>LSH039-X</t>
    <phoneticPr fontId="4" type="noConversion"/>
  </si>
  <si>
    <t>2019.8.1</t>
    <phoneticPr fontId="4" type="noConversion"/>
  </si>
  <si>
    <t>2024.7.31</t>
    <phoneticPr fontId="4" type="noConversion"/>
  </si>
  <si>
    <t>5幢</t>
    <phoneticPr fontId="4" type="noConversion"/>
  </si>
  <si>
    <t>8#东侧</t>
    <phoneticPr fontId="4" type="noConversion"/>
  </si>
  <si>
    <t>北京小钱钱体育文化发展有限公司</t>
    <phoneticPr fontId="4" type="noConversion"/>
  </si>
  <si>
    <t>LSH090</t>
    <phoneticPr fontId="4" type="noConversion"/>
  </si>
  <si>
    <t>2023.3.16</t>
    <phoneticPr fontId="4" type="noConversion"/>
  </si>
  <si>
    <t>2026.3.15</t>
    <phoneticPr fontId="4" type="noConversion"/>
  </si>
  <si>
    <t>2023.3.16-2023.5.15</t>
    <phoneticPr fontId="4" type="noConversion"/>
  </si>
  <si>
    <t>8#西侧</t>
    <phoneticPr fontId="4" type="noConversion"/>
  </si>
  <si>
    <t xml:space="preserve">北京星光灿烂科技服务有限公司 </t>
    <phoneticPr fontId="4" type="noConversion"/>
  </si>
  <si>
    <t>LBH195</t>
    <phoneticPr fontId="4" type="noConversion"/>
  </si>
  <si>
    <t>2019.3.1</t>
    <phoneticPr fontId="4" type="noConversion"/>
  </si>
  <si>
    <t>2025.2.28</t>
    <phoneticPr fontId="4" type="noConversion"/>
  </si>
  <si>
    <t>2019.3.1-2019.5.31/2023.3.1-2023.3.31</t>
    <phoneticPr fontId="4" type="noConversion"/>
  </si>
  <si>
    <t>15幢</t>
    <phoneticPr fontId="4" type="noConversion"/>
  </si>
  <si>
    <t>9#101</t>
    <phoneticPr fontId="4" type="noConversion"/>
  </si>
  <si>
    <t>北京荣兴祥商贸有限公司</t>
    <phoneticPr fontId="4" type="noConversion"/>
  </si>
  <si>
    <t>LSH077</t>
    <phoneticPr fontId="4" type="noConversion"/>
  </si>
  <si>
    <t>2021.3.1</t>
    <phoneticPr fontId="4" type="noConversion"/>
  </si>
  <si>
    <t>2024.2.29</t>
    <phoneticPr fontId="4" type="noConversion"/>
  </si>
  <si>
    <t>2021.3.1-2021.4.30</t>
    <phoneticPr fontId="4" type="noConversion"/>
  </si>
  <si>
    <t>9#-102.205/207</t>
    <phoneticPr fontId="4" type="noConversion"/>
  </si>
  <si>
    <t>LSH087</t>
    <phoneticPr fontId="4" type="noConversion"/>
  </si>
  <si>
    <t>2023.3.1</t>
    <phoneticPr fontId="4" type="noConversion"/>
  </si>
  <si>
    <t>北京宏悦文创设计有限公司</t>
    <phoneticPr fontId="4" type="noConversion"/>
  </si>
  <si>
    <t>9#-103</t>
    <phoneticPr fontId="4" type="noConversion"/>
  </si>
  <si>
    <t>北京仙语仙寻文化传媒有限公司</t>
    <phoneticPr fontId="4" type="noConversion"/>
  </si>
  <si>
    <t>LSH073</t>
    <phoneticPr fontId="4" type="noConversion"/>
  </si>
  <si>
    <t>2020.8.15</t>
    <phoneticPr fontId="4" type="noConversion"/>
  </si>
  <si>
    <t>2023.8.14</t>
    <phoneticPr fontId="4" type="noConversion"/>
  </si>
  <si>
    <t>2020.8.15-2020.9.30</t>
    <phoneticPr fontId="4" type="noConversion"/>
  </si>
  <si>
    <t>9#-104</t>
    <phoneticPr fontId="4" type="noConversion"/>
  </si>
  <si>
    <t>刘周（北京）文化传播有限公司</t>
    <phoneticPr fontId="4" type="noConversion"/>
  </si>
  <si>
    <t>LSH080</t>
    <phoneticPr fontId="4" type="noConversion"/>
  </si>
  <si>
    <t>2022.1.1</t>
    <phoneticPr fontId="4" type="noConversion"/>
  </si>
  <si>
    <t>9#-105</t>
    <phoneticPr fontId="4" type="noConversion"/>
  </si>
  <si>
    <t>北京聚醒科技有限公司</t>
    <phoneticPr fontId="4" type="noConversion"/>
  </si>
  <si>
    <t>LSH086</t>
    <phoneticPr fontId="4" type="noConversion"/>
  </si>
  <si>
    <t>2022.8.1</t>
    <phoneticPr fontId="4" type="noConversion"/>
  </si>
  <si>
    <t>9#-201</t>
    <phoneticPr fontId="4" type="noConversion"/>
  </si>
  <si>
    <t>北京步麓建筑设计有限公司</t>
    <phoneticPr fontId="4" type="noConversion"/>
  </si>
  <si>
    <t>LBH297</t>
    <phoneticPr fontId="4" type="noConversion"/>
  </si>
  <si>
    <t>2022.9.12</t>
    <phoneticPr fontId="4" type="noConversion"/>
  </si>
  <si>
    <t>2024.9.11</t>
    <phoneticPr fontId="4" type="noConversion"/>
  </si>
  <si>
    <t>2022.9.1-2022.9.11</t>
    <phoneticPr fontId="4" type="noConversion"/>
  </si>
  <si>
    <t>9#-202/204</t>
    <phoneticPr fontId="4" type="noConversion"/>
  </si>
  <si>
    <t>北京步麓咨询有限公司</t>
    <phoneticPr fontId="4" type="noConversion"/>
  </si>
  <si>
    <t>LBH298</t>
    <phoneticPr fontId="4" type="noConversion"/>
  </si>
  <si>
    <t>北京步麓建筑设计服务有限公司</t>
    <phoneticPr fontId="4" type="noConversion"/>
  </si>
  <si>
    <t>北京步麓设计顾问有限公司</t>
    <phoneticPr fontId="4" type="noConversion"/>
  </si>
  <si>
    <t>9#-208/209</t>
    <phoneticPr fontId="4" type="noConversion"/>
  </si>
  <si>
    <t>北京步麓建筑设计咨询有限公司</t>
    <phoneticPr fontId="4" type="noConversion"/>
  </si>
  <si>
    <t>LBH299</t>
    <phoneticPr fontId="4" type="noConversion"/>
  </si>
  <si>
    <t>9#-210</t>
    <phoneticPr fontId="4" type="noConversion"/>
  </si>
  <si>
    <t xml:space="preserve">北京璞木工坊商贸有限公司 </t>
    <phoneticPr fontId="4" type="noConversion"/>
  </si>
  <si>
    <t>LBH269</t>
    <phoneticPr fontId="4" type="noConversion"/>
  </si>
  <si>
    <t>2021.6.12</t>
    <phoneticPr fontId="4" type="noConversion"/>
  </si>
  <si>
    <t>2024.4.19</t>
    <phoneticPr fontId="4" type="noConversion"/>
  </si>
  <si>
    <t>9#-211</t>
    <phoneticPr fontId="4" type="noConversion"/>
  </si>
  <si>
    <t>LBH300</t>
    <phoneticPr fontId="4" type="noConversion"/>
  </si>
  <si>
    <t>北京步麓建筑设计顾问有限公司</t>
    <phoneticPr fontId="4" type="noConversion"/>
  </si>
  <si>
    <t>9#-301</t>
    <phoneticPr fontId="4" type="noConversion"/>
  </si>
  <si>
    <t xml:space="preserve"> 重庆市易平方网络科技有限公司   </t>
    <phoneticPr fontId="4" type="noConversion"/>
  </si>
  <si>
    <t>LBH267</t>
    <phoneticPr fontId="4" type="noConversion"/>
  </si>
  <si>
    <t>2022.2.1</t>
    <phoneticPr fontId="4" type="noConversion"/>
  </si>
  <si>
    <t>2024.5.19</t>
    <phoneticPr fontId="4" type="noConversion"/>
  </si>
  <si>
    <t>9#-302</t>
    <phoneticPr fontId="4" type="noConversion"/>
  </si>
  <si>
    <t>LBH321</t>
    <phoneticPr fontId="4" type="noConversion"/>
  </si>
  <si>
    <t>2023.5.15</t>
    <phoneticPr fontId="4" type="noConversion"/>
  </si>
  <si>
    <t>2024.5.14</t>
    <phoneticPr fontId="4" type="noConversion"/>
  </si>
  <si>
    <t>2023.5.15-2023.6.14</t>
    <phoneticPr fontId="4" type="noConversion"/>
  </si>
  <si>
    <t>9#-303</t>
    <phoneticPr fontId="4" type="noConversion"/>
  </si>
  <si>
    <t>LBH 286</t>
    <phoneticPr fontId="4" type="noConversion"/>
  </si>
  <si>
    <t>2022.4.18</t>
  </si>
  <si>
    <t>2025.4.17</t>
    <phoneticPr fontId="4" type="noConversion"/>
  </si>
  <si>
    <t>2022.4.18-2022.5.17</t>
    <phoneticPr fontId="4" type="noConversion"/>
  </si>
  <si>
    <t>9#304</t>
    <phoneticPr fontId="4" type="noConversion"/>
  </si>
  <si>
    <t>北京埃姆创意文化有限公司</t>
    <phoneticPr fontId="4" type="noConversion"/>
  </si>
  <si>
    <t>LBH293</t>
    <phoneticPr fontId="4" type="noConversion"/>
  </si>
  <si>
    <t>2022.6.15</t>
  </si>
  <si>
    <t>2024.6.14</t>
    <phoneticPr fontId="4" type="noConversion"/>
  </si>
  <si>
    <t>北京夏吾文化传播有限公司</t>
    <phoneticPr fontId="4" type="noConversion"/>
  </si>
  <si>
    <t>9#-305</t>
    <phoneticPr fontId="4" type="noConversion"/>
  </si>
  <si>
    <t>北京泓娱影视制作有限公司</t>
    <phoneticPr fontId="4" type="noConversion"/>
  </si>
  <si>
    <t>LBH296</t>
    <phoneticPr fontId="4" type="noConversion"/>
  </si>
  <si>
    <t>2022.7.1</t>
  </si>
  <si>
    <t>2024.6.30</t>
  </si>
  <si>
    <t>9#-308</t>
    <phoneticPr fontId="4" type="noConversion"/>
  </si>
  <si>
    <t>北京葡萄创意影视广告有限公司</t>
    <phoneticPr fontId="4" type="noConversion"/>
  </si>
  <si>
    <t>LBH314</t>
    <phoneticPr fontId="4" type="noConversion"/>
  </si>
  <si>
    <t>2023.4.1</t>
    <phoneticPr fontId="4" type="noConversion"/>
  </si>
  <si>
    <t>2025.3.31</t>
    <phoneticPr fontId="4" type="noConversion"/>
  </si>
  <si>
    <t>2023.4.1-2023.4.30</t>
    <phoneticPr fontId="4" type="noConversion"/>
  </si>
  <si>
    <t>4幢</t>
    <phoneticPr fontId="4" type="noConversion"/>
  </si>
  <si>
    <t>10#-1F</t>
    <phoneticPr fontId="4" type="noConversion"/>
  </si>
  <si>
    <t>北京金碧合力建筑设计工程有限公司</t>
    <phoneticPr fontId="4" type="noConversion"/>
  </si>
  <si>
    <t>LBH231</t>
    <phoneticPr fontId="4" type="noConversion"/>
  </si>
  <si>
    <t>2023.1.21</t>
    <phoneticPr fontId="4" type="noConversion"/>
  </si>
  <si>
    <t>2024.1.20</t>
    <phoneticPr fontId="4" type="noConversion"/>
  </si>
  <si>
    <t>10#-3F</t>
    <phoneticPr fontId="4" type="noConversion"/>
  </si>
  <si>
    <t>上海龙韵文创科技集团股份有限公司北京分公司</t>
    <phoneticPr fontId="4" type="noConversion"/>
  </si>
  <si>
    <t>LBH214</t>
    <phoneticPr fontId="4" type="noConversion"/>
  </si>
  <si>
    <t>2019.5.15</t>
    <phoneticPr fontId="4" type="noConversion"/>
  </si>
  <si>
    <t>2025.5.14</t>
    <phoneticPr fontId="4" type="noConversion"/>
  </si>
  <si>
    <t>2019.5.15-2.19.6.14/2020.5.15-2020.6.14</t>
    <phoneticPr fontId="4" type="noConversion"/>
  </si>
  <si>
    <t>新疆愚恒影业集团有限公司北京分公司</t>
    <phoneticPr fontId="4" type="noConversion"/>
  </si>
  <si>
    <t>LBH215</t>
  </si>
  <si>
    <t>3幢</t>
    <phoneticPr fontId="4" type="noConversion"/>
  </si>
  <si>
    <t>11#东1、2层</t>
    <phoneticPr fontId="4" type="noConversion"/>
  </si>
  <si>
    <t xml:space="preserve">金誉骧达（上海）企业管理有限公司 </t>
    <phoneticPr fontId="4" type="noConversion"/>
  </si>
  <si>
    <t>LBH263</t>
    <phoneticPr fontId="4" type="noConversion"/>
  </si>
  <si>
    <t>2021.3.6</t>
    <phoneticPr fontId="4" type="noConversion"/>
  </si>
  <si>
    <t>2024.3.5</t>
    <phoneticPr fontId="4" type="noConversion"/>
  </si>
  <si>
    <t>2021.3.6-2021.5.5</t>
    <phoneticPr fontId="4" type="noConversion"/>
  </si>
  <si>
    <t>11#1层西侧</t>
  </si>
  <si>
    <t>北京时悦形象设计中心（有限合伙）</t>
    <phoneticPr fontId="4" type="noConversion"/>
  </si>
  <si>
    <t>LSH066</t>
    <phoneticPr fontId="4" type="noConversion"/>
  </si>
  <si>
    <t>2018.12.1</t>
    <phoneticPr fontId="4" type="noConversion"/>
  </si>
  <si>
    <t>2024.11.30</t>
    <phoneticPr fontId="4" type="noConversion"/>
  </si>
  <si>
    <t>2018.12.1-2.19.1.31/2019.12.1-2.19.12.31</t>
    <phoneticPr fontId="4" type="noConversion"/>
  </si>
  <si>
    <t>16幢</t>
    <phoneticPr fontId="4" type="noConversion"/>
  </si>
  <si>
    <t>12#</t>
  </si>
  <si>
    <t>北京千和资本投资管理有限公司</t>
    <phoneticPr fontId="4" type="noConversion"/>
  </si>
  <si>
    <t>LSH079</t>
    <phoneticPr fontId="4" type="noConversion"/>
  </si>
  <si>
    <t>2021.11.21</t>
  </si>
  <si>
    <t>2024.11.20</t>
    <phoneticPr fontId="4" type="noConversion"/>
  </si>
  <si>
    <t>北京世纪千和文化发展有限公司</t>
    <phoneticPr fontId="4" type="noConversion"/>
  </si>
  <si>
    <t>2024.11.20</t>
  </si>
  <si>
    <t>17幢</t>
    <phoneticPr fontId="4" type="noConversion"/>
  </si>
  <si>
    <t>15#</t>
    <phoneticPr fontId="4" type="noConversion"/>
  </si>
  <si>
    <t>北京千越汉方健康科技有限公司</t>
    <phoneticPr fontId="4" type="noConversion"/>
  </si>
  <si>
    <t>LSH089</t>
    <phoneticPr fontId="4" type="noConversion"/>
  </si>
  <si>
    <t>2022.10.1</t>
    <phoneticPr fontId="4" type="noConversion"/>
  </si>
  <si>
    <t>2025.9.30</t>
    <phoneticPr fontId="4" type="noConversion"/>
  </si>
  <si>
    <t>2022.10.1-2022.12.31</t>
    <phoneticPr fontId="4" type="noConversion"/>
  </si>
  <si>
    <t>[3-2]1幢</t>
    <phoneticPr fontId="4" type="noConversion"/>
  </si>
  <si>
    <t>17#</t>
    <phoneticPr fontId="4" type="noConversion"/>
  </si>
  <si>
    <t>北京登枝肆两餐饮服务有限公司</t>
    <phoneticPr fontId="4" type="noConversion"/>
  </si>
  <si>
    <t>LSH068</t>
    <phoneticPr fontId="4" type="noConversion"/>
  </si>
  <si>
    <t>2019.3.15</t>
  </si>
  <si>
    <t>2023.10.14</t>
    <phoneticPr fontId="4" type="noConversion"/>
  </si>
  <si>
    <t>17#连廊</t>
    <phoneticPr fontId="4" type="noConversion"/>
  </si>
  <si>
    <t>LSH083</t>
    <phoneticPr fontId="4" type="noConversion"/>
  </si>
  <si>
    <t>2022.5.1</t>
    <phoneticPr fontId="4" type="noConversion"/>
  </si>
  <si>
    <t>2022.5.1-2022.5.31</t>
    <phoneticPr fontId="4" type="noConversion"/>
  </si>
  <si>
    <t>[3-2]3幢</t>
    <phoneticPr fontId="4" type="noConversion"/>
  </si>
  <si>
    <t>18#c</t>
    <phoneticPr fontId="4" type="noConversion"/>
  </si>
  <si>
    <t>北京梵宝丽可商贸有限公司</t>
    <phoneticPr fontId="4" type="noConversion"/>
  </si>
  <si>
    <t>LSH082</t>
    <phoneticPr fontId="4" type="noConversion"/>
  </si>
  <si>
    <t>2022.4.1</t>
    <phoneticPr fontId="4" type="noConversion"/>
  </si>
  <si>
    <t>2025.4.30</t>
    <phoneticPr fontId="4" type="noConversion"/>
  </si>
  <si>
    <t>2022.5.1-2022.6.30</t>
    <phoneticPr fontId="4" type="noConversion"/>
  </si>
  <si>
    <t>18#1F东</t>
    <phoneticPr fontId="4" type="noConversion"/>
  </si>
  <si>
    <t>北京真成致诺投资管理有限公司</t>
    <phoneticPr fontId="4" type="noConversion"/>
  </si>
  <si>
    <t>LBH264</t>
    <phoneticPr fontId="4" type="noConversion"/>
  </si>
  <si>
    <t>2022.4.1</t>
  </si>
  <si>
    <t>2024.3.31</t>
    <phoneticPr fontId="4" type="noConversion"/>
  </si>
  <si>
    <t>宁波梅山保税港区真成致诺投资管理有限公司</t>
    <phoneticPr fontId="4" type="noConversion"/>
  </si>
  <si>
    <t>[3-2]5幢</t>
    <phoneticPr fontId="4" type="noConversion"/>
  </si>
  <si>
    <t>19#</t>
  </si>
  <si>
    <t>LBH235</t>
    <phoneticPr fontId="4" type="noConversion"/>
  </si>
  <si>
    <t>[3-2]7幢</t>
    <phoneticPr fontId="4" type="noConversion"/>
  </si>
  <si>
    <t>20#南区</t>
    <phoneticPr fontId="4" type="noConversion"/>
  </si>
  <si>
    <t>国旅环球（北京）国际旅行社有限公司</t>
    <phoneticPr fontId="4" type="noConversion"/>
  </si>
  <si>
    <t>LBH315</t>
    <phoneticPr fontId="4" type="noConversion"/>
  </si>
  <si>
    <t>2023.2.1</t>
    <phoneticPr fontId="4" type="noConversion"/>
  </si>
  <si>
    <t>2026.1.31</t>
    <phoneticPr fontId="4" type="noConversion"/>
  </si>
  <si>
    <t>2023.2.1-2023.4.30</t>
    <phoneticPr fontId="4" type="noConversion"/>
  </si>
  <si>
    <t>20#北区</t>
    <phoneticPr fontId="4" type="noConversion"/>
  </si>
  <si>
    <t>中国国旅（福建）国际旅行社有限公司</t>
    <phoneticPr fontId="4" type="noConversion"/>
  </si>
  <si>
    <t>LBH316</t>
  </si>
  <si>
    <t>21#</t>
    <phoneticPr fontId="4" type="noConversion"/>
  </si>
  <si>
    <t>北京臻德兴云置业有限公司</t>
    <phoneticPr fontId="4" type="noConversion"/>
  </si>
  <si>
    <t>LBH 311</t>
    <phoneticPr fontId="4" type="noConversion"/>
  </si>
  <si>
    <t>2021.11.1</t>
    <phoneticPr fontId="4" type="noConversion"/>
  </si>
  <si>
    <t>2024.7.19</t>
    <phoneticPr fontId="4" type="noConversion"/>
  </si>
  <si>
    <t>2021.7.20-2021.9.30</t>
    <phoneticPr fontId="4" type="noConversion"/>
  </si>
  <si>
    <t>砖木</t>
  </si>
  <si>
    <t>混合</t>
  </si>
  <si>
    <t>土地证</t>
  </si>
  <si>
    <t>土地使用权人</t>
  </si>
  <si>
    <t>坐落</t>
  </si>
  <si>
    <t>土地面积</t>
  </si>
  <si>
    <t>地号</t>
  </si>
  <si>
    <t>图号</t>
  </si>
  <si>
    <t>地类（用途）</t>
  </si>
  <si>
    <t>房产证</t>
  </si>
  <si>
    <t>房屋所有权人</t>
  </si>
  <si>
    <t>房屋坐落</t>
  </si>
  <si>
    <t>房屋登记表</t>
  </si>
  <si>
    <t>现状</t>
  </si>
  <si>
    <t>楼号或幢号</t>
  </si>
  <si>
    <t>房屋总层数</t>
  </si>
  <si>
    <t>所在层数</t>
  </si>
  <si>
    <t>结构</t>
  </si>
  <si>
    <t>建筑面积</t>
  </si>
  <si>
    <t>规划用途</t>
  </si>
  <si>
    <t>房号</t>
  </si>
  <si>
    <t>建成年代</t>
  </si>
  <si>
    <t>翻新、装修时间</t>
  </si>
  <si>
    <t>京朝国用（2011出）第00052号</t>
  </si>
  <si>
    <t>北京尚博地投资顾问有限公司</t>
  </si>
  <si>
    <t>朝阳区建国门外郎家园6号</t>
  </si>
  <si>
    <t>50102100013000000</t>
  </si>
  <si>
    <t>I-2-2-100（4）</t>
  </si>
  <si>
    <t>X京房权证朝字第956028号</t>
  </si>
  <si>
    <t>朝阳区郎家园6号[3-3]10幢等17幢</t>
  </si>
  <si>
    <t>01</t>
  </si>
  <si>
    <t>1</t>
  </si>
  <si>
    <t>16#</t>
  </si>
  <si>
    <t>办公、商业</t>
  </si>
  <si>
    <t>50年代</t>
  </si>
  <si>
    <t>厕所</t>
  </si>
  <si>
    <t>卫生间</t>
  </si>
  <si>
    <t>04</t>
  </si>
  <si>
    <t>1-4</t>
  </si>
  <si>
    <t>车间</t>
  </si>
  <si>
    <t>11#</t>
  </si>
  <si>
    <t>90年代</t>
  </si>
  <si>
    <t>03</t>
  </si>
  <si>
    <t>1-3</t>
  </si>
  <si>
    <t>10#</t>
  </si>
  <si>
    <t>60年代</t>
  </si>
  <si>
    <t>02</t>
  </si>
  <si>
    <t>1-2</t>
  </si>
  <si>
    <t>8#、7#</t>
  </si>
  <si>
    <t>6#</t>
  </si>
  <si>
    <t>70年代</t>
  </si>
  <si>
    <t>05（-01）</t>
  </si>
  <si>
    <t>-1-5</t>
  </si>
  <si>
    <t>3#</t>
  </si>
  <si>
    <t>80年代</t>
  </si>
  <si>
    <t>08</t>
  </si>
  <si>
    <t>1-8</t>
  </si>
  <si>
    <t>2#</t>
  </si>
  <si>
    <t>已拆除</t>
  </si>
  <si>
    <t>4#</t>
  </si>
  <si>
    <t>5#</t>
  </si>
  <si>
    <t>9#</t>
  </si>
  <si>
    <t>03（-01）</t>
  </si>
  <si>
    <t>-1-3</t>
  </si>
  <si>
    <t>15#</t>
  </si>
  <si>
    <t>小计</t>
  </si>
  <si>
    <r>
      <t>京朝国用（2011出）第00053号</t>
    </r>
    <r>
      <rPr>
        <sz val="11"/>
        <color theme="1"/>
        <rFont val="宋体"/>
        <family val="2"/>
        <charset val="134"/>
        <scheme val="minor"/>
      </rPr>
      <t/>
    </r>
  </si>
  <si>
    <t>朝阳区郎家园6号[3-2]</t>
  </si>
  <si>
    <t>50102100012000000</t>
  </si>
  <si>
    <r>
      <t>X京房权证朝字第956029号</t>
    </r>
    <r>
      <rPr>
        <sz val="11"/>
        <color theme="1"/>
        <rFont val="宋体"/>
        <family val="2"/>
        <charset val="134"/>
        <scheme val="minor"/>
      </rPr>
      <t/>
    </r>
  </si>
  <si>
    <t>朝阳区郎家园6号[3-2]1幢等7幢</t>
  </si>
  <si>
    <t>17#</t>
  </si>
  <si>
    <t>01-04</t>
  </si>
  <si>
    <t>18#</t>
  </si>
  <si>
    <t>20#</t>
  </si>
  <si>
    <t>合计</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</si>
</sst>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200" formatCode="[DBNum2][$-804]General"/>
  </numFmts>
  <fonts count="28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rgb="FF000000"/>
      <name val="仿宋"/>
      <family val="3"/>
      <charset val="134"/>
    </font>
    <font>
      <sz val="10"/>
      <name val="仿宋_GB2312"/>
      <family val="3"/>
      <charset val="134"/>
    </font>
    <font>
      <sz val="11"/>
      <color theme="1"/>
      <name val="微软雅黑"/>
      <family val="2"/>
      <charset val="134"/>
    </font>
    <font>
      <b/>
      <sz val="10"/>
      <name val="微软雅黑"/>
      <family val="2"/>
      <charset val="134"/>
    </font>
    <font>
      <sz val="10"/>
      <color theme="1"/>
      <name val="微软雅黑"/>
      <family val="2"/>
      <charset val="134"/>
    </font>
    <font>
      <sz val="10"/>
      <color indexed="8"/>
      <name val="微软雅黑"/>
      <family val="2"/>
      <charset val="134"/>
    </font>
    <font>
      <b/>
      <sz val="10"/>
      <color theme="1"/>
      <name val="微软雅黑"/>
      <family val="2"/>
      <charset val="134"/>
    </font>
    <font>
      <sz val="10"/>
      <name val="微软雅黑"/>
      <family val="2"/>
      <charset val="134"/>
    </font>
    <font>
      <b/>
      <sz val="9"/>
      <color theme="1"/>
      <name val="华文细黑"/>
      <family val="3"/>
      <charset val="134"/>
    </font>
    <font>
      <b/>
      <sz val="9"/>
      <color rgb="FF000000"/>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4"/>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448">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xf numFmtId="0" fontId="1" fillId="0" borderId="0">
      <alignment vertical="center"/>
    </xf>
    <xf numFmtId="0" fontId="129" fillId="0" borderId="0">
      <alignment vertical="center"/>
    </xf>
    <xf numFmtId="43" fontId="96" fillId="0" borderId="0" applyFont="0" applyFill="0" applyBorder="0" applyAlignment="0" applyProtection="0">
      <alignment vertical="center"/>
    </xf>
    <xf numFmtId="0" fontId="1" fillId="0" borderId="0">
      <alignment vertical="center"/>
    </xf>
    <xf numFmtId="41" fontId="1" fillId="0" borderId="0" applyFont="0" applyFill="0" applyBorder="0" applyAlignment="0" applyProtection="0">
      <alignment vertical="center"/>
    </xf>
    <xf numFmtId="43" fontId="1" fillId="0" borderId="0" applyFont="0" applyFill="0" applyBorder="0" applyAlignment="0" applyProtection="0">
      <alignment vertical="center"/>
    </xf>
    <xf numFmtId="192" fontId="96" fillId="0" borderId="0">
      <alignment vertical="center"/>
    </xf>
    <xf numFmtId="192" fontId="96" fillId="0" borderId="0"/>
    <xf numFmtId="192" fontId="96" fillId="0" borderId="0">
      <alignment vertical="center"/>
    </xf>
    <xf numFmtId="192" fontId="37" fillId="0" borderId="0"/>
    <xf numFmtId="192" fontId="96" fillId="0" borderId="0">
      <alignment vertical="center"/>
    </xf>
    <xf numFmtId="192" fontId="96" fillId="0" borderId="0"/>
    <xf numFmtId="192" fontId="96" fillId="0" borderId="0">
      <alignment vertical="center"/>
    </xf>
    <xf numFmtId="192" fontId="96" fillId="0" borderId="0">
      <alignment vertical="center"/>
    </xf>
    <xf numFmtId="192" fontId="2" fillId="0" borderId="0">
      <alignment vertical="center"/>
    </xf>
    <xf numFmtId="192" fontId="96" fillId="0" borderId="0">
      <alignment vertical="center"/>
    </xf>
    <xf numFmtId="192" fontId="2" fillId="0" borderId="0">
      <alignment vertical="center"/>
    </xf>
    <xf numFmtId="192" fontId="160" fillId="0" borderId="0"/>
    <xf numFmtId="192" fontId="2" fillId="0" borderId="0">
      <alignment vertical="center"/>
    </xf>
    <xf numFmtId="192" fontId="96" fillId="0" borderId="0">
      <alignment vertical="center"/>
    </xf>
    <xf numFmtId="192" fontId="2" fillId="0" borderId="0">
      <alignment vertical="center"/>
    </xf>
    <xf numFmtId="192" fontId="1" fillId="0" borderId="0">
      <alignment vertical="center"/>
    </xf>
    <xf numFmtId="192" fontId="1" fillId="0" borderId="0">
      <alignment vertical="center"/>
    </xf>
    <xf numFmtId="192" fontId="129" fillId="0" borderId="0">
      <alignment vertical="center"/>
    </xf>
    <xf numFmtId="192" fontId="1" fillId="0" borderId="0">
      <alignment vertical="center"/>
    </xf>
    <xf numFmtId="192" fontId="1" fillId="0" borderId="0">
      <alignment vertical="center"/>
    </xf>
    <xf numFmtId="41" fontId="1" fillId="0" borderId="0" applyFont="0" applyFill="0" applyBorder="0" applyAlignment="0" applyProtection="0">
      <alignment vertical="center"/>
    </xf>
    <xf numFmtId="43" fontId="1" fillId="0" borderId="0" applyFont="0" applyFill="0" applyBorder="0" applyAlignment="0" applyProtection="0">
      <alignment vertical="center"/>
    </xf>
    <xf numFmtId="192" fontId="96" fillId="0" borderId="0" applyBorder="0">
      <alignment vertical="center"/>
    </xf>
    <xf numFmtId="192" fontId="96" fillId="0" borderId="0" applyBorder="0">
      <alignment vertical="center"/>
    </xf>
    <xf numFmtId="9" fontId="96" fillId="0" borderId="0" applyFont="0" applyFill="0" applyBorder="0" applyAlignment="0" applyProtection="0">
      <alignment vertical="center"/>
    </xf>
    <xf numFmtId="9" fontId="96" fillId="0" borderId="0" applyFont="0" applyFill="0" applyBorder="0" applyAlignment="0" applyProtection="0">
      <alignment vertical="center"/>
    </xf>
    <xf numFmtId="9" fontId="96" fillId="0" borderId="0" applyFont="0" applyFill="0" applyBorder="0" applyAlignment="0" applyProtection="0">
      <alignment vertical="center"/>
    </xf>
    <xf numFmtId="9" fontId="96" fillId="0" borderId="0" applyFont="0" applyFill="0" applyBorder="0" applyAlignment="0" applyProtection="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xf numFmtId="192" fontId="37" fillId="0" borderId="0" applyBorder="0"/>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37" fillId="0" borderId="0" applyBorder="0"/>
    <xf numFmtId="192" fontId="37"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271" fillId="0" borderId="0" applyBorder="0">
      <alignment vertical="center"/>
      <protection locked="0"/>
    </xf>
    <xf numFmtId="192" fontId="271" fillId="0" borderId="0" applyBorder="0">
      <alignment vertical="center"/>
      <protection locked="0"/>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271" fillId="0" borderId="0" applyBorder="0">
      <alignment vertical="center"/>
      <protection locked="0"/>
    </xf>
    <xf numFmtId="192" fontId="271" fillId="0" borderId="0" applyBorder="0">
      <alignment vertical="center"/>
      <protection locked="0"/>
    </xf>
    <xf numFmtId="192" fontId="271" fillId="0" borderId="0" applyBorder="0">
      <alignment vertical="center"/>
      <protection locked="0"/>
    </xf>
    <xf numFmtId="192" fontId="271" fillId="0" borderId="0" applyBorder="0">
      <alignment vertical="center"/>
      <protection locked="0"/>
    </xf>
    <xf numFmtId="192" fontId="271" fillId="0" borderId="0" applyBorder="0">
      <alignment vertical="center"/>
      <protection locked="0"/>
    </xf>
    <xf numFmtId="192" fontId="271" fillId="0" borderId="0" applyBorder="0">
      <alignment vertical="center"/>
      <protection locked="0"/>
    </xf>
    <xf numFmtId="192" fontId="271" fillId="0" borderId="0" applyBorder="0">
      <alignment vertical="center"/>
      <protection locked="0"/>
    </xf>
    <xf numFmtId="192" fontId="271" fillId="0" borderId="0" applyBorder="0">
      <alignment vertical="center"/>
      <protection locked="0"/>
    </xf>
    <xf numFmtId="192" fontId="271" fillId="0" borderId="0" applyBorder="0">
      <alignment vertical="center"/>
      <protection locked="0"/>
    </xf>
    <xf numFmtId="192" fontId="271" fillId="0" borderId="0" applyBorder="0">
      <alignment vertical="center"/>
      <protection locked="0"/>
    </xf>
    <xf numFmtId="192" fontId="271" fillId="0" borderId="0" applyBorder="0">
      <alignment vertical="center"/>
      <protection locked="0"/>
    </xf>
    <xf numFmtId="192" fontId="271" fillId="0" borderId="0" applyBorder="0">
      <alignment vertical="center"/>
      <protection locked="0"/>
    </xf>
    <xf numFmtId="192" fontId="271" fillId="0" borderId="0" applyBorder="0">
      <alignment vertical="center"/>
      <protection locked="0"/>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96" fillId="0" borderId="0" applyBorder="0"/>
    <xf numFmtId="192" fontId="96" fillId="0" borderId="0" applyBorder="0"/>
    <xf numFmtId="192" fontId="96" fillId="0" borderId="0" applyBorder="0"/>
    <xf numFmtId="192" fontId="96" fillId="0" borderId="0" applyBorder="0"/>
    <xf numFmtId="192" fontId="96" fillId="0" borderId="0" applyBorder="0"/>
    <xf numFmtId="192" fontId="96" fillId="0" borderId="0" applyBorder="0"/>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xf numFmtId="192" fontId="96" fillId="0" borderId="0" applyBorder="0"/>
    <xf numFmtId="192" fontId="96" fillId="0" borderId="0" applyBorder="0"/>
    <xf numFmtId="192" fontId="96" fillId="0" borderId="0" applyBorder="0"/>
    <xf numFmtId="192" fontId="96" fillId="0" borderId="0" applyBorder="0"/>
    <xf numFmtId="192" fontId="96" fillId="0" borderId="0" applyBorder="0"/>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9" fontId="96" fillId="0" borderId="0" applyFont="0" applyFill="0" applyBorder="0" applyAlignment="0" applyProtection="0">
      <alignment vertical="center"/>
    </xf>
  </cellStyleXfs>
  <cellXfs count="390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49" fontId="48" fillId="6" borderId="14" xfId="0" applyNumberFormat="1" applyFont="1" applyFill="1" applyBorder="1" applyAlignment="1" applyProtection="1">
      <alignment vertical="center" wrapText="1"/>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78" fillId="12" borderId="0" xfId="0" applyFont="1" applyFill="1" applyAlignment="1" applyProtection="1">
      <alignmen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23" fillId="0" borderId="8" xfId="0" applyNumberFormat="1" applyFont="1" applyFill="1" applyBorder="1" applyAlignment="1" applyProtection="1">
      <alignment vertical="center" wrapText="1"/>
      <protection locked="0"/>
    </xf>
    <xf numFmtId="0" fontId="223" fillId="0" borderId="49" xfId="0" applyNumberFormat="1" applyFont="1" applyFill="1" applyBorder="1" applyAlignment="1" applyProtection="1">
      <alignment vertical="center" wrapText="1"/>
      <protection locked="0"/>
    </xf>
    <xf numFmtId="0" fontId="78" fillId="0" borderId="24" xfId="0" applyNumberFormat="1" applyFont="1" applyFill="1" applyBorder="1" applyAlignment="1" applyProtection="1">
      <alignment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70" fillId="0" borderId="31" xfId="0" applyFont="1" applyBorder="1" applyAlignment="1">
      <alignment horizontal="center" vertical="center" wrapText="1"/>
    </xf>
    <xf numFmtId="0" fontId="270" fillId="0" borderId="43" xfId="0" applyFont="1" applyBorder="1" applyAlignment="1">
      <alignment horizontal="center" vertical="center" wrapText="1"/>
    </xf>
    <xf numFmtId="0" fontId="270" fillId="0" borderId="80" xfId="0" applyFont="1" applyBorder="1" applyAlignment="1">
      <alignment horizontal="center" vertical="center" wrapText="1"/>
    </xf>
    <xf numFmtId="0" fontId="0" fillId="0" borderId="80" xfId="0" applyBorder="1" applyAlignment="1">
      <alignment vertical="center" wrapText="1"/>
    </xf>
    <xf numFmtId="0" fontId="0" fillId="0" borderId="81" xfId="0" applyBorder="1" applyAlignment="1">
      <alignment vertical="center" wrapText="1"/>
    </xf>
    <xf numFmtId="0" fontId="270" fillId="0" borderId="56" xfId="0" applyFont="1" applyBorder="1" applyAlignment="1">
      <alignment horizontal="center" vertical="center" wrapText="1"/>
    </xf>
    <xf numFmtId="0" fontId="0" fillId="0" borderId="56" xfId="0" applyBorder="1" applyAlignment="1">
      <alignment vertical="center" wrapText="1"/>
    </xf>
    <xf numFmtId="0" fontId="0" fillId="0" borderId="43" xfId="0" applyBorder="1" applyAlignment="1">
      <alignment vertical="center" wrapText="1"/>
    </xf>
    <xf numFmtId="0" fontId="270" fillId="0" borderId="43" xfId="0" applyFont="1" applyBorder="1" applyAlignment="1">
      <alignment horizontal="right" vertical="center" wrapText="1"/>
    </xf>
    <xf numFmtId="0" fontId="270" fillId="0" borderId="27" xfId="0" applyFont="1" applyBorder="1" applyAlignment="1">
      <alignment horizontal="center" vertical="center" wrapText="1"/>
    </xf>
    <xf numFmtId="0" fontId="270" fillId="0" borderId="81" xfId="0" applyFont="1" applyBorder="1" applyAlignment="1">
      <alignment horizontal="center" vertical="center" wrapText="1"/>
    </xf>
    <xf numFmtId="0" fontId="270" fillId="0" borderId="27" xfId="0" applyFont="1" applyBorder="1" applyAlignment="1">
      <alignment horizontal="right" vertical="center" wrapText="1"/>
    </xf>
    <xf numFmtId="0" fontId="270" fillId="0" borderId="81" xfId="0" applyFont="1" applyBorder="1" applyAlignment="1">
      <alignment horizontal="right" vertical="center" wrapText="1"/>
    </xf>
    <xf numFmtId="0" fontId="0" fillId="5" borderId="0" xfId="0" applyFill="1">
      <alignment vertical="center"/>
    </xf>
    <xf numFmtId="0" fontId="277" fillId="7" borderId="1" xfId="21" applyFont="1" applyFill="1" applyBorder="1" applyAlignment="1">
      <alignment horizontal="center" vertical="center" wrapText="1"/>
    </xf>
    <xf numFmtId="0" fontId="273" fillId="7" borderId="1" xfId="21" applyFont="1" applyFill="1" applyBorder="1" applyAlignment="1">
      <alignment horizontal="center" vertical="center" wrapText="1"/>
    </xf>
    <xf numFmtId="0" fontId="277" fillId="0" borderId="1" xfId="21" applyNumberFormat="1" applyFont="1" applyFill="1" applyBorder="1" applyAlignment="1">
      <alignment horizontal="center" vertical="center" wrapText="1"/>
    </xf>
    <xf numFmtId="0" fontId="277" fillId="0" borderId="1" xfId="21" applyFont="1" applyFill="1" applyBorder="1" applyAlignment="1">
      <alignment horizontal="center" vertical="center" wrapText="1"/>
    </xf>
    <xf numFmtId="176" fontId="274" fillId="7" borderId="1" xfId="21" applyNumberFormat="1" applyFont="1" applyFill="1" applyBorder="1" applyAlignment="1">
      <alignment horizontal="center" vertical="center" wrapText="1"/>
    </xf>
    <xf numFmtId="0" fontId="274" fillId="7" borderId="1" xfId="21" applyNumberFormat="1" applyFont="1" applyFill="1" applyBorder="1" applyAlignment="1">
      <alignment horizontal="center" vertical="center" wrapText="1"/>
    </xf>
    <xf numFmtId="0" fontId="274" fillId="7" borderId="1" xfId="21" applyFont="1" applyFill="1" applyBorder="1" applyAlignment="1">
      <alignment horizontal="center" vertical="center" wrapText="1"/>
    </xf>
    <xf numFmtId="0" fontId="274" fillId="0" borderId="0" xfId="21" applyFont="1" applyAlignment="1">
      <alignment horizontal="left" vertical="top" wrapText="1"/>
    </xf>
    <xf numFmtId="0" fontId="274" fillId="7" borderId="0" xfId="21" applyFont="1" applyFill="1" applyAlignment="1">
      <alignment vertical="center" wrapText="1"/>
    </xf>
    <xf numFmtId="0" fontId="276" fillId="7" borderId="1" xfId="21" applyFont="1" applyFill="1" applyBorder="1" applyAlignment="1">
      <alignment horizontal="center" vertical="center" wrapText="1"/>
    </xf>
    <xf numFmtId="176" fontId="277" fillId="0" borderId="1" xfId="21" applyNumberFormat="1" applyFont="1" applyFill="1" applyBorder="1" applyAlignment="1">
      <alignment horizontal="center" vertical="center" wrapText="1"/>
    </xf>
    <xf numFmtId="0" fontId="273" fillId="22" borderId="1" xfId="21" applyNumberFormat="1" applyFont="1" applyFill="1" applyBorder="1" applyAlignment="1">
      <alignment horizontal="center" vertical="center" wrapText="1"/>
    </xf>
    <xf numFmtId="0" fontId="273" fillId="22" borderId="1" xfId="21" applyFont="1" applyFill="1" applyBorder="1" applyAlignment="1">
      <alignment horizontal="center" vertical="center" wrapText="1"/>
    </xf>
    <xf numFmtId="0" fontId="274" fillId="0" borderId="0" xfId="21" applyFont="1" applyAlignment="1">
      <alignment vertical="center" wrapText="1"/>
    </xf>
    <xf numFmtId="0" fontId="274" fillId="0" borderId="1" xfId="21" applyFont="1" applyBorder="1" applyAlignment="1">
      <alignment horizontal="center" vertical="center" wrapText="1"/>
    </xf>
    <xf numFmtId="0" fontId="274" fillId="0" borderId="0" xfId="21" applyFont="1" applyFill="1" applyAlignment="1">
      <alignment vertical="center" wrapText="1"/>
    </xf>
    <xf numFmtId="0" fontId="275" fillId="0" borderId="1" xfId="21" applyFont="1" applyFill="1" applyBorder="1" applyAlignment="1">
      <alignment horizontal="center" vertical="center" wrapText="1"/>
    </xf>
    <xf numFmtId="0" fontId="45" fillId="6" borderId="28" xfId="10" applyFont="1" applyFill="1" applyBorder="1" applyAlignment="1" applyProtection="1">
      <alignment horizontal="right" vertical="center"/>
    </xf>
    <xf numFmtId="0" fontId="160" fillId="0" borderId="1" xfId="12" applyBorder="1" applyAlignment="1" applyProtection="1">
      <alignment horizontal="left"/>
      <protection locked="0"/>
    </xf>
    <xf numFmtId="0" fontId="274" fillId="0" borderId="1" xfId="21" applyFont="1" applyBorder="1" applyAlignment="1">
      <alignment horizontal="center" vertical="center" wrapText="1"/>
    </xf>
    <xf numFmtId="0" fontId="277" fillId="3" borderId="1" xfId="21" applyFont="1" applyFill="1" applyBorder="1" applyAlignment="1">
      <alignment horizontal="center" vertical="center" wrapText="1"/>
    </xf>
    <xf numFmtId="0" fontId="277" fillId="7" borderId="1" xfId="21" applyNumberFormat="1" applyFont="1" applyFill="1" applyBorder="1" applyAlignment="1">
      <alignment horizontal="center" vertical="center" wrapText="1"/>
    </xf>
    <xf numFmtId="0" fontId="275" fillId="7" borderId="1" xfId="21" applyFont="1" applyFill="1" applyBorder="1" applyAlignment="1">
      <alignment horizontal="center" vertical="center" wrapText="1"/>
    </xf>
    <xf numFmtId="0" fontId="277" fillId="7" borderId="1" xfId="21" applyFont="1" applyFill="1" applyBorder="1" applyAlignment="1">
      <alignment horizontal="center" vertical="center" wrapText="1"/>
    </xf>
    <xf numFmtId="0" fontId="275" fillId="0" borderId="1" xfId="21" applyFont="1" applyFill="1" applyBorder="1" applyAlignment="1">
      <alignment horizontal="center" vertical="center" wrapText="1"/>
    </xf>
    <xf numFmtId="0" fontId="277" fillId="0" borderId="1" xfId="21" applyNumberFormat="1" applyFont="1" applyFill="1" applyBorder="1" applyAlignment="1">
      <alignment vertical="center"/>
    </xf>
    <xf numFmtId="0" fontId="277" fillId="0" borderId="1" xfId="21" applyNumberFormat="1" applyFont="1" applyFill="1" applyBorder="1" applyAlignment="1">
      <alignment horizontal="center" vertical="center"/>
    </xf>
    <xf numFmtId="0" fontId="277" fillId="0" borderId="1" xfId="21" applyNumberFormat="1" applyFont="1" applyFill="1" applyBorder="1" applyAlignment="1">
      <alignment horizontal="center" vertical="center" wrapText="1"/>
    </xf>
    <xf numFmtId="176" fontId="277" fillId="7" borderId="1" xfId="21" applyNumberFormat="1" applyFont="1" applyFill="1" applyBorder="1" applyAlignment="1">
      <alignment horizontal="center" vertical="center" wrapText="1"/>
    </xf>
    <xf numFmtId="0" fontId="277" fillId="0" borderId="1" xfId="21" applyFont="1" applyFill="1" applyBorder="1" applyAlignment="1">
      <alignment horizontal="center" vertical="center" wrapText="1"/>
    </xf>
    <xf numFmtId="0" fontId="274" fillId="0" borderId="1" xfId="21" applyFont="1" applyFill="1" applyBorder="1" applyAlignment="1">
      <alignment horizontal="center" vertical="center" wrapText="1"/>
    </xf>
    <xf numFmtId="176" fontId="277" fillId="0" borderId="1" xfId="21" applyNumberFormat="1" applyFont="1" applyFill="1" applyBorder="1" applyAlignment="1">
      <alignment horizontal="center" vertical="center" wrapText="1"/>
    </xf>
    <xf numFmtId="0" fontId="274" fillId="0" borderId="1" xfId="21" applyFont="1" applyBorder="1" applyAlignment="1">
      <alignment vertical="center" wrapText="1"/>
    </xf>
    <xf numFmtId="0" fontId="274" fillId="3" borderId="1" xfId="21" applyFont="1" applyFill="1" applyBorder="1" applyAlignment="1">
      <alignment horizontal="center" vertical="center" wrapText="1"/>
    </xf>
    <xf numFmtId="0" fontId="274" fillId="0" borderId="1" xfId="21" applyNumberFormat="1" applyFont="1" applyBorder="1" applyAlignment="1">
      <alignment vertical="center" wrapText="1"/>
    </xf>
    <xf numFmtId="0" fontId="274" fillId="3" borderId="1" xfId="21" applyNumberFormat="1" applyFont="1" applyFill="1" applyBorder="1" applyAlignment="1">
      <alignment horizontal="center" vertical="center" wrapText="1"/>
    </xf>
    <xf numFmtId="176" fontId="274" fillId="3" borderId="1" xfId="21" applyNumberFormat="1" applyFont="1" applyFill="1" applyBorder="1" applyAlignment="1">
      <alignment horizontal="center" vertical="center" wrapText="1"/>
    </xf>
    <xf numFmtId="176" fontId="274" fillId="3" borderId="1" xfId="21" applyNumberFormat="1" applyFont="1" applyFill="1" applyBorder="1" applyAlignment="1">
      <alignment horizontal="center" vertical="center" wrapText="1"/>
    </xf>
    <xf numFmtId="176" fontId="277" fillId="7" borderId="1" xfId="21" applyNumberFormat="1" applyFont="1" applyFill="1" applyBorder="1" applyAlignment="1">
      <alignment horizontal="center" vertical="center" wrapText="1"/>
    </xf>
    <xf numFmtId="0" fontId="272" fillId="7" borderId="1" xfId="21" applyNumberFormat="1" applyFont="1" applyFill="1" applyBorder="1" applyAlignment="1">
      <alignment horizontal="center" vertical="center" wrapText="1"/>
    </xf>
    <xf numFmtId="0" fontId="272" fillId="7" borderId="1" xfId="21" applyFont="1" applyFill="1" applyBorder="1" applyAlignment="1">
      <alignment horizontal="center" vertical="center" wrapText="1"/>
    </xf>
    <xf numFmtId="0" fontId="274" fillId="0" borderId="1" xfId="21" applyNumberFormat="1" applyFont="1" applyFill="1" applyBorder="1" applyAlignment="1">
      <alignment horizontal="center" vertical="center" wrapText="1"/>
    </xf>
    <xf numFmtId="176" fontId="274" fillId="0" borderId="1" xfId="21" applyNumberFormat="1" applyFont="1" applyFill="1" applyBorder="1" applyAlignment="1">
      <alignment horizontal="center" vertical="center" wrapText="1"/>
    </xf>
    <xf numFmtId="185" fontId="274" fillId="0" borderId="1" xfId="21" applyNumberFormat="1" applyFont="1" applyFill="1" applyBorder="1" applyAlignment="1">
      <alignment horizontal="center" vertical="center" wrapText="1"/>
    </xf>
    <xf numFmtId="0" fontId="277" fillId="0" borderId="1" xfId="21" applyFont="1" applyBorder="1" applyAlignment="1">
      <alignment horizontal="center" vertical="center" wrapText="1"/>
    </xf>
    <xf numFmtId="0" fontId="274" fillId="0" borderId="0" xfId="21" applyFont="1" applyFill="1" applyBorder="1" applyAlignment="1">
      <alignment vertical="center" wrapText="1"/>
    </xf>
    <xf numFmtId="176" fontId="277" fillId="0" borderId="1" xfId="21" applyNumberFormat="1" applyFont="1" applyBorder="1" applyAlignment="1">
      <alignment horizontal="center" vertical="center" wrapText="1"/>
    </xf>
    <xf numFmtId="185" fontId="277" fillId="0" borderId="1" xfId="21" applyNumberFormat="1" applyFont="1" applyBorder="1" applyAlignment="1">
      <alignment horizontal="center" vertical="center" wrapText="1"/>
    </xf>
    <xf numFmtId="0" fontId="277" fillId="0" borderId="1" xfId="21" applyNumberFormat="1" applyFont="1" applyBorder="1" applyAlignment="1">
      <alignment horizontal="center" vertical="center" wrapText="1"/>
    </xf>
    <xf numFmtId="188" fontId="277" fillId="0" borderId="1" xfId="21" applyNumberFormat="1" applyFont="1" applyBorder="1" applyAlignment="1">
      <alignment horizontal="center" vertical="center" wrapText="1"/>
    </xf>
    <xf numFmtId="0" fontId="277" fillId="0" borderId="0" xfId="21" applyFont="1" applyAlignment="1">
      <alignment vertical="center" wrapText="1"/>
    </xf>
    <xf numFmtId="176" fontId="277" fillId="0" borderId="1" xfId="21" applyNumberFormat="1" applyFont="1" applyBorder="1" applyAlignment="1">
      <alignment horizontal="center" vertical="center" wrapText="1"/>
    </xf>
    <xf numFmtId="185" fontId="277" fillId="0" borderId="1" xfId="21" applyNumberFormat="1" applyFont="1" applyFill="1" applyBorder="1" applyAlignment="1">
      <alignment horizontal="center" vertical="center" wrapText="1"/>
    </xf>
    <xf numFmtId="188" fontId="277" fillId="0" borderId="1" xfId="21" applyNumberFormat="1" applyFont="1" applyFill="1" applyBorder="1" applyAlignment="1">
      <alignment horizontal="center" vertical="center" wrapText="1"/>
    </xf>
    <xf numFmtId="0" fontId="277" fillId="0" borderId="0" xfId="21" applyFont="1" applyFill="1" applyAlignment="1">
      <alignment vertical="center" wrapText="1"/>
    </xf>
    <xf numFmtId="185" fontId="274" fillId="7" borderId="1" xfId="21" applyNumberFormat="1" applyFont="1" applyFill="1" applyBorder="1" applyAlignment="1">
      <alignment horizontal="center" vertical="center" wrapText="1"/>
    </xf>
    <xf numFmtId="188" fontId="274" fillId="7" borderId="1" xfId="21" applyNumberFormat="1" applyFont="1" applyFill="1" applyBorder="1" applyAlignment="1">
      <alignment horizontal="center" vertical="center" wrapText="1"/>
    </xf>
    <xf numFmtId="176" fontId="274" fillId="7" borderId="1" xfId="21" applyNumberFormat="1" applyFont="1" applyFill="1" applyBorder="1" applyAlignment="1">
      <alignment horizontal="left" vertical="center" wrapText="1"/>
    </xf>
    <xf numFmtId="185" fontId="277" fillId="7" borderId="1" xfId="21" applyNumberFormat="1" applyFont="1" applyFill="1" applyBorder="1" applyAlignment="1">
      <alignment horizontal="center" vertical="center" wrapText="1"/>
    </xf>
    <xf numFmtId="188" fontId="277" fillId="3" borderId="1" xfId="21" applyNumberFormat="1" applyFont="1" applyFill="1" applyBorder="1" applyAlignment="1">
      <alignment horizontal="center" vertical="center" wrapText="1"/>
    </xf>
    <xf numFmtId="179" fontId="275" fillId="0" borderId="1" xfId="21" applyNumberFormat="1" applyFont="1" applyFill="1" applyBorder="1" applyAlignment="1">
      <alignment horizontal="center" vertical="center" wrapText="1"/>
    </xf>
    <xf numFmtId="179" fontId="277" fillId="7" borderId="1" xfId="21" applyNumberFormat="1" applyFont="1" applyFill="1" applyBorder="1" applyAlignment="1">
      <alignment horizontal="center" vertical="center" wrapText="1"/>
    </xf>
    <xf numFmtId="0" fontId="274" fillId="0" borderId="1" xfId="21" applyFont="1" applyFill="1" applyBorder="1" applyAlignment="1">
      <alignment horizontal="center" vertical="center" wrapText="1"/>
    </xf>
    <xf numFmtId="176" fontId="277" fillId="0" borderId="1" xfId="21" applyNumberFormat="1" applyFont="1" applyFill="1" applyBorder="1" applyAlignment="1">
      <alignment horizontal="left" vertical="center" wrapText="1"/>
    </xf>
    <xf numFmtId="0" fontId="274" fillId="7" borderId="1" xfId="21" applyFont="1" applyFill="1" applyBorder="1" applyAlignment="1">
      <alignment vertical="center" wrapText="1"/>
    </xf>
    <xf numFmtId="0" fontId="277" fillId="0" borderId="1" xfId="21" applyFont="1" applyFill="1" applyBorder="1" applyAlignment="1">
      <alignment vertical="center" wrapText="1"/>
    </xf>
    <xf numFmtId="0" fontId="277" fillId="7" borderId="1" xfId="21" applyFont="1" applyFill="1" applyBorder="1" applyAlignment="1">
      <alignment horizontal="left" vertical="center" wrapText="1"/>
    </xf>
    <xf numFmtId="0" fontId="277" fillId="7" borderId="0" xfId="21" applyFont="1" applyFill="1" applyAlignment="1">
      <alignment vertical="center" wrapText="1"/>
    </xf>
    <xf numFmtId="176" fontId="274" fillId="0" borderId="1" xfId="21" applyNumberFormat="1" applyFont="1" applyFill="1" applyBorder="1" applyAlignment="1">
      <alignment horizontal="left" vertical="center" wrapText="1"/>
    </xf>
    <xf numFmtId="0" fontId="277" fillId="0" borderId="1" xfId="21" applyFont="1" applyBorder="1" applyAlignment="1">
      <alignment vertical="center" wrapText="1"/>
    </xf>
    <xf numFmtId="0" fontId="273" fillId="0" borderId="1" xfId="21" applyFont="1" applyFill="1" applyBorder="1" applyAlignment="1">
      <alignment horizontal="center" vertical="center" wrapText="1"/>
    </xf>
    <xf numFmtId="0" fontId="274" fillId="0" borderId="0" xfId="21" applyFont="1" applyAlignment="1">
      <alignment horizontal="center" vertical="center" wrapText="1"/>
    </xf>
    <xf numFmtId="0" fontId="274" fillId="0" borderId="0" xfId="21" applyNumberFormat="1" applyFont="1" applyAlignment="1">
      <alignment vertical="center" wrapText="1"/>
    </xf>
    <xf numFmtId="0" fontId="96" fillId="0" borderId="0" xfId="0" applyFont="1">
      <alignment vertical="center"/>
    </xf>
    <xf numFmtId="0" fontId="270" fillId="0" borderId="0" xfId="0" applyFont="1" applyFill="1" applyBorder="1" applyAlignment="1">
      <alignment horizontal="center" vertical="center" wrapText="1"/>
    </xf>
    <xf numFmtId="0" fontId="270" fillId="0" borderId="56" xfId="0" applyFont="1" applyFill="1" applyBorder="1" applyAlignment="1">
      <alignment horizontal="center" vertical="center" wrapText="1"/>
    </xf>
    <xf numFmtId="0" fontId="96" fillId="0" borderId="0" xfId="0" applyFont="1" applyFill="1" applyBorder="1">
      <alignment vertical="center"/>
    </xf>
    <xf numFmtId="0" fontId="0" fillId="0" borderId="18" xfId="0" applyBorder="1" applyAlignment="1">
      <alignment horizontal="center" vertical="center"/>
    </xf>
    <xf numFmtId="0" fontId="266" fillId="7" borderId="0" xfId="35" applyNumberFormat="1" applyFont="1" applyFill="1" applyBorder="1" applyAlignment="1">
      <alignment horizontal="left" vertical="center" wrapText="1"/>
    </xf>
    <xf numFmtId="200" fontId="160" fillId="0" borderId="0" xfId="12" applyNumberFormat="1" applyAlignment="1" applyProtection="1">
      <alignment horizontal="left"/>
      <protection locked="0"/>
    </xf>
    <xf numFmtId="0" fontId="266" fillId="7" borderId="0" xfId="35" applyNumberFormat="1" applyFont="1" applyFill="1" applyBorder="1" applyAlignment="1">
      <alignment horizontal="left" vertical="center" wrapText="1"/>
    </xf>
    <xf numFmtId="0" fontId="278" fillId="23" borderId="0" xfId="35" applyNumberFormat="1" applyFont="1" applyFill="1" applyBorder="1" applyAlignment="1">
      <alignment horizontal="left" vertical="center" wrapText="1"/>
    </xf>
    <xf numFmtId="0" fontId="266" fillId="7" borderId="35" xfId="35" applyNumberFormat="1" applyFont="1" applyFill="1" applyBorder="1" applyAlignment="1">
      <alignment horizontal="left" vertical="center" wrapText="1"/>
    </xf>
    <xf numFmtId="0" fontId="278" fillId="23" borderId="35" xfId="35" applyNumberFormat="1" applyFont="1" applyFill="1" applyBorder="1" applyAlignment="1">
      <alignment horizontal="left" vertical="center" wrapText="1"/>
    </xf>
    <xf numFmtId="0" fontId="278" fillId="23" borderId="0" xfId="35" applyNumberFormat="1" applyFont="1" applyFill="1" applyBorder="1" applyAlignment="1">
      <alignment horizontal="left" vertical="center"/>
    </xf>
    <xf numFmtId="0" fontId="266" fillId="7" borderId="0" xfId="35" applyNumberFormat="1" applyFont="1" applyFill="1" applyBorder="1" applyAlignment="1">
      <alignment horizontal="left" vertical="center" wrapText="1"/>
    </xf>
    <xf numFmtId="0" fontId="278" fillId="23" borderId="0" xfId="35" applyNumberFormat="1" applyFont="1" applyFill="1" applyBorder="1" applyAlignment="1">
      <alignment horizontal="left" vertical="center"/>
    </xf>
    <xf numFmtId="0" fontId="278" fillId="23" borderId="0" xfId="35" applyNumberFormat="1" applyFont="1" applyFill="1" applyBorder="1" applyAlignment="1">
      <alignment horizontal="left" vertical="center" wrapText="1"/>
    </xf>
    <xf numFmtId="0" fontId="278" fillId="23" borderId="35" xfId="35" applyNumberFormat="1" applyFont="1" applyFill="1" applyBorder="1" applyAlignment="1">
      <alignment horizontal="left" vertical="center" wrapText="1"/>
    </xf>
    <xf numFmtId="0" fontId="266" fillId="7" borderId="0" xfId="35" applyNumberFormat="1" applyFont="1" applyFill="1" applyBorder="1" applyAlignment="1">
      <alignment horizontal="left" vertical="center" wrapText="1"/>
    </xf>
    <xf numFmtId="0" fontId="266" fillId="7" borderId="35" xfId="35" applyNumberFormat="1" applyFont="1" applyFill="1" applyBorder="1" applyAlignment="1">
      <alignment horizontal="left" vertical="center" wrapText="1"/>
    </xf>
    <xf numFmtId="0" fontId="266" fillId="7" borderId="0" xfId="35" applyNumberFormat="1" applyFont="1" applyFill="1" applyBorder="1" applyAlignment="1">
      <alignment horizontal="left" vertical="center"/>
    </xf>
    <xf numFmtId="0" fontId="265" fillId="7" borderId="0" xfId="18" applyNumberFormat="1" applyFont="1" applyFill="1" applyBorder="1" applyAlignment="1">
      <alignment horizontal="left" vertical="center"/>
    </xf>
    <xf numFmtId="0" fontId="265" fillId="7" borderId="0" xfId="18" applyNumberFormat="1" applyFont="1" applyFill="1" applyBorder="1" applyAlignment="1">
      <alignment horizontal="left" vertical="center" wrapText="1"/>
    </xf>
    <xf numFmtId="0" fontId="278" fillId="9" borderId="0" xfId="35" applyNumberFormat="1" applyFont="1" applyFill="1" applyBorder="1" applyAlignment="1">
      <alignment horizontal="left" vertical="center" wrapText="1"/>
    </xf>
    <xf numFmtId="0" fontId="278" fillId="9" borderId="35" xfId="35" applyNumberFormat="1" applyFont="1" applyFill="1" applyBorder="1" applyAlignment="1">
      <alignment horizontal="left" vertical="center" wrapText="1"/>
    </xf>
    <xf numFmtId="0" fontId="278" fillId="9" borderId="0" xfId="35" applyNumberFormat="1" applyFont="1" applyFill="1" applyBorder="1" applyAlignment="1">
      <alignment horizontal="left" vertical="center"/>
    </xf>
    <xf numFmtId="0" fontId="279" fillId="9" borderId="0" xfId="18" applyNumberFormat="1" applyFont="1" applyFill="1" applyBorder="1" applyAlignment="1">
      <alignment horizontal="left" vertical="center"/>
    </xf>
    <xf numFmtId="0" fontId="279" fillId="9" borderId="0" xfId="18" applyNumberFormat="1" applyFont="1" applyFill="1" applyBorder="1" applyAlignment="1">
      <alignment horizontal="left" vertical="center" wrapText="1"/>
    </xf>
    <xf numFmtId="0" fontId="278" fillId="23" borderId="35" xfId="35" applyNumberFormat="1" applyFont="1" applyFill="1" applyBorder="1" applyAlignment="1">
      <alignment horizontal="left" vertical="center"/>
    </xf>
  </cellXfs>
  <cellStyles count="448">
    <cellStyle name="百分比" xfId="17" builtinId="5"/>
    <cellStyle name="百分比 2" xfId="14"/>
    <cellStyle name="百分比 2 2" xfId="50"/>
    <cellStyle name="百分比 2 2 2" xfId="51"/>
    <cellStyle name="百分比 2 3" xfId="52"/>
    <cellStyle name="百分比 3" xfId="53"/>
    <cellStyle name="百分比 4" xfId="447"/>
    <cellStyle name="常规" xfId="0" builtinId="0"/>
    <cellStyle name="常规 10" xfId="19"/>
    <cellStyle name="常规 10 2" xfId="54"/>
    <cellStyle name="常规 10 2 2" xfId="55"/>
    <cellStyle name="常规 10 2 2 2" xfId="56"/>
    <cellStyle name="常规 10 2 3" xfId="57"/>
    <cellStyle name="常规 10 3" xfId="58"/>
    <cellStyle name="常规 10 4" xfId="41"/>
    <cellStyle name="常规 11" xfId="18"/>
    <cellStyle name="常规 11 2" xfId="20"/>
    <cellStyle name="常规 11 2 2" xfId="48"/>
    <cellStyle name="常规 11 3" xfId="42"/>
    <cellStyle name="常规 12" xfId="23"/>
    <cellStyle name="常规 12 2" xfId="44"/>
    <cellStyle name="常规 13" xfId="45"/>
    <cellStyle name="常规 16" xfId="10"/>
    <cellStyle name="常规 16 2" xfId="35"/>
    <cellStyle name="常规 2" xfId="1"/>
    <cellStyle name="常规 2 2" xfId="8"/>
    <cellStyle name="常规 2 2 2" xfId="59"/>
    <cellStyle name="常规 2 2 2 2" xfId="60"/>
    <cellStyle name="常规 2 2 2 2 2" xfId="61"/>
    <cellStyle name="常规 2 2 2 2 2 2" xfId="62"/>
    <cellStyle name="常规 2 2 2 2 2 2 2" xfId="63"/>
    <cellStyle name="常规 2 2 2 2 2 2 2 2" xfId="64"/>
    <cellStyle name="常规 2 2 2 2 2 2 3" xfId="65"/>
    <cellStyle name="常规 2 2 2 2 2 3" xfId="66"/>
    <cellStyle name="常规 2 2 2 2 3" xfId="15"/>
    <cellStyle name="常规 2 2 2 2 3 2" xfId="67"/>
    <cellStyle name="常规 2 2 2 2 3 2 2" xfId="68"/>
    <cellStyle name="常规 2 2 2 2 3 3" xfId="69"/>
    <cellStyle name="常规 2 2 2 2 3 4" xfId="39"/>
    <cellStyle name="常规 2 2 2 2 4" xfId="70"/>
    <cellStyle name="常规 2 2 2 3" xfId="71"/>
    <cellStyle name="常规 2 2 3" xfId="72"/>
    <cellStyle name="常规 2 2 3 2" xfId="73"/>
    <cellStyle name="常规 2 2 3 2 2" xfId="74"/>
    <cellStyle name="常规 2 2 3 2 2 2" xfId="75"/>
    <cellStyle name="常规 2 2 3 2 2 2 2" xfId="76"/>
    <cellStyle name="常规 2 2 3 2 2 2 2 2" xfId="77"/>
    <cellStyle name="常规 2 2 3 2 2 2 3" xfId="78"/>
    <cellStyle name="常规 2 2 3 2 2 3" xfId="79"/>
    <cellStyle name="常规 2 2 3 2 3" xfId="80"/>
    <cellStyle name="常规 2 2 3 2 3 2" xfId="81"/>
    <cellStyle name="常规 2 2 3 2 3 2 2" xfId="82"/>
    <cellStyle name="常规 2 2 3 2 3 3" xfId="83"/>
    <cellStyle name="常规 2 2 3 2 4" xfId="84"/>
    <cellStyle name="常规 2 2 3 3" xfId="85"/>
    <cellStyle name="常规 2 2 3 3 2" xfId="86"/>
    <cellStyle name="常规 2 2 3 3 2 2" xfId="87"/>
    <cellStyle name="常规 2 2 3 3 3" xfId="88"/>
    <cellStyle name="常规 2 2 3 4" xfId="89"/>
    <cellStyle name="常规 2 2 4" xfId="90"/>
    <cellStyle name="常规 2 2 5" xfId="33"/>
    <cellStyle name="常规 2 3" xfId="21"/>
    <cellStyle name="常规 2 3 2" xfId="91"/>
    <cellStyle name="常规 2 3 2 2" xfId="92"/>
    <cellStyle name="常规 2 3 2 2 2" xfId="93"/>
    <cellStyle name="常规 2 3 2 2 2 2" xfId="94"/>
    <cellStyle name="常规 2 3 2 2 2 2 2" xfId="95"/>
    <cellStyle name="常规 2 3 2 2 2 2 2 2" xfId="96"/>
    <cellStyle name="常规 2 3 2 2 2 2 3" xfId="97"/>
    <cellStyle name="常规 2 3 2 2 2 3" xfId="98"/>
    <cellStyle name="常规 2 3 2 2 3" xfId="99"/>
    <cellStyle name="常规 2 3 2 2 3 2" xfId="100"/>
    <cellStyle name="常规 2 3 2 2 3 2 2" xfId="101"/>
    <cellStyle name="常规 2 3 2 2 3 2 2 2" xfId="102"/>
    <cellStyle name="常规 2 3 2 2 3 2 3" xfId="103"/>
    <cellStyle name="常规 2 3 2 2 3 3" xfId="104"/>
    <cellStyle name="常规 2 3 2 2 4" xfId="105"/>
    <cellStyle name="常规 2 3 2 3" xfId="106"/>
    <cellStyle name="常规 2 3 3" xfId="107"/>
    <cellStyle name="常规 2 3 3 2" xfId="108"/>
    <cellStyle name="常规 2 3 3 2 2" xfId="109"/>
    <cellStyle name="常规 2 3 3 2 2 2" xfId="110"/>
    <cellStyle name="常规 2 3 3 2 2 2 2" xfId="111"/>
    <cellStyle name="常规 2 3 3 2 2 3" xfId="112"/>
    <cellStyle name="常规 2 3 3 2 3" xfId="113"/>
    <cellStyle name="常规 2 3 3 3" xfId="114"/>
    <cellStyle name="常规 2 3 3 3 2" xfId="115"/>
    <cellStyle name="常规 2 3 3 3 2 2" xfId="116"/>
    <cellStyle name="常规 2 3 3 3 2 2 2" xfId="117"/>
    <cellStyle name="常规 2 3 3 3 2 3" xfId="118"/>
    <cellStyle name="常规 2 3 3 3 3" xfId="119"/>
    <cellStyle name="常规 2 3 3 4" xfId="120"/>
    <cellStyle name="常规 2 3 4" xfId="121"/>
    <cellStyle name="常规 2 3 5" xfId="43"/>
    <cellStyle name="常规 2 4" xfId="49"/>
    <cellStyle name="常规 2 4 2" xfId="122"/>
    <cellStyle name="常规 2 4 2 2" xfId="123"/>
    <cellStyle name="常规 2 4 2 2 2" xfId="124"/>
    <cellStyle name="常规 2 4 2 2 2 2" xfId="125"/>
    <cellStyle name="常规 2 4 2 2 2 2 2" xfId="126"/>
    <cellStyle name="常规 2 4 2 2 2 3" xfId="127"/>
    <cellStyle name="常规 2 4 2 2 3" xfId="128"/>
    <cellStyle name="常规 2 4 2 3" xfId="129"/>
    <cellStyle name="常规 2 4 2 3 2" xfId="130"/>
    <cellStyle name="常规 2 4 2 3 2 2" xfId="131"/>
    <cellStyle name="常规 2 4 2 3 3" xfId="132"/>
    <cellStyle name="常规 2 4 2 4" xfId="133"/>
    <cellStyle name="常规 2 4 3" xfId="134"/>
    <cellStyle name="常规 2 5" xfId="135"/>
    <cellStyle name="常规 2 5 2" xfId="136"/>
    <cellStyle name="常规 2 5 2 2" xfId="137"/>
    <cellStyle name="常规 2 5 2 2 2" xfId="138"/>
    <cellStyle name="常规 2 5 2 2 2 2" xfId="139"/>
    <cellStyle name="常规 2 5 2 2 3" xfId="140"/>
    <cellStyle name="常规 2 5 2 3" xfId="141"/>
    <cellStyle name="常规 2 5 3" xfId="142"/>
    <cellStyle name="常规 2 5 3 2" xfId="143"/>
    <cellStyle name="常规 2 5 3 2 2" xfId="144"/>
    <cellStyle name="常规 2 5 3 2 2 2" xfId="145"/>
    <cellStyle name="常规 2 5 3 2 3" xfId="146"/>
    <cellStyle name="常规 2 5 3 3" xfId="147"/>
    <cellStyle name="常规 2 5 4" xfId="148"/>
    <cellStyle name="常规 2 6" xfId="149"/>
    <cellStyle name="常规 2 7" xfId="26"/>
    <cellStyle name="常规 3" xfId="2"/>
    <cellStyle name="常规 3 2" xfId="3"/>
    <cellStyle name="常规 3 2 2" xfId="150"/>
    <cellStyle name="常规 3 2 2 2" xfId="151"/>
    <cellStyle name="常规 3 2 2 2 2" xfId="152"/>
    <cellStyle name="常规 3 2 2 2 2 2" xfId="153"/>
    <cellStyle name="常规 3 2 2 2 2 2 2" xfId="154"/>
    <cellStyle name="常规 3 2 2 2 2 2 2 2" xfId="155"/>
    <cellStyle name="常规 3 2 2 2 2 2 3" xfId="156"/>
    <cellStyle name="常规 3 2 2 2 2 3" xfId="157"/>
    <cellStyle name="常规 3 2 2 2 3" xfId="158"/>
    <cellStyle name="常规 3 2 2 2 3 2" xfId="159"/>
    <cellStyle name="常规 3 2 2 2 3 2 2" xfId="160"/>
    <cellStyle name="常规 3 2 2 2 3 3" xfId="161"/>
    <cellStyle name="常规 3 2 2 2 4" xfId="162"/>
    <cellStyle name="常规 3 2 2 3" xfId="163"/>
    <cellStyle name="常规 3 2 2 3 2" xfId="164"/>
    <cellStyle name="常规 3 2 2 3 2 2" xfId="165"/>
    <cellStyle name="常规 3 2 2 3 2 2 2" xfId="166"/>
    <cellStyle name="常规 3 2 2 3 2 3" xfId="167"/>
    <cellStyle name="常规 3 2 2 3 3" xfId="168"/>
    <cellStyle name="常规 3 2 2 4" xfId="169"/>
    <cellStyle name="常规 3 2 3" xfId="170"/>
    <cellStyle name="常规 3 2 4" xfId="28"/>
    <cellStyle name="常规 3 3" xfId="171"/>
    <cellStyle name="常规 3 3 2" xfId="172"/>
    <cellStyle name="常规 3 3 2 2" xfId="173"/>
    <cellStyle name="常规 3 3 2 2 2" xfId="174"/>
    <cellStyle name="常规 3 3 2 2 2 2" xfId="175"/>
    <cellStyle name="常规 3 3 2 2 2 2 2" xfId="176"/>
    <cellStyle name="常规 3 3 2 2 2 3" xfId="177"/>
    <cellStyle name="常规 3 3 2 2 3" xfId="178"/>
    <cellStyle name="常规 3 3 2 3" xfId="179"/>
    <cellStyle name="常规 3 3 2 3 2" xfId="180"/>
    <cellStyle name="常规 3 3 2 3 2 2" xfId="181"/>
    <cellStyle name="常规 3 3 2 3 3" xfId="182"/>
    <cellStyle name="常规 3 3 2 4" xfId="183"/>
    <cellStyle name="常规 3 3 3" xfId="184"/>
    <cellStyle name="常规 3 3 3 2" xfId="185"/>
    <cellStyle name="常规 3 3 3 2 2" xfId="186"/>
    <cellStyle name="常规 3 3 3 3" xfId="187"/>
    <cellStyle name="常规 3 3 3 3 2" xfId="188"/>
    <cellStyle name="常规 3 3 3 4" xfId="189"/>
    <cellStyle name="常规 3 3 4" xfId="190"/>
    <cellStyle name="常规 3 4" xfId="191"/>
    <cellStyle name="常规 3 5" xfId="27"/>
    <cellStyle name="常规 4" xfId="4"/>
    <cellStyle name="常规 4 10" xfId="192"/>
    <cellStyle name="常规 4 10 2" xfId="193"/>
    <cellStyle name="常规 4 10 2 2" xfId="194"/>
    <cellStyle name="常规 4 10 2 2 2" xfId="195"/>
    <cellStyle name="常规 4 10 2 3" xfId="196"/>
    <cellStyle name="常规 4 10 3" xfId="197"/>
    <cellStyle name="常规 4 11" xfId="198"/>
    <cellStyle name="常规 4 11 2" xfId="199"/>
    <cellStyle name="常规 4 11 2 2" xfId="200"/>
    <cellStyle name="常规 4 11 2 2 2" xfId="201"/>
    <cellStyle name="常规 4 11 2 3" xfId="202"/>
    <cellStyle name="常规 4 11 3" xfId="203"/>
    <cellStyle name="常规 4 12" xfId="204"/>
    <cellStyle name="常规 4 12 2" xfId="205"/>
    <cellStyle name="常规 4 12 2 2" xfId="206"/>
    <cellStyle name="常规 4 12 2 2 2" xfId="207"/>
    <cellStyle name="常规 4 12 2 3" xfId="208"/>
    <cellStyle name="常规 4 12 3" xfId="209"/>
    <cellStyle name="常规 4 13" xfId="210"/>
    <cellStyle name="常规 4 13 2" xfId="211"/>
    <cellStyle name="常规 4 13 2 2" xfId="212"/>
    <cellStyle name="常规 4 13 2 2 2" xfId="213"/>
    <cellStyle name="常规 4 13 2 3" xfId="214"/>
    <cellStyle name="常规 4 13 3" xfId="215"/>
    <cellStyle name="常规 4 14" xfId="216"/>
    <cellStyle name="常规 4 14 2" xfId="217"/>
    <cellStyle name="常规 4 14 2 2" xfId="218"/>
    <cellStyle name="常规 4 14 2 2 2" xfId="219"/>
    <cellStyle name="常规 4 14 2 3" xfId="220"/>
    <cellStyle name="常规 4 14 3" xfId="221"/>
    <cellStyle name="常规 4 15" xfId="222"/>
    <cellStyle name="常规 4 15 2" xfId="223"/>
    <cellStyle name="常规 4 15 2 2" xfId="224"/>
    <cellStyle name="常规 4 15 2 2 2" xfId="225"/>
    <cellStyle name="常规 4 15 2 3" xfId="226"/>
    <cellStyle name="常规 4 15 3" xfId="227"/>
    <cellStyle name="常规 4 16" xfId="228"/>
    <cellStyle name="常规 4 16 2" xfId="229"/>
    <cellStyle name="常规 4 16 2 2" xfId="230"/>
    <cellStyle name="常规 4 16 2 2 2" xfId="231"/>
    <cellStyle name="常规 4 16 2 3" xfId="232"/>
    <cellStyle name="常规 4 16 3" xfId="233"/>
    <cellStyle name="常规 4 17" xfId="234"/>
    <cellStyle name="常规 4 17 2" xfId="235"/>
    <cellStyle name="常规 4 17 2 2" xfId="236"/>
    <cellStyle name="常规 4 17 2 2 2" xfId="237"/>
    <cellStyle name="常规 4 17 2 3" xfId="238"/>
    <cellStyle name="常规 4 17 3" xfId="239"/>
    <cellStyle name="常规 4 18" xfId="240"/>
    <cellStyle name="常规 4 19" xfId="29"/>
    <cellStyle name="常规 4 2" xfId="241"/>
    <cellStyle name="常规 4 2 2" xfId="242"/>
    <cellStyle name="常规 4 2 2 2" xfId="243"/>
    <cellStyle name="常规 4 2 2 2 2" xfId="244"/>
    <cellStyle name="常规 4 2 2 2 2 2" xfId="245"/>
    <cellStyle name="常规 4 2 2 2 2 2 2" xfId="246"/>
    <cellStyle name="常规 4 2 2 2 2 3" xfId="247"/>
    <cellStyle name="常规 4 2 2 2 3" xfId="248"/>
    <cellStyle name="常规 4 2 2 3" xfId="249"/>
    <cellStyle name="常规 4 2 2 3 2" xfId="250"/>
    <cellStyle name="常规 4 2 2 3 2 2" xfId="251"/>
    <cellStyle name="常规 4 2 2 3 2 2 2" xfId="252"/>
    <cellStyle name="常规 4 2 2 3 2 3" xfId="253"/>
    <cellStyle name="常规 4 2 2 3 3" xfId="254"/>
    <cellStyle name="常规 4 2 2 4" xfId="255"/>
    <cellStyle name="常规 4 2 3" xfId="256"/>
    <cellStyle name="常规 4 3" xfId="257"/>
    <cellStyle name="常规 4 3 2" xfId="258"/>
    <cellStyle name="常规 4 3 2 2" xfId="259"/>
    <cellStyle name="常规 4 3 2 2 2" xfId="260"/>
    <cellStyle name="常规 4 3 2 2 2 2" xfId="261"/>
    <cellStyle name="常规 4 3 2 2 2 2 2" xfId="262"/>
    <cellStyle name="常规 4 3 2 2 2 3" xfId="263"/>
    <cellStyle name="常规 4 3 2 2 3" xfId="264"/>
    <cellStyle name="常规 4 3 2 3" xfId="265"/>
    <cellStyle name="常规 4 3 2 3 2" xfId="266"/>
    <cellStyle name="常规 4 3 2 3 2 2" xfId="267"/>
    <cellStyle name="常规 4 3 2 3 3" xfId="268"/>
    <cellStyle name="常规 4 3 2 4" xfId="269"/>
    <cellStyle name="常规 4 3 3" xfId="270"/>
    <cellStyle name="常规 4 4" xfId="271"/>
    <cellStyle name="常规 4 4 2" xfId="272"/>
    <cellStyle name="常规 4 4 2 2" xfId="273"/>
    <cellStyle name="常规 4 4 2 2 2" xfId="274"/>
    <cellStyle name="常规 4 4 2 2 2 2" xfId="275"/>
    <cellStyle name="常规 4 4 2 2 2 2 2" xfId="276"/>
    <cellStyle name="常规 4 4 2 2 2 3" xfId="277"/>
    <cellStyle name="常规 4 4 2 2 3" xfId="278"/>
    <cellStyle name="常规 4 4 2 3" xfId="279"/>
    <cellStyle name="常规 4 4 2 3 2" xfId="280"/>
    <cellStyle name="常规 4 4 2 3 2 2" xfId="281"/>
    <cellStyle name="常规 4 4 2 3 3" xfId="282"/>
    <cellStyle name="常规 4 4 2 4" xfId="283"/>
    <cellStyle name="常规 4 4 3" xfId="284"/>
    <cellStyle name="常规 4 4 3 2" xfId="285"/>
    <cellStyle name="常规 4 4 3 2 2" xfId="286"/>
    <cellStyle name="常规 4 4 3 3" xfId="287"/>
    <cellStyle name="常规 4 4 4" xfId="288"/>
    <cellStyle name="常规 4 5" xfId="289"/>
    <cellStyle name="常规 4 5 2" xfId="290"/>
    <cellStyle name="常规 4 5 2 2" xfId="291"/>
    <cellStyle name="常规 4 5 2 2 2" xfId="292"/>
    <cellStyle name="常规 4 5 2 3" xfId="293"/>
    <cellStyle name="常规 4 5 3" xfId="294"/>
    <cellStyle name="常规 4 6" xfId="295"/>
    <cellStyle name="常规 4 6 2" xfId="296"/>
    <cellStyle name="常规 4 6 2 2" xfId="297"/>
    <cellStyle name="常规 4 6 2 2 2" xfId="298"/>
    <cellStyle name="常规 4 6 2 3" xfId="299"/>
    <cellStyle name="常规 4 6 3" xfId="300"/>
    <cellStyle name="常规 4 7" xfId="301"/>
    <cellStyle name="常规 4 7 2" xfId="302"/>
    <cellStyle name="常规 4 7 2 2" xfId="303"/>
    <cellStyle name="常规 4 7 2 2 2" xfId="304"/>
    <cellStyle name="常规 4 7 2 3" xfId="305"/>
    <cellStyle name="常规 4 7 3" xfId="306"/>
    <cellStyle name="常规 4 8" xfId="307"/>
    <cellStyle name="常规 4 8 2" xfId="308"/>
    <cellStyle name="常规 4 8 2 2" xfId="309"/>
    <cellStyle name="常规 4 8 2 2 2" xfId="310"/>
    <cellStyle name="常规 4 8 2 3" xfId="311"/>
    <cellStyle name="常规 4 8 3" xfId="312"/>
    <cellStyle name="常规 4 9" xfId="313"/>
    <cellStyle name="常规 4 9 2" xfId="314"/>
    <cellStyle name="常规 4 9 2 2" xfId="315"/>
    <cellStyle name="常规 4 9 2 2 2" xfId="316"/>
    <cellStyle name="常规 4 9 2 3" xfId="317"/>
    <cellStyle name="常规 4 9 3" xfId="318"/>
    <cellStyle name="常规 5" xfId="5"/>
    <cellStyle name="常规 5 2" xfId="319"/>
    <cellStyle name="常规 5 2 2" xfId="320"/>
    <cellStyle name="常规 5 2 2 2" xfId="321"/>
    <cellStyle name="常规 5 2 2 2 2" xfId="322"/>
    <cellStyle name="常规 5 2 2 2 2 2" xfId="323"/>
    <cellStyle name="常规 5 2 2 2 2 2 2" xfId="324"/>
    <cellStyle name="常规 5 2 2 2 2 3" xfId="325"/>
    <cellStyle name="常规 5 2 2 2 3" xfId="326"/>
    <cellStyle name="常规 5 2 2 3" xfId="327"/>
    <cellStyle name="常规 5 2 2 3 2" xfId="328"/>
    <cellStyle name="常规 5 2 2 3 2 2" xfId="329"/>
    <cellStyle name="常规 5 2 2 3 3" xfId="330"/>
    <cellStyle name="常规 5 2 2 4" xfId="331"/>
    <cellStyle name="常规 5 2 3" xfId="332"/>
    <cellStyle name="常规 5 2 3 2" xfId="333"/>
    <cellStyle name="常规 5 2 3 2 2" xfId="334"/>
    <cellStyle name="常规 5 2 3 3" xfId="335"/>
    <cellStyle name="常规 5 2 4" xfId="336"/>
    <cellStyle name="常规 5 3" xfId="337"/>
    <cellStyle name="常规 5 4" xfId="30"/>
    <cellStyle name="常规 6" xfId="6"/>
    <cellStyle name="常规 6 2" xfId="9"/>
    <cellStyle name="常规 6 2 2" xfId="16"/>
    <cellStyle name="常规 6 2 2 2" xfId="338"/>
    <cellStyle name="常规 6 2 2 2 2" xfId="339"/>
    <cellStyle name="常规 6 2 2 2 2 2" xfId="340"/>
    <cellStyle name="常规 6 2 2 2 2 2 2" xfId="341"/>
    <cellStyle name="常规 6 2 2 2 2 3" xfId="342"/>
    <cellStyle name="常规 6 2 2 2 3" xfId="343"/>
    <cellStyle name="常规 6 2 2 3" xfId="344"/>
    <cellStyle name="常规 6 2 2 3 2" xfId="345"/>
    <cellStyle name="常规 6 2 2 3 2 2" xfId="346"/>
    <cellStyle name="常规 6 2 2 3 3" xfId="347"/>
    <cellStyle name="常规 6 2 2 4" xfId="348"/>
    <cellStyle name="常规 6 2 2 5" xfId="40"/>
    <cellStyle name="常规 6 2 3" xfId="13"/>
    <cellStyle name="常规 6 2 3 2" xfId="349"/>
    <cellStyle name="常规 6 2 3 2 2" xfId="350"/>
    <cellStyle name="常规 6 2 3 2 2 2" xfId="351"/>
    <cellStyle name="常规 6 2 3 2 3" xfId="352"/>
    <cellStyle name="常规 6 2 3 3" xfId="353"/>
    <cellStyle name="常规 6 2 3 4" xfId="38"/>
    <cellStyle name="常规 6 2 4" xfId="354"/>
    <cellStyle name="常规 6 2 5" xfId="34"/>
    <cellStyle name="常规 6 3" xfId="355"/>
    <cellStyle name="常规 6 4" xfId="31"/>
    <cellStyle name="常规 7" xfId="7"/>
    <cellStyle name="常规 7 2" xfId="356"/>
    <cellStyle name="常规 7 2 2" xfId="357"/>
    <cellStyle name="常规 7 2 2 2" xfId="358"/>
    <cellStyle name="常规 7 2 2 2 2" xfId="359"/>
    <cellStyle name="常规 7 2 2 2 2 2" xfId="360"/>
    <cellStyle name="常规 7 2 2 2 3" xfId="361"/>
    <cellStyle name="常规 7 2 2 3" xfId="362"/>
    <cellStyle name="常规 7 2 3" xfId="363"/>
    <cellStyle name="常规 7 2 3 2" xfId="364"/>
    <cellStyle name="常规 7 2 3 2 2" xfId="365"/>
    <cellStyle name="常规 7 2 3 2 2 2" xfId="366"/>
    <cellStyle name="常规 7 2 3 2 3" xfId="367"/>
    <cellStyle name="常规 7 2 3 3" xfId="368"/>
    <cellStyle name="常规 7 2 4" xfId="369"/>
    <cellStyle name="常规 7 3" xfId="370"/>
    <cellStyle name="常规 7 4" xfId="32"/>
    <cellStyle name="常规 8" xfId="11"/>
    <cellStyle name="常规 8 2" xfId="371"/>
    <cellStyle name="常规 8 2 2" xfId="372"/>
    <cellStyle name="常规 8 2 2 2" xfId="373"/>
    <cellStyle name="常规 8 2 2 2 2" xfId="374"/>
    <cellStyle name="常规 8 2 2 2 2 2" xfId="375"/>
    <cellStyle name="常规 8 2 2 2 2 2 2" xfId="376"/>
    <cellStyle name="常规 8 2 2 2 2 3" xfId="377"/>
    <cellStyle name="常规 8 2 2 2 3" xfId="378"/>
    <cellStyle name="常规 8 2 2 3" xfId="379"/>
    <cellStyle name="常规 8 2 2 3 2" xfId="380"/>
    <cellStyle name="常规 8 2 2 3 2 2" xfId="381"/>
    <cellStyle name="常规 8 2 2 3 3" xfId="382"/>
    <cellStyle name="常规 8 2 2 4" xfId="383"/>
    <cellStyle name="常规 8 2 3" xfId="384"/>
    <cellStyle name="常规 8 2 3 2" xfId="385"/>
    <cellStyle name="常规 8 2 3 2 2" xfId="386"/>
    <cellStyle name="常规 8 2 3 2 2 2" xfId="387"/>
    <cellStyle name="常规 8 2 3 2 3" xfId="388"/>
    <cellStyle name="常规 8 2 3 3" xfId="389"/>
    <cellStyle name="常规 8 2 4" xfId="390"/>
    <cellStyle name="常规 8 3" xfId="391"/>
    <cellStyle name="常规 8 3 2" xfId="392"/>
    <cellStyle name="常规 8 3 2 2" xfId="393"/>
    <cellStyle name="常规 8 3 2 2 2" xfId="394"/>
    <cellStyle name="常规 8 3 2 3" xfId="395"/>
    <cellStyle name="常规 8 3 3" xfId="396"/>
    <cellStyle name="常规 8 4" xfId="397"/>
    <cellStyle name="常规 8 4 2" xfId="398"/>
    <cellStyle name="常规 8 4 2 2" xfId="399"/>
    <cellStyle name="常规 8 4 2 2 2" xfId="400"/>
    <cellStyle name="常规 8 4 2 3" xfId="401"/>
    <cellStyle name="常规 8 4 3" xfId="402"/>
    <cellStyle name="常规 8 5" xfId="403"/>
    <cellStyle name="常规 8 5 2" xfId="404"/>
    <cellStyle name="常规 8 5 2 2" xfId="405"/>
    <cellStyle name="常规 8 5 2 2 2" xfId="406"/>
    <cellStyle name="常规 8 5 2 3" xfId="407"/>
    <cellStyle name="常规 8 5 3" xfId="408"/>
    <cellStyle name="常规 8 6" xfId="409"/>
    <cellStyle name="常规 8 6 2" xfId="410"/>
    <cellStyle name="常规 8 6 2 2" xfId="411"/>
    <cellStyle name="常规 8 6 2 2 2" xfId="412"/>
    <cellStyle name="常规 8 6 2 3" xfId="413"/>
    <cellStyle name="常规 8 6 3" xfId="414"/>
    <cellStyle name="常规 8 7" xfId="415"/>
    <cellStyle name="常规 8 8" xfId="36"/>
    <cellStyle name="常规 9" xfId="12"/>
    <cellStyle name="常规 9 2" xfId="416"/>
    <cellStyle name="常规 9 2 2" xfId="417"/>
    <cellStyle name="常规 9 2 2 2" xfId="418"/>
    <cellStyle name="常规 9 2 2 2 2" xfId="419"/>
    <cellStyle name="常规 9 2 2 3" xfId="420"/>
    <cellStyle name="常规 9 2 3" xfId="421"/>
    <cellStyle name="常规 9 3" xfId="422"/>
    <cellStyle name="常规 9 3 2" xfId="423"/>
    <cellStyle name="常规 9 3 2 2" xfId="424"/>
    <cellStyle name="常规 9 3 2 2 2" xfId="425"/>
    <cellStyle name="常规 9 3 2 2 2 2" xfId="426"/>
    <cellStyle name="常规 9 3 2 2 3" xfId="427"/>
    <cellStyle name="常规 9 3 2 3" xfId="428"/>
    <cellStyle name="常规 9 3 3" xfId="429"/>
    <cellStyle name="常规 9 3 3 2" xfId="430"/>
    <cellStyle name="常规 9 3 3 2 2" xfId="431"/>
    <cellStyle name="常规 9 3 3 3" xfId="432"/>
    <cellStyle name="常规 9 3 4" xfId="433"/>
    <cellStyle name="常规 9 4" xfId="434"/>
    <cellStyle name="常规 9 4 2" xfId="435"/>
    <cellStyle name="常规 9 4 2 2" xfId="436"/>
    <cellStyle name="常规 9 4 2 2 2" xfId="437"/>
    <cellStyle name="常规 9 4 2 2 2 2" xfId="438"/>
    <cellStyle name="常规 9 4 2 2 3" xfId="439"/>
    <cellStyle name="常规 9 4 2 3" xfId="440"/>
    <cellStyle name="常规 9 4 3" xfId="441"/>
    <cellStyle name="常规 9 5" xfId="442"/>
    <cellStyle name="常规 9 5 2" xfId="443"/>
    <cellStyle name="常规 9 5 2 2" xfId="444"/>
    <cellStyle name="常规 9 5 3" xfId="445"/>
    <cellStyle name="常规 9 6" xfId="446"/>
    <cellStyle name="常规 9 7" xfId="37"/>
    <cellStyle name="千位分隔 2" xfId="22"/>
    <cellStyle name="千位分隔 3" xfId="25"/>
    <cellStyle name="千位分隔 4" xfId="47"/>
    <cellStyle name="千位分隔[0] 2" xfId="24"/>
    <cellStyle name="千位分隔[0] 3" xfId="46"/>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37070;&#22253;Vintage&#65288;&#35199;&#2130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租赁情况"/>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面积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2864.5</v>
          </cell>
          <cell r="C14">
            <v>4638.1000000000004</v>
          </cell>
          <cell r="D14">
            <v>10856</v>
          </cell>
          <cell r="G14">
            <v>10856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北京市朝阳区郎家园6号10幢等17幢房地产市场价值预评估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受贵公司委托，我公司对北京市朝阳区郎家园6号10幢等17幢房地产市场价值进行了预评估。</v>
      </c>
    </row>
    <row r="7" spans="1:2" s="1203" customFormat="1">
      <c r="A7" s="1201" t="s">
        <v>566</v>
      </c>
      <c r="B7" s="1202" t="str">
        <f>'预评函-1'!A7</f>
        <v>估价对象为北京市朝阳区郎家园6号10幢等17幢房地产，为所有。根据《国有土地使用证》[]，估价对象（分摊）出让国有建设用地使用权面积为18455.76平方米，建筑面积为27202.3平方米。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郎家园6号10幢等17幢房地产,属开发建设的工业项目，该项目尚在开发建设中。根据《国有土地使用证》[]，估价对象（分摊）出让国有建设用地使用权面积为18455.76平方米，规划建筑面积为27202.3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郎家园6号10幢等17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2023年8月22日（评估专业人员实地查勘之日）</v>
      </c>
    </row>
    <row r="13" spans="1:2" s="1203" customFormat="1">
      <c r="A13" s="1201" t="s">
        <v>529</v>
      </c>
      <c r="B13" s="1202"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74426</v>
      </c>
    </row>
    <row r="21" spans="1:2" s="1203" customFormat="1">
      <c r="A21" s="1201" t="s">
        <v>537</v>
      </c>
      <c r="B21" s="1202">
        <f ca="1">'预评函-2'!D7</f>
        <v>27360</v>
      </c>
    </row>
    <row r="22" spans="1:2" s="1203" customFormat="1">
      <c r="A22" s="1201" t="s">
        <v>538</v>
      </c>
      <c r="B22" s="1202" t="str">
        <f ca="1">'预评函-2'!D6</f>
        <v>柒亿肆仟肆佰贰拾陆万元整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74426</v>
      </c>
    </row>
    <row r="31" spans="1:2" s="1203" customFormat="1">
      <c r="A31" s="1201" t="s">
        <v>576</v>
      </c>
      <c r="B31" s="1202">
        <f ca="1">'预评函-2'!D15</f>
        <v>27360</v>
      </c>
    </row>
    <row r="32" spans="1:2" s="1203" customFormat="1">
      <c r="A32" s="1201" t="s">
        <v>543</v>
      </c>
      <c r="B32" s="1202" t="str">
        <f ca="1">'预评函-2'!D14</f>
        <v>柒亿肆仟肆佰贰拾陆万元整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北京市朝阳区郎家园6号10幢等17幢房地产</v>
      </c>
    </row>
    <row r="42" spans="1:2" s="1203" customFormat="1">
      <c r="A42" s="1201" t="s">
        <v>590</v>
      </c>
      <c r="B42" s="1202" t="str">
        <f>'预评函-3'!B2</f>
        <v>建筑面积</v>
      </c>
    </row>
    <row r="43" spans="1:2" s="1203" customFormat="1">
      <c r="A43" s="1201" t="s">
        <v>591</v>
      </c>
      <c r="B43" s="1202">
        <f>'预评函-3'!B4</f>
        <v>27202.300000000003</v>
      </c>
    </row>
    <row r="44" spans="1:2" s="1203" customFormat="1">
      <c r="A44" s="1201" t="s">
        <v>575</v>
      </c>
      <c r="B44" s="1202" t="str">
        <f>'预评函-3'!C2</f>
        <v>(分摊)土地面积</v>
      </c>
    </row>
    <row r="45" spans="1:2" s="1203" customFormat="1">
      <c r="A45" s="1201" t="s">
        <v>547</v>
      </c>
      <c r="B45" s="1202">
        <f>'预评函-3'!C4</f>
        <v>18455.759999999998</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8" sqref="A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3337</v>
      </c>
    </row>
    <row r="8" spans="1:23">
      <c r="A8" s="1546" t="s">
        <v>1026</v>
      </c>
      <c r="B8" s="1546" t="s">
        <v>1027</v>
      </c>
      <c r="C8" s="1547" t="s">
        <v>319</v>
      </c>
      <c r="F8" s="1548" t="s">
        <v>1028</v>
      </c>
      <c r="H8" s="1548" t="s">
        <v>2570</v>
      </c>
      <c r="I8" s="1548" t="s">
        <v>3338</v>
      </c>
    </row>
    <row r="9" spans="1:23">
      <c r="A9" s="1546" t="s">
        <v>1029</v>
      </c>
      <c r="B9" s="1546" t="s">
        <v>1030</v>
      </c>
      <c r="C9" s="1547" t="s">
        <v>320</v>
      </c>
      <c r="F9" s="1548" t="s">
        <v>1031</v>
      </c>
      <c r="H9" s="1548"/>
      <c r="I9" s="1551" t="s">
        <v>3339</v>
      </c>
    </row>
    <row r="10" spans="1:23">
      <c r="A10" s="1546" t="s">
        <v>1032</v>
      </c>
      <c r="B10" s="1546" t="s">
        <v>1033</v>
      </c>
      <c r="C10" s="1547" t="s">
        <v>321</v>
      </c>
      <c r="F10" s="1548" t="s">
        <v>2571</v>
      </c>
      <c r="I10" s="1551" t="s">
        <v>3340</v>
      </c>
    </row>
    <row r="11" spans="1:23">
      <c r="A11" s="1546" t="s">
        <v>1034</v>
      </c>
      <c r="B11" s="1546" t="s">
        <v>1035</v>
      </c>
      <c r="C11" s="1547" t="s">
        <v>322</v>
      </c>
      <c r="F11" s="1548" t="s">
        <v>13</v>
      </c>
      <c r="I11" s="1551" t="s">
        <v>3341</v>
      </c>
    </row>
    <row r="12" spans="1:23">
      <c r="A12" s="1546" t="s">
        <v>1036</v>
      </c>
      <c r="B12" s="1546" t="s">
        <v>1037</v>
      </c>
      <c r="C12" s="1547" t="s">
        <v>323</v>
      </c>
      <c r="I12" s="1551" t="s">
        <v>3342</v>
      </c>
    </row>
    <row r="13" spans="1:23">
      <c r="A13" s="1546" t="s">
        <v>1038</v>
      </c>
      <c r="B13" s="1546" t="s">
        <v>1039</v>
      </c>
      <c r="C13" s="1547" t="s">
        <v>324</v>
      </c>
      <c r="I13" s="1551" t="s">
        <v>3343</v>
      </c>
    </row>
    <row r="14" spans="1:23">
      <c r="A14" s="1546" t="s">
        <v>1040</v>
      </c>
      <c r="B14" s="1546" t="s">
        <v>1041</v>
      </c>
      <c r="C14" s="1548" t="s">
        <v>13</v>
      </c>
      <c r="I14" s="1551" t="s">
        <v>3344</v>
      </c>
    </row>
    <row r="15" spans="1:23">
      <c r="A15" s="1546" t="s">
        <v>1042</v>
      </c>
      <c r="B15" s="1546" t="s">
        <v>1043</v>
      </c>
      <c r="C15" s="1547"/>
      <c r="I15" s="1551" t="s">
        <v>3345</v>
      </c>
    </row>
    <row r="16" spans="1:23">
      <c r="A16" s="1546" t="s">
        <v>1044</v>
      </c>
      <c r="B16" s="1546" t="s">
        <v>312</v>
      </c>
      <c r="C16" s="1547"/>
    </row>
    <row r="17" spans="1:3">
      <c r="A17" s="1546" t="s">
        <v>1045</v>
      </c>
      <c r="B17" s="1546" t="s">
        <v>2282</v>
      </c>
      <c r="C17" s="1547"/>
    </row>
    <row r="18" spans="1:3">
      <c r="A18" s="1546" t="s">
        <v>1046</v>
      </c>
      <c r="B18" s="1546" t="s">
        <v>2426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3418</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郎家园6号10幢等17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2493</v>
      </c>
      <c r="B1" s="3007"/>
      <c r="C1" s="3007"/>
      <c r="D1" s="3007"/>
      <c r="E1" s="3007"/>
      <c r="F1" s="3008"/>
      <c r="I1" s="3430" t="s">
        <v>2586</v>
      </c>
      <c r="J1" s="3219"/>
      <c r="K1" s="3219"/>
      <c r="L1" s="3219"/>
      <c r="M1" s="3219"/>
      <c r="N1" s="3431"/>
      <c r="O1" s="3431"/>
      <c r="P1" s="3431"/>
      <c r="Q1" s="3431"/>
      <c r="R1" s="3431"/>
    </row>
    <row r="2" spans="1:18">
      <c r="A2" s="3010"/>
      <c r="B2" s="3011"/>
      <c r="C2" s="3011"/>
      <c r="D2" s="3011"/>
      <c r="E2" s="3011"/>
      <c r="F2" s="3012"/>
      <c r="I2" s="3491" t="s">
        <v>2573</v>
      </c>
      <c r="J2" s="3491"/>
      <c r="K2" s="3491"/>
      <c r="L2" s="3491"/>
      <c r="M2" s="3491"/>
      <c r="N2" s="3491"/>
      <c r="O2" s="3491"/>
      <c r="P2" s="3491"/>
      <c r="Q2" s="3491"/>
      <c r="R2" s="3491"/>
    </row>
    <row r="3" spans="1:18">
      <c r="A3" s="3013" t="s">
        <v>2494</v>
      </c>
      <c r="B3" s="3014">
        <f>项目基本情况!D3</f>
        <v>45160</v>
      </c>
      <c r="C3" s="3016"/>
      <c r="D3" s="3016"/>
      <c r="E3" s="3016"/>
      <c r="F3" s="3012"/>
      <c r="I3" s="3432"/>
      <c r="J3" s="3432" t="s">
        <v>2577</v>
      </c>
      <c r="K3" s="3432" t="s">
        <v>2578</v>
      </c>
      <c r="L3" s="3432" t="s">
        <v>2579</v>
      </c>
      <c r="M3" s="3432" t="s">
        <v>2580</v>
      </c>
      <c r="N3" s="3433" t="s">
        <v>2581</v>
      </c>
      <c r="O3" s="3433" t="s">
        <v>2582</v>
      </c>
      <c r="P3" s="3433" t="s">
        <v>2583</v>
      </c>
      <c r="Q3" s="3433" t="s">
        <v>2584</v>
      </c>
      <c r="R3" s="3433" t="s">
        <v>2585</v>
      </c>
    </row>
    <row r="4" spans="1:18">
      <c r="A4" s="3013" t="s">
        <v>2495</v>
      </c>
      <c r="B4" s="3016" t="s">
        <v>2496</v>
      </c>
      <c r="C4" s="3016" t="s">
        <v>2497</v>
      </c>
      <c r="D4" s="3016" t="s">
        <v>2498</v>
      </c>
      <c r="E4" s="3016" t="s">
        <v>2499</v>
      </c>
      <c r="F4" s="3012"/>
      <c r="I4" s="3432" t="s">
        <v>2574</v>
      </c>
      <c r="J4" s="3432">
        <v>80</v>
      </c>
      <c r="K4" s="3432">
        <v>70</v>
      </c>
      <c r="L4" s="3432">
        <v>20</v>
      </c>
      <c r="M4" s="3432">
        <v>30</v>
      </c>
      <c r="N4" s="3016">
        <v>45</v>
      </c>
      <c r="O4" s="3016">
        <v>60</v>
      </c>
      <c r="P4" s="3016">
        <v>50</v>
      </c>
      <c r="Q4" s="3016">
        <v>20</v>
      </c>
      <c r="R4" s="3016">
        <v>375</v>
      </c>
    </row>
    <row r="5" spans="1:18">
      <c r="A5" s="3017">
        <v>40</v>
      </c>
      <c r="B5" s="3014">
        <v>46375</v>
      </c>
      <c r="C5" s="3016">
        <f>ROUNDDOWN(MIN((B5-B3)/365,A5),2)</f>
        <v>3.32</v>
      </c>
      <c r="D5" s="3018">
        <f>IF(ISERROR(ROUND(POWER(1+E5,A5-C5)*(POWER(1+E5,C5)-1)/(POWER(1+E5,A5)-1),3)),0,ROUND(POWER(1+E5,A5-C5)*(POWER(1+E5,C5)-1)/(POWER(1+E5,A5)-1),4))</f>
        <v>0.1542</v>
      </c>
      <c r="E5" s="3019">
        <v>0.04</v>
      </c>
      <c r="F5" s="3012"/>
      <c r="I5" s="3432" t="s">
        <v>2575</v>
      </c>
      <c r="J5" s="3432">
        <v>70</v>
      </c>
      <c r="K5" s="3432">
        <v>60</v>
      </c>
      <c r="L5" s="3432">
        <v>15</v>
      </c>
      <c r="M5" s="3432">
        <v>25</v>
      </c>
      <c r="N5" s="3016">
        <v>40</v>
      </c>
      <c r="O5" s="3016">
        <v>50</v>
      </c>
      <c r="P5" s="3016">
        <v>40</v>
      </c>
      <c r="Q5" s="3016">
        <v>15</v>
      </c>
      <c r="R5" s="3016">
        <v>315</v>
      </c>
    </row>
    <row r="6" spans="1:18">
      <c r="A6" s="3017">
        <v>50</v>
      </c>
      <c r="B6" s="3014">
        <v>50028</v>
      </c>
      <c r="C6" s="3016">
        <f>ROUNDDOWN(MIN((B6-B3)/365,A6),2)</f>
        <v>13.33</v>
      </c>
      <c r="D6" s="3018">
        <f>IF(ISERROR(ROUND(POWER(1+E6,A6-C6)*(POWER(1+E6,C6)-1)/(POWER(1+E6,A6)-1),3)),0,ROUND(POWER(1+E6,A6-C6)*(POWER(1+E6,C6)-1)/(POWER(1+E6,A6)-1),4))</f>
        <v>0.4738</v>
      </c>
      <c r="E6" s="3019">
        <v>0.04</v>
      </c>
      <c r="F6" s="3012"/>
      <c r="I6" s="3432" t="s">
        <v>2576</v>
      </c>
      <c r="J6" s="3432">
        <v>60</v>
      </c>
      <c r="K6" s="3432">
        <v>50</v>
      </c>
      <c r="L6" s="3432">
        <v>10</v>
      </c>
      <c r="M6" s="3432">
        <v>20</v>
      </c>
      <c r="N6" s="3016">
        <v>35</v>
      </c>
      <c r="O6" s="3016">
        <v>40</v>
      </c>
      <c r="P6" s="3016">
        <v>30</v>
      </c>
      <c r="Q6" s="3016">
        <v>10</v>
      </c>
      <c r="R6" s="3016">
        <v>255</v>
      </c>
    </row>
    <row r="7" spans="1:18">
      <c r="A7" s="3017">
        <v>70</v>
      </c>
      <c r="B7" s="3014">
        <v>57333</v>
      </c>
      <c r="C7" s="3016">
        <f>ROUNDDOWN(MIN((B7-B3)/365,A7),2)</f>
        <v>33.35</v>
      </c>
      <c r="D7" s="3018">
        <f>IF(ISERROR(ROUND(POWER(1+E7,A7-C7)*(POWER(1+E7,C7)-1)/(POWER(1+E7,A7)-1),3)),0,ROUND(POWER(1+E7,A7-C7)*(POWER(1+E7,C7)-1)/(POWER(1+E7,A7)-1),4))</f>
        <v>0.77969999999999995</v>
      </c>
      <c r="E7" s="3019">
        <v>0.04</v>
      </c>
      <c r="F7" s="3012"/>
    </row>
    <row r="8" spans="1:18">
      <c r="A8" s="3010"/>
      <c r="B8" s="3011"/>
      <c r="C8" s="3011"/>
      <c r="D8" s="3011"/>
      <c r="E8" s="3011"/>
      <c r="F8" s="3012"/>
    </row>
    <row r="9" spans="1:18">
      <c r="A9" s="3013" t="s">
        <v>2500</v>
      </c>
      <c r="B9" s="3016"/>
      <c r="C9" s="3016"/>
      <c r="D9" s="3016"/>
      <c r="E9" s="3016"/>
      <c r="F9" s="3020"/>
    </row>
    <row r="10" spans="1:18">
      <c r="A10" s="3013" t="s">
        <v>2501</v>
      </c>
      <c r="B10" s="3016"/>
      <c r="C10" s="3016"/>
      <c r="D10" s="3016" t="s">
        <v>2499</v>
      </c>
      <c r="E10" s="3016"/>
      <c r="F10" s="3020" t="s">
        <v>2498</v>
      </c>
    </row>
    <row r="11" spans="1:18">
      <c r="A11" s="3013" t="s">
        <v>2502</v>
      </c>
      <c r="B11" s="3021">
        <v>70</v>
      </c>
      <c r="C11" s="3016" t="s">
        <v>2503</v>
      </c>
      <c r="D11" s="3022">
        <v>4.4999999999999998E-2</v>
      </c>
      <c r="E11" s="3016" t="s">
        <v>2504</v>
      </c>
      <c r="F11" s="3023">
        <f>ROUND(1-(1/(POWER(1+D11,B11))),4)</f>
        <v>0.95409999999999995</v>
      </c>
    </row>
    <row r="12" spans="1:18">
      <c r="A12" s="3013" t="s">
        <v>2505</v>
      </c>
      <c r="B12" s="3021">
        <v>40</v>
      </c>
      <c r="C12" s="3016" t="s">
        <v>2506</v>
      </c>
      <c r="D12" s="3022">
        <v>4.4999999999999998E-2</v>
      </c>
      <c r="E12" s="3016" t="s">
        <v>2507</v>
      </c>
      <c r="F12" s="3023">
        <f>ROUND(1-(1/(POWER(1+D12,B12))),4)</f>
        <v>0.82809999999999995</v>
      </c>
    </row>
    <row r="13" spans="1:18">
      <c r="A13" s="3013" t="s">
        <v>2508</v>
      </c>
      <c r="B13" s="3016"/>
      <c r="C13" s="3016"/>
      <c r="D13" s="3011"/>
      <c r="E13" s="3011"/>
      <c r="F13" s="3012"/>
    </row>
    <row r="14" spans="1:18">
      <c r="A14" s="3013" t="s">
        <v>2509</v>
      </c>
      <c r="B14" s="3021">
        <v>5000</v>
      </c>
      <c r="C14" s="3015"/>
      <c r="D14" s="3011"/>
      <c r="E14" s="3011"/>
      <c r="F14" s="3012"/>
    </row>
    <row r="15" spans="1:18">
      <c r="A15" s="3013" t="s">
        <v>2510</v>
      </c>
      <c r="B15" s="3016">
        <f>ROUND(B14*F12/F11,2)</f>
        <v>4339.6899999999996</v>
      </c>
      <c r="C15" s="3016">
        <f>ROUND(F12/F11,4)</f>
        <v>0.8679</v>
      </c>
      <c r="D15" s="3011"/>
      <c r="E15" s="3011"/>
      <c r="F15" s="3012"/>
    </row>
    <row r="16" spans="1:18">
      <c r="A16" s="3013" t="s">
        <v>2511</v>
      </c>
      <c r="B16" s="3016"/>
      <c r="C16" s="3016"/>
      <c r="D16" s="3011"/>
      <c r="E16" s="3011"/>
      <c r="F16" s="3012"/>
    </row>
    <row r="17" spans="1:13">
      <c r="A17" s="3013" t="s">
        <v>2510</v>
      </c>
      <c r="B17" s="3022">
        <v>4810</v>
      </c>
      <c r="C17" s="3015"/>
      <c r="D17" s="3011"/>
      <c r="E17" s="3011"/>
      <c r="F17" s="3012"/>
    </row>
    <row r="18" spans="1:13" ht="14.25" thickBot="1">
      <c r="A18" s="3024" t="s">
        <v>2509</v>
      </c>
      <c r="B18" s="3025">
        <f>ROUND(B17*F11/F12,2)</f>
        <v>5541.87</v>
      </c>
      <c r="C18" s="3025">
        <f>ROUND(F11/F12,4)</f>
        <v>1.1521999999999999</v>
      </c>
      <c r="D18" s="3026"/>
      <c r="E18" s="3026"/>
      <c r="F18" s="3027"/>
    </row>
    <row r="19" spans="1:13" ht="14.25" thickBot="1"/>
    <row r="20" spans="1:13" s="3062" customFormat="1" ht="14.25" thickTop="1">
      <c r="A20" s="3059" t="s">
        <v>2512</v>
      </c>
      <c r="B20" s="3060"/>
      <c r="C20" s="3060"/>
      <c r="D20" s="3060"/>
      <c r="E20" s="3060"/>
      <c r="F20" s="3060"/>
      <c r="G20" s="3061"/>
      <c r="I20" s="3063" t="s">
        <v>2557</v>
      </c>
      <c r="J20" s="3063" t="s">
        <v>2562</v>
      </c>
      <c r="K20" s="3063"/>
      <c r="L20" s="3063"/>
      <c r="M20" s="3063"/>
    </row>
    <row r="21" spans="1:13">
      <c r="A21" s="3028"/>
      <c r="B21" s="3029" t="s">
        <v>2513</v>
      </c>
      <c r="C21" s="3029" t="s">
        <v>2514</v>
      </c>
      <c r="D21" s="3029" t="s">
        <v>2515</v>
      </c>
      <c r="E21" s="3029" t="s">
        <v>2516</v>
      </c>
      <c r="F21" s="3029" t="s">
        <v>2517</v>
      </c>
      <c r="G21" s="3030" t="s">
        <v>2518</v>
      </c>
      <c r="I21" s="3051">
        <v>5</v>
      </c>
      <c r="J21" s="3051">
        <v>54.2</v>
      </c>
    </row>
    <row r="22" spans="1:13">
      <c r="A22" s="3028" t="s">
        <v>2519</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2520</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2560</v>
      </c>
      <c r="M23" s="3051" t="s">
        <v>2561</v>
      </c>
    </row>
    <row r="24" spans="1:13">
      <c r="A24" s="3028" t="s">
        <v>2521</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2559</v>
      </c>
      <c r="M24" s="3051">
        <v>10</v>
      </c>
    </row>
    <row r="25" spans="1:13">
      <c r="A25" s="3028" t="s">
        <v>2522</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2563</v>
      </c>
      <c r="M25" s="3051">
        <v>8</v>
      </c>
    </row>
    <row r="26" spans="1:13">
      <c r="A26" s="3033"/>
      <c r="B26" s="3034"/>
      <c r="C26" s="3034"/>
      <c r="D26" s="3034"/>
      <c r="E26" s="3034"/>
      <c r="F26" s="3034"/>
      <c r="G26" s="3035"/>
      <c r="I26" s="3051">
        <v>30</v>
      </c>
      <c r="J26" s="3051">
        <v>90.5</v>
      </c>
      <c r="K26" s="3051">
        <f t="shared" si="2"/>
        <v>4.2000000000000028</v>
      </c>
      <c r="L26" s="3051" t="s">
        <v>2564</v>
      </c>
      <c r="M26" s="3051">
        <v>5</v>
      </c>
    </row>
    <row r="27" spans="1:13">
      <c r="A27" s="3033" t="s">
        <v>2523</v>
      </c>
      <c r="B27" s="3034"/>
      <c r="C27" s="3034"/>
      <c r="D27" s="3034"/>
      <c r="E27" s="3034"/>
      <c r="F27" s="3034"/>
      <c r="G27" s="3035"/>
      <c r="I27" s="3051">
        <v>35</v>
      </c>
      <c r="J27" s="3051">
        <v>93.8</v>
      </c>
      <c r="K27" s="3051">
        <f t="shared" si="2"/>
        <v>3.2999999999999972</v>
      </c>
      <c r="L27" s="3051" t="s">
        <v>2565</v>
      </c>
      <c r="M27" s="3051">
        <v>3</v>
      </c>
    </row>
    <row r="28" spans="1:13">
      <c r="A28" s="3033" t="s">
        <v>2524</v>
      </c>
      <c r="B28" s="3034"/>
      <c r="C28" s="3034"/>
      <c r="D28" s="3034"/>
      <c r="E28" s="3034"/>
      <c r="F28" s="3034"/>
      <c r="G28" s="3035"/>
      <c r="I28" s="3051">
        <v>40</v>
      </c>
      <c r="J28" s="3051">
        <v>96.4</v>
      </c>
      <c r="K28" s="3051">
        <f t="shared" si="2"/>
        <v>2.6000000000000085</v>
      </c>
      <c r="L28" s="3051" t="s">
        <v>2566</v>
      </c>
      <c r="M28" s="3051">
        <v>2</v>
      </c>
    </row>
    <row r="29" spans="1:13">
      <c r="A29" s="3033" t="s">
        <v>2525</v>
      </c>
      <c r="B29" s="3034"/>
      <c r="C29" s="3034"/>
      <c r="D29" s="3034"/>
      <c r="E29" s="3034"/>
      <c r="F29" s="3034"/>
      <c r="G29" s="3035"/>
      <c r="I29" s="3051">
        <v>45</v>
      </c>
      <c r="J29" s="3051">
        <v>98.4</v>
      </c>
      <c r="K29" s="3051">
        <f t="shared" si="2"/>
        <v>2</v>
      </c>
    </row>
    <row r="30" spans="1:13">
      <c r="A30" s="3033" t="s">
        <v>2526</v>
      </c>
      <c r="B30" s="3034"/>
      <c r="C30" s="3034"/>
      <c r="D30" s="3034"/>
      <c r="E30" s="3034"/>
      <c r="F30" s="3034"/>
      <c r="G30" s="3035"/>
      <c r="I30" s="3051">
        <v>50</v>
      </c>
      <c r="J30" s="3051">
        <v>100</v>
      </c>
      <c r="K30" s="3051">
        <f t="shared" si="2"/>
        <v>1.5999999999999943</v>
      </c>
    </row>
    <row r="31" spans="1:13">
      <c r="A31" s="3033" t="s">
        <v>2527</v>
      </c>
      <c r="B31" s="3034"/>
      <c r="C31" s="3034"/>
      <c r="D31" s="3034"/>
      <c r="E31" s="3034"/>
      <c r="F31" s="3034"/>
      <c r="G31" s="3035"/>
      <c r="I31" s="3051" t="s">
        <v>2558</v>
      </c>
    </row>
    <row r="32" spans="1:13">
      <c r="A32" s="3033" t="s">
        <v>2528</v>
      </c>
      <c r="B32" s="3034"/>
      <c r="C32" s="3034"/>
      <c r="D32" s="3034"/>
      <c r="E32" s="3034"/>
      <c r="F32" s="3034"/>
      <c r="G32" s="3035"/>
    </row>
    <row r="33" spans="1:13">
      <c r="A33" s="3033" t="s">
        <v>2529</v>
      </c>
      <c r="B33" s="3034"/>
      <c r="C33" s="3034"/>
      <c r="D33" s="3034"/>
      <c r="E33" s="3034"/>
      <c r="F33" s="3034"/>
      <c r="G33" s="3035"/>
      <c r="I33" s="3051" t="s">
        <v>2557</v>
      </c>
      <c r="J33" s="3051" t="s">
        <v>2567</v>
      </c>
    </row>
    <row r="34" spans="1:13">
      <c r="A34" s="3033" t="s">
        <v>2530</v>
      </c>
      <c r="B34" s="3034"/>
      <c r="C34" s="3034"/>
      <c r="D34" s="3034"/>
      <c r="E34" s="3034"/>
      <c r="F34" s="3034"/>
      <c r="G34" s="3035"/>
      <c r="I34" s="3051">
        <v>5</v>
      </c>
      <c r="J34" s="3051">
        <v>55.1</v>
      </c>
    </row>
    <row r="35" spans="1:13">
      <c r="A35" s="3033" t="s">
        <v>2531</v>
      </c>
      <c r="B35" s="3034"/>
      <c r="C35" s="3034"/>
      <c r="D35" s="3034"/>
      <c r="E35" s="3034"/>
      <c r="F35" s="3034"/>
      <c r="G35" s="3035"/>
      <c r="I35" s="3051">
        <v>10</v>
      </c>
      <c r="J35" s="3051">
        <v>67</v>
      </c>
      <c r="K35" s="3051">
        <f>J35-J34</f>
        <v>11.899999999999999</v>
      </c>
    </row>
    <row r="36" spans="1:13">
      <c r="A36" s="3033" t="s">
        <v>2532</v>
      </c>
      <c r="B36" s="3034"/>
      <c r="C36" s="3034"/>
      <c r="D36" s="3034"/>
      <c r="E36" s="3034"/>
      <c r="F36" s="3034"/>
      <c r="G36" s="3035"/>
      <c r="I36" s="3051">
        <v>15</v>
      </c>
      <c r="J36" s="3051">
        <v>76.3</v>
      </c>
      <c r="K36" s="3051">
        <f t="shared" ref="K36:K41" si="3">J36-J35</f>
        <v>9.2999999999999972</v>
      </c>
      <c r="L36" s="3051" t="s">
        <v>2560</v>
      </c>
      <c r="M36" s="3051" t="s">
        <v>2561</v>
      </c>
    </row>
    <row r="37" spans="1:13">
      <c r="A37" s="3033" t="s">
        <v>2533</v>
      </c>
      <c r="B37" s="3034"/>
      <c r="C37" s="3034"/>
      <c r="D37" s="3034"/>
      <c r="E37" s="3034"/>
      <c r="F37" s="3034"/>
      <c r="G37" s="3035"/>
      <c r="I37" s="3051">
        <v>20</v>
      </c>
      <c r="J37" s="3051">
        <v>83.6</v>
      </c>
      <c r="K37" s="3051">
        <f t="shared" si="3"/>
        <v>7.2999999999999972</v>
      </c>
      <c r="L37" s="3051" t="s">
        <v>2559</v>
      </c>
      <c r="M37" s="3051">
        <v>10</v>
      </c>
    </row>
    <row r="38" spans="1:13">
      <c r="A38" s="3033" t="s">
        <v>2534</v>
      </c>
      <c r="B38" s="3034"/>
      <c r="C38" s="3034"/>
      <c r="D38" s="3034"/>
      <c r="E38" s="3034"/>
      <c r="F38" s="3034"/>
      <c r="G38" s="3035"/>
      <c r="I38" s="3051">
        <v>25</v>
      </c>
      <c r="J38" s="3051">
        <v>89.3</v>
      </c>
      <c r="K38" s="3051">
        <f t="shared" si="3"/>
        <v>5.7000000000000028</v>
      </c>
      <c r="L38" s="3051" t="s">
        <v>2563</v>
      </c>
      <c r="M38" s="3051">
        <v>8</v>
      </c>
    </row>
    <row r="39" spans="1:13">
      <c r="A39" s="3033"/>
      <c r="B39" s="3034"/>
      <c r="C39" s="3034"/>
      <c r="D39" s="3034"/>
      <c r="E39" s="3034"/>
      <c r="F39" s="3034"/>
      <c r="G39" s="3035"/>
      <c r="I39" s="3051">
        <v>30</v>
      </c>
      <c r="J39" s="3051">
        <v>93.8</v>
      </c>
      <c r="K39" s="3051">
        <f t="shared" si="3"/>
        <v>4.5</v>
      </c>
      <c r="L39" s="3051" t="s">
        <v>2564</v>
      </c>
      <c r="M39" s="3051">
        <v>6</v>
      </c>
    </row>
    <row r="40" spans="1:13">
      <c r="A40" s="3036" t="s">
        <v>2535</v>
      </c>
      <c r="B40" s="3037"/>
      <c r="C40" s="3037"/>
      <c r="D40" s="3037"/>
      <c r="E40" s="3037"/>
      <c r="F40" s="3037"/>
      <c r="G40" s="3038"/>
      <c r="I40" s="3051">
        <v>35</v>
      </c>
      <c r="J40" s="3051">
        <v>97.2</v>
      </c>
      <c r="K40" s="3051">
        <f t="shared" si="3"/>
        <v>3.4000000000000057</v>
      </c>
      <c r="L40" s="3051" t="s">
        <v>2565</v>
      </c>
      <c r="M40" s="3051">
        <v>3</v>
      </c>
    </row>
    <row r="41" spans="1:13">
      <c r="A41" s="3039" t="s">
        <v>2536</v>
      </c>
      <c r="B41" s="3040" t="s">
        <v>2537</v>
      </c>
      <c r="C41" s="3041" t="s">
        <v>2538</v>
      </c>
      <c r="D41" s="3041" t="s">
        <v>2539</v>
      </c>
      <c r="E41" s="3042"/>
      <c r="F41" s="3043"/>
      <c r="G41" s="3044"/>
      <c r="I41" s="3051">
        <v>40</v>
      </c>
      <c r="J41" s="3051">
        <v>100</v>
      </c>
      <c r="K41" s="3051">
        <f t="shared" si="3"/>
        <v>2.7999999999999972</v>
      </c>
    </row>
    <row r="42" spans="1:13">
      <c r="A42" s="3039" t="s">
        <v>2540</v>
      </c>
      <c r="B42" s="3040" t="s">
        <v>2541</v>
      </c>
      <c r="C42" s="3041" t="s">
        <v>2542</v>
      </c>
      <c r="D42" s="3045" t="s">
        <v>2543</v>
      </c>
      <c r="E42" s="3037" t="s">
        <v>2544</v>
      </c>
      <c r="F42" s="3037"/>
      <c r="G42" s="3038"/>
    </row>
    <row r="43" spans="1:13">
      <c r="A43" s="3039" t="s">
        <v>2545</v>
      </c>
      <c r="B43" s="3040" t="s">
        <v>2546</v>
      </c>
      <c r="C43" s="3041" t="s">
        <v>2547</v>
      </c>
      <c r="D43" s="3041" t="s">
        <v>2548</v>
      </c>
      <c r="E43" s="3042" t="s">
        <v>2549</v>
      </c>
      <c r="F43" s="3043"/>
      <c r="G43" s="3044"/>
      <c r="I43" s="3051" t="s">
        <v>2557</v>
      </c>
      <c r="J43" s="3051" t="s">
        <v>2568</v>
      </c>
    </row>
    <row r="44" spans="1:13">
      <c r="A44" s="3039" t="s">
        <v>2550</v>
      </c>
      <c r="B44" s="3040" t="s">
        <v>2551</v>
      </c>
      <c r="C44" s="3041" t="s">
        <v>2552</v>
      </c>
      <c r="D44" s="3045">
        <v>0.5</v>
      </c>
      <c r="E44" s="3042" t="s">
        <v>2553</v>
      </c>
      <c r="F44" s="3043"/>
      <c r="G44" s="3044"/>
      <c r="I44" s="3051">
        <v>30</v>
      </c>
      <c r="J44" s="3051">
        <v>81.7</v>
      </c>
    </row>
    <row r="45" spans="1:13" ht="14.25" thickBot="1">
      <c r="A45" s="3046" t="s">
        <v>2554</v>
      </c>
      <c r="B45" s="3047" t="s">
        <v>2541</v>
      </c>
      <c r="C45" s="3048" t="s">
        <v>2541</v>
      </c>
      <c r="D45" s="3048" t="s">
        <v>2555</v>
      </c>
      <c r="E45" s="3049" t="s">
        <v>2556</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45" sqref="H4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1" customWidth="1"/>
    <col min="12" max="13" width="10" style="2622"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2167</v>
      </c>
      <c r="B1" s="3492" t="str">
        <f>IF(B10="北京市","北京市",C10)&amp;F10&amp;IF(结果表!G1="在建","出让国有建设用地使用权及在建建筑物",IF(结果表!G1="土地","出让国有建设用地使用权",))&amp;B9&amp;"预评估"</f>
        <v>北京市朝阳区郎家园6号10幢等17幢房地产市场价值预评估</v>
      </c>
      <c r="C1" s="3493"/>
      <c r="D1" s="3493"/>
      <c r="E1" s="3493"/>
      <c r="F1" s="3493"/>
      <c r="G1" s="3493"/>
      <c r="H1" s="3493"/>
      <c r="I1" s="3494"/>
      <c r="J1" s="2465"/>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北京市朝阳区郎家园6号10幢等17幢房地产市场价值</v>
      </c>
      <c r="T1" s="1745"/>
      <c r="U1" s="1745"/>
      <c r="V1" s="1745"/>
      <c r="W1" s="1745"/>
      <c r="X1" s="1745"/>
      <c r="Y1" s="1745"/>
      <c r="Z1" s="1745"/>
      <c r="AA1" s="1745"/>
      <c r="AB1" s="1745"/>
    </row>
    <row r="2" spans="1:30">
      <c r="A2" s="2365" t="s">
        <v>2168</v>
      </c>
      <c r="B2" s="2369"/>
      <c r="C2" s="2370"/>
      <c r="D2" s="2663"/>
      <c r="E2" s="2655"/>
      <c r="F2" s="2655"/>
      <c r="G2" s="2656"/>
      <c r="H2" s="2656"/>
      <c r="I2" s="2656"/>
      <c r="J2" s="2465"/>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北京市朝阳区郎家园6号10幢等17幢房地产</v>
      </c>
      <c r="T2" s="1745"/>
      <c r="U2" s="1745"/>
      <c r="V2" s="1745"/>
      <c r="W2" s="1745"/>
      <c r="X2" s="1745"/>
      <c r="Y2" s="1745"/>
      <c r="Z2" s="1745"/>
      <c r="AA2" s="1745"/>
      <c r="AB2" s="1745"/>
    </row>
    <row r="3" spans="1:30">
      <c r="A3" s="302" t="s">
        <v>2169</v>
      </c>
      <c r="B3" s="2371">
        <v>45160</v>
      </c>
      <c r="C3" s="2372" t="s">
        <v>2170</v>
      </c>
      <c r="D3" s="2371">
        <f>B3</f>
        <v>45160</v>
      </c>
      <c r="E3" s="2656"/>
      <c r="F3" s="2656"/>
      <c r="G3" s="2656"/>
      <c r="H3" s="2656"/>
      <c r="I3" s="2656"/>
      <c r="J3" s="2465"/>
      <c r="K3" s="2366"/>
      <c r="L3" s="2367"/>
      <c r="M3" s="2367"/>
      <c r="N3" s="2368"/>
      <c r="O3" s="1576"/>
      <c r="P3" s="2368"/>
      <c r="Q3" s="2368"/>
      <c r="R3" s="2368"/>
      <c r="S3" s="1682"/>
      <c r="T3" s="1745"/>
      <c r="U3" s="1745"/>
      <c r="V3" s="1745"/>
      <c r="W3" s="1745"/>
      <c r="X3" s="1745"/>
      <c r="Y3" s="1745"/>
      <c r="Z3" s="1745"/>
      <c r="AA3" s="1745"/>
      <c r="AB3" s="1745"/>
    </row>
    <row r="4" spans="1:30" ht="13.5" thickBot="1">
      <c r="A4" s="1090" t="s">
        <v>2171</v>
      </c>
      <c r="B4" s="2373" t="s">
        <v>3369</v>
      </c>
      <c r="C4" s="2374">
        <f ca="1">SUMIF(注册房地产估价师,B4,估价师及机构信息!B3:B24)</f>
        <v>1120100036</v>
      </c>
      <c r="D4" s="2373" t="s">
        <v>3370</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2172</v>
      </c>
      <c r="B5" s="2378"/>
      <c r="C5" s="2379"/>
      <c r="D5" s="2380"/>
      <c r="E5" s="2657"/>
      <c r="F5" s="2657"/>
      <c r="G5" s="2657"/>
      <c r="H5" s="2657"/>
      <c r="I5" s="2657"/>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2173</v>
      </c>
      <c r="B6" s="2382"/>
      <c r="C6" s="2383"/>
      <c r="D6" s="2384"/>
      <c r="E6" s="2655"/>
      <c r="F6" s="2657"/>
      <c r="G6" s="2657"/>
      <c r="H6" s="2657"/>
      <c r="I6" s="2657"/>
      <c r="J6" s="2437"/>
      <c r="K6" s="2608" t="str">
        <f>IF(COUNTIF(B6,"*上海银行*"),"上海银行","")</f>
        <v/>
      </c>
      <c r="L6" s="2606"/>
      <c r="M6" s="2606"/>
      <c r="N6" s="2437"/>
      <c r="O6" s="2448"/>
      <c r="P6" s="2437"/>
      <c r="Q6" s="2437"/>
      <c r="R6" s="2437"/>
    </row>
    <row r="7" spans="1:30">
      <c r="A7" s="2381" t="s">
        <v>2174</v>
      </c>
      <c r="B7" s="2385"/>
      <c r="C7" s="2383"/>
      <c r="D7" s="2384"/>
      <c r="E7" s="2655"/>
      <c r="F7" s="2657"/>
      <c r="G7" s="2657"/>
      <c r="H7" s="2657"/>
      <c r="I7" s="2657"/>
      <c r="J7" s="2437"/>
      <c r="K7" s="2609"/>
      <c r="L7" s="2606"/>
      <c r="M7" s="2606"/>
      <c r="N7" s="2437"/>
      <c r="O7" s="2448"/>
      <c r="P7" s="2437"/>
      <c r="Q7" s="2437"/>
      <c r="R7" s="2437"/>
    </row>
    <row r="8" spans="1:30">
      <c r="A8" s="2386" t="s">
        <v>2175</v>
      </c>
      <c r="B8" s="2387" t="s">
        <v>3371</v>
      </c>
      <c r="C8" s="2388"/>
      <c r="D8" s="3495" t="s">
        <v>2176</v>
      </c>
      <c r="E8" s="2389" t="s">
        <v>3373</v>
      </c>
      <c r="F8" s="2390"/>
      <c r="G8" s="2656"/>
      <c r="H8" s="2656"/>
      <c r="I8" s="2656"/>
      <c r="J8" s="2437"/>
      <c r="K8" s="2607"/>
      <c r="L8" s="2606"/>
      <c r="M8" s="2606"/>
      <c r="N8" s="2437"/>
      <c r="O8" s="2448"/>
      <c r="P8" s="2437"/>
      <c r="Q8" s="2437"/>
      <c r="R8" s="2437"/>
    </row>
    <row r="9" spans="1:30" ht="13.5" thickBot="1">
      <c r="A9" s="2391" t="s">
        <v>2177</v>
      </c>
      <c r="B9" s="2392" t="s">
        <v>3372</v>
      </c>
      <c r="C9" s="2393"/>
      <c r="D9" s="3496"/>
      <c r="E9" s="2392" t="s">
        <v>43</v>
      </c>
      <c r="F9" s="2394"/>
      <c r="G9" s="2658"/>
      <c r="H9" s="2658"/>
      <c r="I9" s="2658"/>
      <c r="J9" s="2437"/>
      <c r="K9" s="2609"/>
      <c r="L9" s="2606"/>
      <c r="M9" s="2606"/>
      <c r="N9" s="2437"/>
      <c r="O9" s="2448"/>
      <c r="P9" s="2437"/>
      <c r="Q9" s="2437"/>
      <c r="R9" s="2437"/>
    </row>
    <row r="10" spans="1:30" ht="13.5" thickTop="1">
      <c r="A10" s="2395" t="s">
        <v>2178</v>
      </c>
      <c r="B10" s="2396" t="s">
        <v>3374</v>
      </c>
      <c r="C10" s="2397"/>
      <c r="D10" s="2380"/>
      <c r="E10" s="2398" t="s">
        <v>2179</v>
      </c>
      <c r="F10" s="2659" t="s">
        <v>3411</v>
      </c>
      <c r="G10" s="2660"/>
      <c r="H10" s="2661"/>
      <c r="I10" s="2662"/>
      <c r="J10" s="2437"/>
      <c r="K10" s="2609"/>
      <c r="L10" s="2606"/>
      <c r="M10" s="2606"/>
      <c r="N10" s="2437"/>
      <c r="O10" s="2448"/>
      <c r="P10" s="2437"/>
      <c r="Q10" s="2437"/>
      <c r="R10" s="2437"/>
    </row>
    <row r="11" spans="1:30">
      <c r="A11" s="2399" t="s">
        <v>2180</v>
      </c>
      <c r="B11" s="2400" t="s">
        <v>3375</v>
      </c>
      <c r="C11" s="2401"/>
      <c r="D11" s="2402"/>
      <c r="E11" s="2368"/>
      <c r="F11" s="2368"/>
      <c r="G11" s="2368"/>
      <c r="H11" s="2368"/>
      <c r="I11" s="2368"/>
      <c r="J11" s="3054"/>
      <c r="K11" s="3053"/>
      <c r="L11" s="2606"/>
      <c r="M11" s="2606"/>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2" t="s">
        <v>2569</v>
      </c>
      <c r="J12" s="3055"/>
      <c r="K12" s="2606"/>
      <c r="L12" s="2606"/>
      <c r="M12" s="2437"/>
      <c r="N12" s="2448"/>
      <c r="O12" s="2437"/>
      <c r="P12" s="2437"/>
      <c r="Q12" s="2437"/>
      <c r="AD12" s="1745"/>
    </row>
    <row r="13" spans="1:30">
      <c r="A13" s="3416" t="s">
        <v>3327</v>
      </c>
      <c r="B13" s="2405" t="s">
        <v>2189</v>
      </c>
      <c r="C13" s="856"/>
      <c r="D13" s="856"/>
      <c r="E13" s="856"/>
      <c r="F13" s="856"/>
      <c r="G13" s="856"/>
      <c r="H13" s="856">
        <v>53775</v>
      </c>
      <c r="I13" s="856"/>
      <c r="J13" s="3055"/>
      <c r="K13" s="2606"/>
      <c r="L13" s="2606"/>
      <c r="M13" s="2437"/>
      <c r="N13" s="2448"/>
      <c r="O13" s="2437"/>
      <c r="P13" s="2437"/>
      <c r="Q13" s="2437"/>
      <c r="AD13" s="1745"/>
    </row>
    <row r="14" spans="1:30">
      <c r="A14" s="1081"/>
      <c r="B14" s="2405" t="s">
        <v>2190</v>
      </c>
      <c r="C14" s="2406">
        <v>70</v>
      </c>
      <c r="D14" s="2406">
        <v>40</v>
      </c>
      <c r="E14" s="2406">
        <v>50</v>
      </c>
      <c r="F14" s="2406">
        <v>50</v>
      </c>
      <c r="G14" s="2406">
        <v>50</v>
      </c>
      <c r="H14" s="2406">
        <v>50</v>
      </c>
      <c r="I14" s="2406">
        <v>50</v>
      </c>
      <c r="J14" s="3056"/>
      <c r="K14" s="2606"/>
      <c r="L14" s="2606"/>
      <c r="M14" s="2437"/>
      <c r="N14" s="2448"/>
      <c r="O14" s="2437"/>
      <c r="P14" s="2437"/>
      <c r="Q14" s="2437"/>
      <c r="AD14" s="1745"/>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23.6</v>
      </c>
      <c r="I15" s="2408" t="str">
        <f>IF(A13="出让",IF(I13="","",ROUNDDOWN(MIN((I13-$D$3)/365,I14),2)),I14)</f>
        <v/>
      </c>
      <c r="J15" s="3057"/>
      <c r="K15" s="2449"/>
      <c r="L15" s="2449"/>
      <c r="M15" s="2502"/>
      <c r="N15" s="2449"/>
      <c r="O15" s="2502"/>
      <c r="P15" s="2437"/>
      <c r="Q15" s="2437"/>
      <c r="AD15" s="1745"/>
    </row>
    <row r="16" spans="1:30">
      <c r="A16" s="2398" t="s">
        <v>2192</v>
      </c>
      <c r="B16" s="3502"/>
      <c r="C16" s="3503"/>
      <c r="D16" s="3504"/>
      <c r="E16" s="2411" t="s">
        <v>2193</v>
      </c>
      <c r="F16" s="3505"/>
      <c r="G16" s="3506"/>
      <c r="H16" s="3506"/>
      <c r="I16" s="3507"/>
      <c r="J16" s="2437"/>
      <c r="K16" s="2610"/>
      <c r="L16" s="2449"/>
      <c r="M16" s="2449"/>
      <c r="N16" s="2502"/>
      <c r="O16" s="2449"/>
      <c r="P16" s="2502"/>
      <c r="Q16" s="2437"/>
      <c r="R16" s="2437"/>
    </row>
    <row r="17" spans="1:28">
      <c r="A17" s="313" t="s">
        <v>2194</v>
      </c>
      <c r="B17" s="302" t="s">
        <v>2195</v>
      </c>
      <c r="C17" s="8">
        <f>'数据-汇总表'!E3</f>
        <v>27202.300000000003</v>
      </c>
      <c r="D17" s="2320" t="s">
        <v>2196</v>
      </c>
      <c r="E17" s="3508" t="s">
        <v>2197</v>
      </c>
      <c r="F17" s="3509"/>
      <c r="G17" s="3509"/>
      <c r="H17" s="3509"/>
      <c r="I17" s="3510"/>
      <c r="J17" s="2437"/>
      <c r="K17" s="2611"/>
      <c r="L17" s="2449"/>
      <c r="M17" s="2449"/>
      <c r="N17" s="2502"/>
      <c r="O17" s="2449"/>
      <c r="P17" s="2502"/>
      <c r="Q17" s="2437"/>
      <c r="R17" s="2437"/>
      <c r="S17" s="2437"/>
      <c r="T17" s="2437"/>
      <c r="U17" s="2437"/>
      <c r="V17" s="2437"/>
    </row>
    <row r="18" spans="1:28" ht="24.75" thickBot="1">
      <c r="A18" s="2412" t="s">
        <v>2198</v>
      </c>
      <c r="B18" s="1090" t="s">
        <v>2199</v>
      </c>
      <c r="C18" s="2413">
        <f>'数据-汇总表'!D3</f>
        <v>18455.759999999998</v>
      </c>
      <c r="D18" s="1092" t="s">
        <v>2200</v>
      </c>
      <c r="E18" s="3511" t="s">
        <v>2201</v>
      </c>
      <c r="F18" s="3512"/>
      <c r="G18" s="3512"/>
      <c r="H18" s="3512"/>
      <c r="I18" s="3513"/>
      <c r="J18" s="2437"/>
      <c r="K18" s="2611"/>
      <c r="L18" s="2449"/>
      <c r="M18" s="2449"/>
      <c r="N18" s="2502"/>
      <c r="O18" s="2449"/>
      <c r="P18" s="2502"/>
      <c r="Q18" s="2437"/>
      <c r="R18" s="2437"/>
      <c r="S18" s="2437"/>
      <c r="T18" s="2437"/>
      <c r="U18" s="2437"/>
      <c r="V18" s="2437"/>
    </row>
    <row r="19" spans="1:28" ht="37.5" thickTop="1" thickBot="1">
      <c r="A19" s="327" t="s">
        <v>1055</v>
      </c>
      <c r="B19" s="307" t="s">
        <v>2202</v>
      </c>
      <c r="C19" s="1563"/>
      <c r="D19" s="1564" t="s">
        <v>2203</v>
      </c>
      <c r="E19" s="1565"/>
      <c r="F19" s="1566" t="str">
        <f>IF(AND(C19="是",E19="否"),"是否提供他项权证或相关说明","")</f>
        <v/>
      </c>
      <c r="G19" s="1567"/>
      <c r="H19" s="2657"/>
      <c r="I19" s="2657"/>
      <c r="J19" s="2437"/>
      <c r="K19" s="2609"/>
      <c r="L19" s="2606"/>
      <c r="M19" s="2606"/>
      <c r="N19" s="2502"/>
      <c r="O19" s="2449"/>
      <c r="P19" s="2502"/>
      <c r="Q19" s="2437"/>
      <c r="R19" s="2437"/>
      <c r="S19" s="2437"/>
      <c r="T19" s="2437"/>
      <c r="U19" s="2437"/>
      <c r="V19" s="2437"/>
    </row>
    <row r="20" spans="1:28">
      <c r="A20" s="2625" t="s">
        <v>2204</v>
      </c>
      <c r="B20" s="3498" t="s">
        <v>2205</v>
      </c>
      <c r="C20" s="3499"/>
      <c r="D20" s="3500" t="s">
        <v>2206</v>
      </c>
      <c r="E20" s="3501"/>
      <c r="F20" s="2640" t="s">
        <v>1056</v>
      </c>
      <c r="G20" s="2657"/>
      <c r="H20" s="2657"/>
      <c r="I20" s="2657"/>
      <c r="J20" s="2437"/>
      <c r="K20" s="3497" t="s">
        <v>2207</v>
      </c>
      <c r="L20" s="684"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6.25" thickBot="1">
      <c r="A21" s="2625"/>
      <c r="B21" s="2626" t="s">
        <v>3412</v>
      </c>
      <c r="C21" s="2627" t="s">
        <v>3413</v>
      </c>
      <c r="D21" s="1568" t="s">
        <v>2208</v>
      </c>
      <c r="E21" s="2628" t="s">
        <v>3413</v>
      </c>
      <c r="F21" s="2641"/>
      <c r="G21" s="2657"/>
      <c r="H21" s="2657"/>
      <c r="I21" s="2657"/>
      <c r="J21" s="2437"/>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25"/>
      <c r="B22" s="2629" t="s">
        <v>2209</v>
      </c>
      <c r="C22" s="2627" t="s">
        <v>1057</v>
      </c>
      <c r="D22" s="2656"/>
      <c r="E22" s="2656"/>
      <c r="F22" s="2656"/>
      <c r="G22" s="2657"/>
      <c r="H22" s="2657"/>
      <c r="I22" s="2657"/>
      <c r="J22" s="2437"/>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0" t="s">
        <v>2210</v>
      </c>
      <c r="B23" s="2495" t="s">
        <v>2211</v>
      </c>
      <c r="C23" s="2631"/>
      <c r="D23" s="2632" t="s">
        <v>2211</v>
      </c>
      <c r="E23" s="2633"/>
      <c r="F23" s="2656"/>
      <c r="G23" s="2657"/>
      <c r="H23" s="2657"/>
      <c r="I23" s="2657"/>
      <c r="J23" s="2437"/>
      <c r="K23" s="2612"/>
      <c r="L23" s="2468"/>
      <c r="M23" s="2606"/>
      <c r="N23" s="2502"/>
      <c r="O23" s="2449"/>
      <c r="P23" s="2502"/>
      <c r="Q23" s="2437"/>
      <c r="R23" s="2437"/>
      <c r="S23" s="2437"/>
      <c r="T23" s="2437"/>
      <c r="U23" s="2437"/>
      <c r="V23" s="2437"/>
    </row>
    <row r="24" spans="1:28">
      <c r="A24" s="2630"/>
      <c r="B24" s="2495" t="s">
        <v>1058</v>
      </c>
      <c r="C24" s="2634"/>
      <c r="D24" s="2630" t="s">
        <v>1058</v>
      </c>
      <c r="E24" s="2635"/>
      <c r="F24" s="2656"/>
      <c r="G24" s="2657"/>
      <c r="H24" s="2657"/>
      <c r="I24" s="2657"/>
      <c r="J24" s="2437"/>
      <c r="K24" s="2612"/>
      <c r="L24" s="2468"/>
      <c r="M24" s="2606"/>
      <c r="N24" s="2502"/>
      <c r="O24" s="2449"/>
      <c r="P24" s="2502"/>
      <c r="Q24" s="2437"/>
      <c r="R24" s="2437"/>
      <c r="S24" s="2437"/>
      <c r="T24" s="2437"/>
      <c r="U24" s="2437"/>
      <c r="V24" s="2437"/>
    </row>
    <row r="25" spans="1:28">
      <c r="A25" s="2630"/>
      <c r="B25" s="2495" t="s">
        <v>1059</v>
      </c>
      <c r="C25" s="2634"/>
      <c r="D25" s="2630" t="s">
        <v>1059</v>
      </c>
      <c r="E25" s="2635"/>
      <c r="F25" s="2656"/>
      <c r="G25" s="2657"/>
      <c r="H25" s="2657"/>
      <c r="I25" s="2657"/>
      <c r="J25" s="2437"/>
      <c r="K25" s="2609"/>
      <c r="L25" s="2606"/>
      <c r="M25" s="2606"/>
      <c r="N25" s="2502"/>
      <c r="O25" s="2449"/>
      <c r="P25" s="2502"/>
      <c r="Q25" s="2437"/>
      <c r="R25" s="2437"/>
      <c r="S25" s="2437"/>
      <c r="T25" s="2437"/>
      <c r="U25" s="2437"/>
      <c r="V25" s="2437"/>
    </row>
    <row r="26" spans="1:28" ht="13.5" thickBot="1">
      <c r="A26" s="2636"/>
      <c r="B26" s="2637" t="s">
        <v>1060</v>
      </c>
      <c r="C26" s="2638"/>
      <c r="D26" s="2636" t="s">
        <v>1060</v>
      </c>
      <c r="E26" s="2639"/>
      <c r="F26" s="2658"/>
      <c r="G26" s="2658"/>
      <c r="H26" s="2658"/>
      <c r="I26" s="2658"/>
      <c r="J26" s="2437"/>
      <c r="K26" s="2609"/>
      <c r="L26" s="2606"/>
      <c r="M26" s="2606"/>
      <c r="N26" s="2502"/>
      <c r="O26" s="2449"/>
      <c r="P26" s="2502"/>
      <c r="Q26" s="2437"/>
      <c r="R26" s="2437"/>
      <c r="S26" s="2437"/>
      <c r="T26" s="2437"/>
      <c r="U26" s="2437"/>
      <c r="V26" s="2437"/>
    </row>
    <row r="27" spans="1:28" ht="13.5" thickTop="1">
      <c r="A27" s="3515" t="s">
        <v>2212</v>
      </c>
      <c r="B27" s="320" t="s">
        <v>2213</v>
      </c>
      <c r="C27" s="2414" t="s">
        <v>3414</v>
      </c>
      <c r="D27" s="2415"/>
      <c r="E27" s="2657"/>
      <c r="F27" s="2657"/>
      <c r="G27" s="2657"/>
      <c r="H27" s="2657"/>
      <c r="I27" s="2657"/>
      <c r="J27" s="2437"/>
      <c r="K27" s="2610"/>
      <c r="L27" s="2449"/>
      <c r="M27" s="2449"/>
      <c r="N27" s="2502"/>
      <c r="O27" s="2449"/>
      <c r="P27" s="2502"/>
      <c r="Q27" s="2437"/>
      <c r="R27" s="2437"/>
      <c r="S27" s="2437"/>
      <c r="T27" s="2437"/>
      <c r="U27" s="2437"/>
      <c r="V27" s="2437"/>
    </row>
    <row r="28" spans="1:28">
      <c r="A28" s="3515"/>
      <c r="B28" s="302" t="s">
        <v>2214</v>
      </c>
      <c r="C28" s="2416" t="s">
        <v>3415</v>
      </c>
      <c r="D28" s="2417"/>
      <c r="E28" s="2657"/>
      <c r="F28" s="2657"/>
      <c r="G28" s="2657"/>
      <c r="H28" s="2657"/>
      <c r="I28" s="2657"/>
      <c r="J28" s="2437"/>
      <c r="K28" s="2609"/>
      <c r="L28" s="2606"/>
      <c r="M28" s="2606"/>
      <c r="N28" s="2437"/>
      <c r="O28" s="2448"/>
      <c r="P28" s="2437"/>
      <c r="Q28" s="2437"/>
      <c r="R28" s="2437"/>
      <c r="S28" s="2437"/>
      <c r="T28" s="2437"/>
      <c r="U28" s="2437"/>
      <c r="V28" s="2437"/>
    </row>
    <row r="29" spans="1:28">
      <c r="A29" s="3515"/>
      <c r="B29" s="302" t="s">
        <v>2215</v>
      </c>
      <c r="C29" s="2418" t="s">
        <v>3408</v>
      </c>
      <c r="D29" s="2419"/>
      <c r="E29" s="2657"/>
      <c r="F29" s="2657"/>
      <c r="G29" s="2657"/>
      <c r="H29" s="2657"/>
      <c r="I29" s="2657"/>
      <c r="J29" s="2437"/>
      <c r="K29" s="2609"/>
      <c r="L29" s="2606"/>
      <c r="M29" s="2606"/>
      <c r="N29" s="2437"/>
      <c r="O29" s="2448"/>
      <c r="P29" s="2437"/>
      <c r="Q29" s="2437"/>
      <c r="R29" s="2437"/>
      <c r="S29" s="2437"/>
      <c r="T29" s="2437"/>
      <c r="U29" s="2437"/>
      <c r="V29" s="2437"/>
    </row>
    <row r="30" spans="1:28">
      <c r="A30" s="3516"/>
      <c r="B30" s="302" t="s">
        <v>2216</v>
      </c>
      <c r="C30" s="3517"/>
      <c r="D30" s="3518"/>
      <c r="E30" s="2657"/>
      <c r="F30" s="2657"/>
      <c r="G30" s="2657"/>
      <c r="H30" s="2657"/>
      <c r="I30" s="2657"/>
      <c r="J30" s="2437"/>
      <c r="K30" s="2609"/>
      <c r="L30" s="2606"/>
      <c r="M30" s="2606"/>
      <c r="N30" s="2437"/>
      <c r="O30" s="2448"/>
      <c r="P30" s="2437"/>
      <c r="Q30" s="2437"/>
      <c r="R30" s="2437"/>
      <c r="S30" s="2437"/>
      <c r="T30" s="2437"/>
      <c r="U30" s="2437"/>
      <c r="V30" s="2437"/>
    </row>
    <row r="31" spans="1:28">
      <c r="A31" s="3519" t="s">
        <v>2217</v>
      </c>
      <c r="B31" s="2420" t="s">
        <v>3376</v>
      </c>
      <c r="C31" s="2321" t="str">
        <f>IF(B31="现房","成新及维护状况正常否",IF(B31="在建","工程状态是否正常",IF(B31="土地","是否闲置","-")))</f>
        <v>成新及维护状况正常否</v>
      </c>
      <c r="D31" s="1373"/>
      <c r="E31" s="2421"/>
      <c r="F31" s="2657"/>
      <c r="G31" s="2657"/>
      <c r="H31" s="2657"/>
      <c r="I31" s="2657"/>
      <c r="J31" s="2437"/>
      <c r="K31" s="2608"/>
      <c r="L31" s="2606"/>
      <c r="M31" s="2606"/>
      <c r="N31" s="2437"/>
      <c r="O31" s="2448"/>
      <c r="P31" s="2437"/>
      <c r="Q31" s="2437"/>
      <c r="R31" s="2437"/>
      <c r="S31" s="2437"/>
      <c r="T31" s="2437"/>
      <c r="U31" s="2437"/>
      <c r="V31" s="2437"/>
    </row>
    <row r="32" spans="1:28">
      <c r="A32" s="3520"/>
      <c r="B32" s="2420"/>
      <c r="C32" s="2321" t="str">
        <f>IF(B32="现房","成新及维护状况是否正常",IF(B32="在建","工程状态是否正常",IF(B32="土地","是否闲置","-")))</f>
        <v>-</v>
      </c>
      <c r="D32" s="1373"/>
      <c r="E32" s="2421"/>
      <c r="F32" s="2657"/>
      <c r="G32" s="2657"/>
      <c r="H32" s="2657"/>
      <c r="I32" s="2657"/>
      <c r="J32" s="2437"/>
      <c r="K32" s="2609"/>
      <c r="L32" s="2606"/>
      <c r="M32" s="2606"/>
      <c r="N32" s="2437"/>
      <c r="O32" s="2448"/>
      <c r="P32" s="2437"/>
      <c r="Q32" s="2437"/>
      <c r="R32" s="2437"/>
      <c r="S32" s="2437"/>
      <c r="T32" s="2437"/>
      <c r="U32" s="2437"/>
      <c r="V32" s="2437"/>
    </row>
    <row r="33" spans="1:30">
      <c r="A33" s="3520"/>
      <c r="B33" s="2423"/>
      <c r="C33" s="1590" t="str">
        <f>IF(B33="现房","成新及维护状况是否正常",IF(B33="在建","工程状态是否正常",IF(B33="土地","是否闲置","-")))</f>
        <v>-</v>
      </c>
      <c r="D33" s="1365"/>
      <c r="E33" s="2424"/>
      <c r="F33" s="2657"/>
      <c r="G33" s="2657"/>
      <c r="H33" s="2657"/>
      <c r="I33" s="2657"/>
      <c r="J33" s="2437"/>
      <c r="K33" s="2609"/>
      <c r="L33" s="2606"/>
      <c r="M33" s="2606"/>
      <c r="N33" s="2437"/>
      <c r="O33" s="2448"/>
      <c r="P33" s="2437"/>
      <c r="Q33" s="2437"/>
      <c r="R33" s="2437"/>
      <c r="S33" s="2437"/>
      <c r="T33" s="2437"/>
      <c r="U33" s="2437"/>
      <c r="V33" s="2437"/>
    </row>
    <row r="34" spans="1:30">
      <c r="A34" s="302" t="s">
        <v>2218</v>
      </c>
      <c r="B34" s="2024" t="s">
        <v>3377</v>
      </c>
      <c r="C34" s="2024" t="s">
        <v>3378</v>
      </c>
      <c r="D34" s="2024" t="s">
        <v>3379</v>
      </c>
      <c r="E34" s="2024" t="s">
        <v>3380</v>
      </c>
      <c r="F34" s="2024" t="s">
        <v>3381</v>
      </c>
      <c r="G34" s="2024" t="s">
        <v>3382</v>
      </c>
      <c r="H34" s="2024"/>
      <c r="I34" s="2657"/>
      <c r="J34" s="2437"/>
      <c r="K34" s="2425">
        <f>COUNTIF(B34:H34,"——")</f>
        <v>0</v>
      </c>
      <c r="L34" s="323" t="s">
        <v>2219</v>
      </c>
      <c r="M34" s="323" t="s">
        <v>2220</v>
      </c>
      <c r="N34" s="323" t="s">
        <v>2221</v>
      </c>
      <c r="O34" s="323" t="s">
        <v>2222</v>
      </c>
      <c r="P34" s="323" t="s">
        <v>2223</v>
      </c>
      <c r="Q34" s="323" t="s">
        <v>2224</v>
      </c>
      <c r="R34" s="323" t="s">
        <v>2225</v>
      </c>
      <c r="S34" s="3514" t="s">
        <v>2226</v>
      </c>
      <c r="T34" s="2426" t="str">
        <f>NUMBERSTRING(7-K34,1)&amp;"通"</f>
        <v>七通</v>
      </c>
      <c r="U34" s="2437"/>
      <c r="V34" s="2437"/>
    </row>
    <row r="35" spans="1:30">
      <c r="A35" s="2427"/>
      <c r="B35" s="3521" t="s">
        <v>2227</v>
      </c>
      <c r="C35" s="3521"/>
      <c r="D35" s="3521"/>
      <c r="E35" s="3521"/>
      <c r="F35" s="664">
        <f>C10</f>
        <v>0</v>
      </c>
      <c r="G35" s="2657"/>
      <c r="H35" s="2657"/>
      <c r="I35" s="2657"/>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4"/>
      <c r="T35" s="329" t="str">
        <f>IF(T34="一通",L35,IF(T34="二通",M35,IF(T34="三通",N35,IF(T34="四通",O35,IF(T34="五通",P35,IF(T34="六通",Q35,R35))))))</f>
        <v>通路、通电、通讯、通上水、通下水、平整、</v>
      </c>
      <c r="U35" s="2437"/>
      <c r="V35" s="2437"/>
    </row>
    <row r="36" spans="1:30">
      <c r="A36" s="2428"/>
      <c r="B36" s="664" t="s">
        <v>2184</v>
      </c>
      <c r="C36" s="664" t="s">
        <v>2185</v>
      </c>
      <c r="D36" s="664" t="s">
        <v>2183</v>
      </c>
      <c r="E36" s="664" t="s">
        <v>2188</v>
      </c>
      <c r="F36" s="3058" t="s">
        <v>2572</v>
      </c>
      <c r="G36" s="2657"/>
      <c r="H36" s="2657"/>
      <c r="I36" s="2657"/>
      <c r="J36" s="2437"/>
      <c r="K36" s="2609"/>
      <c r="L36" s="2606"/>
      <c r="M36" s="2606"/>
      <c r="N36" s="2437"/>
      <c r="O36" s="2448"/>
      <c r="P36" s="2437"/>
      <c r="Q36" s="2437"/>
      <c r="R36" s="2437"/>
      <c r="S36" s="2437"/>
      <c r="T36" s="2437"/>
      <c r="U36" s="2437"/>
      <c r="V36" s="2437"/>
    </row>
    <row r="37" spans="1:30">
      <c r="A37" s="2623" t="s">
        <v>2228</v>
      </c>
      <c r="B37" s="2429"/>
      <c r="C37" s="2429"/>
      <c r="D37" s="2429"/>
      <c r="E37" s="2429" t="s">
        <v>296</v>
      </c>
      <c r="F37" s="2429"/>
      <c r="G37" s="2657"/>
      <c r="H37" s="2657"/>
      <c r="I37" s="2657"/>
      <c r="J37" s="2437"/>
      <c r="K37" s="2609"/>
      <c r="L37" s="2606"/>
      <c r="M37" s="2606"/>
      <c r="N37" s="2437"/>
      <c r="O37" s="2448"/>
      <c r="P37" s="2437"/>
      <c r="Q37" s="2437"/>
      <c r="R37" s="2437"/>
      <c r="S37" s="2437"/>
      <c r="T37" s="2437"/>
      <c r="U37" s="2437"/>
      <c r="V37" s="2437"/>
    </row>
    <row r="38" spans="1:30" ht="13.5" thickBot="1">
      <c r="A38" s="2624" t="s">
        <v>2229</v>
      </c>
      <c r="B38" s="2430"/>
      <c r="C38" s="2430"/>
      <c r="D38" s="2430"/>
      <c r="E38" s="2430" t="s">
        <v>176</v>
      </c>
      <c r="F38" s="2430"/>
      <c r="G38" s="2658"/>
      <c r="H38" s="2658"/>
      <c r="I38" s="2658"/>
      <c r="J38" s="2437"/>
      <c r="K38" s="2609"/>
      <c r="L38" s="2606"/>
      <c r="M38" s="2606"/>
      <c r="N38" s="2437"/>
      <c r="O38" s="2448"/>
      <c r="P38" s="2437"/>
      <c r="Q38" s="2437"/>
      <c r="R38" s="2437"/>
      <c r="S38" s="2437"/>
      <c r="T38" s="2437"/>
      <c r="U38" s="2437"/>
      <c r="V38" s="2437"/>
    </row>
    <row r="39" spans="1:30" s="2433" customFormat="1" ht="14.25" thickTop="1" thickBot="1">
      <c r="A39" s="2431" t="s">
        <v>2230</v>
      </c>
      <c r="B39" s="2432"/>
      <c r="C39" s="2432"/>
      <c r="D39" s="2432"/>
      <c r="E39" s="2432"/>
      <c r="F39" s="2432"/>
      <c r="G39" s="2432"/>
      <c r="H39" s="2432"/>
      <c r="I39" s="2432"/>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8"/>
      <c r="B40" s="2368"/>
      <c r="C40" s="2368"/>
      <c r="D40" s="2368"/>
      <c r="E40" s="2368"/>
      <c r="F40" s="2368"/>
      <c r="G40" s="2368"/>
      <c r="H40" s="2368"/>
      <c r="I40" s="1578"/>
      <c r="J40" s="2502"/>
      <c r="K40" s="2608"/>
      <c r="L40" s="2449"/>
      <c r="M40" s="2449"/>
      <c r="N40" s="2502"/>
      <c r="O40" s="2449"/>
      <c r="P40" s="2437"/>
      <c r="Q40" s="2437"/>
      <c r="R40" s="2437"/>
      <c r="S40" s="2437"/>
      <c r="T40" s="2437"/>
      <c r="U40" s="2437"/>
      <c r="V40" s="2437"/>
    </row>
    <row r="41" spans="1:30">
      <c r="A41" s="2434" t="s">
        <v>2231</v>
      </c>
      <c r="B41" s="1757"/>
      <c r="C41" s="1373"/>
      <c r="D41" s="2368"/>
      <c r="E41" s="2368"/>
      <c r="F41" s="2368"/>
      <c r="G41" s="2368"/>
      <c r="H41" s="2368"/>
      <c r="I41" s="1576"/>
      <c r="J41" s="2437"/>
      <c r="K41" s="2609"/>
      <c r="L41" s="2606"/>
      <c r="M41" s="2606"/>
      <c r="N41" s="2437"/>
      <c r="O41" s="2448"/>
      <c r="P41" s="2437"/>
      <c r="Q41" s="2437"/>
      <c r="R41" s="2437"/>
      <c r="S41" s="2437"/>
      <c r="T41" s="2437"/>
      <c r="U41" s="2437"/>
      <c r="V41" s="2437"/>
    </row>
    <row r="42" spans="1:30" ht="25.5">
      <c r="A42" s="323" t="s">
        <v>2232</v>
      </c>
      <c r="B42" s="8" t="s">
        <v>2233</v>
      </c>
      <c r="C42" s="8" t="s">
        <v>2234</v>
      </c>
      <c r="D42" s="8" t="s">
        <v>2235</v>
      </c>
      <c r="E42" s="8" t="s">
        <v>2236</v>
      </c>
      <c r="F42" s="8" t="s">
        <v>2237</v>
      </c>
      <c r="G42" s="8" t="s">
        <v>2238</v>
      </c>
      <c r="H42" s="8" t="s">
        <v>2239</v>
      </c>
      <c r="I42" s="8" t="s">
        <v>2240</v>
      </c>
      <c r="J42" s="2619" t="s">
        <v>2241</v>
      </c>
      <c r="K42" s="2620" t="s">
        <v>2242</v>
      </c>
      <c r="L42" s="2620" t="s">
        <v>2243</v>
      </c>
      <c r="M42" s="2620" t="s">
        <v>2244</v>
      </c>
      <c r="N42" s="2613" t="s">
        <v>2245</v>
      </c>
      <c r="O42" s="2613" t="s">
        <v>2246</v>
      </c>
      <c r="P42" s="2613" t="s">
        <v>2247</v>
      </c>
      <c r="Q42" s="2614" t="s">
        <v>2248</v>
      </c>
      <c r="R42" s="2614" t="s">
        <v>2249</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18455.759999999998</v>
      </c>
      <c r="B3" s="11">
        <f>IF(C3="否",G5-AT5,G5)</f>
        <v>27202.300000000003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27202.300000000003</v>
      </c>
      <c r="H5" s="13">
        <f t="shared" ref="H5:AT5" si="0">SUM(H13:H656)</f>
        <v>27202.300000000003</v>
      </c>
      <c r="I5" s="13">
        <f t="shared" si="0"/>
        <v>27202.300000000003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27202.300000000003</v>
      </c>
      <c r="BA5" s="15">
        <f t="shared" si="1"/>
        <v>27202.300000000003</v>
      </c>
      <c r="BB5" s="15">
        <f t="shared" si="1"/>
        <v>27202.300000000003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18455.759999999998</v>
      </c>
      <c r="F6" s="13" t="s">
        <v>0</v>
      </c>
      <c r="G6" s="13" t="s">
        <v>1</v>
      </c>
      <c r="H6" s="17">
        <f>SUMIF(I$12:AB$12,"总值",I6:AB6)</f>
        <v>18455.759999999998</v>
      </c>
      <c r="I6" s="13">
        <f t="shared" ref="I6:AB6" si="2">ROUND($A$3*I5/$B$3,2)</f>
        <v>18455.759999999998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18455.759999999998</v>
      </c>
      <c r="AZ6" s="13" t="s">
        <v>2</v>
      </c>
      <c r="BA6" s="13">
        <f>ROUND($AY$6*BA5/$AZ$5,2)</f>
        <v>18455.759999999998</v>
      </c>
      <c r="BB6" s="13">
        <f>ROUND($AY$6*BB5/$AZ$5,2)</f>
        <v>18455.759999999998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3383</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3417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产业园</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3416</v>
      </c>
      <c r="E13" s="13">
        <f>IF($C$3="是",ROUND($A$3*G13/$B$3,2),ROUND($A$3*(G13-AT13)/$B$3,2))</f>
        <v>18455.759999999998</v>
      </c>
      <c r="F13" s="29"/>
      <c r="G13" s="30">
        <f>H13+AC13+AT13</f>
        <v>27202.300000000003</v>
      </c>
      <c r="H13" s="17">
        <f>SUMIF(I$12:AB$12,"总值",I13:AB13)</f>
        <v>27202.300000000003</v>
      </c>
      <c r="I13" s="1626">
        <f>面积表!G29</f>
        <v>27202.300000000003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18455.759999999998</v>
      </c>
      <c r="AZ13" s="13">
        <f>BA13+BL13</f>
        <v>27202.300000000003</v>
      </c>
      <c r="BA13" s="13">
        <f>SUM(BB13:BK13)</f>
        <v>27202.300000000003</v>
      </c>
      <c r="BB13" s="13">
        <f>IF($D13="是",I13-J13,0)</f>
        <v>27202.300000000003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35" sqref="L3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2"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1" t="s">
        <v>1130</v>
      </c>
      <c r="B2" s="3531"/>
      <c r="C2" s="3531"/>
      <c r="D2" s="796" t="s">
        <v>1106</v>
      </c>
      <c r="E2" s="1639" t="s">
        <v>1107</v>
      </c>
      <c r="F2" s="2652"/>
      <c r="G2" s="2643"/>
      <c r="H2" s="2644"/>
      <c r="I2" s="2323" t="s">
        <v>1131</v>
      </c>
      <c r="J2" s="2652"/>
      <c r="K2" s="2652"/>
      <c r="L2" s="2652"/>
      <c r="M2" s="2652"/>
      <c r="N2" s="2654"/>
      <c r="O2" s="2652"/>
      <c r="P2" s="2652"/>
    </row>
    <row r="3" spans="1:16" ht="15.75" thickBot="1">
      <c r="A3" s="3532" t="s">
        <v>1104</v>
      </c>
      <c r="B3" s="3532"/>
      <c r="C3" s="3532"/>
      <c r="D3" s="43">
        <f>'数据-基础表'!AY6</f>
        <v>18455.759999999998</v>
      </c>
      <c r="E3" s="43">
        <f>'数据-基础表'!AZ5</f>
        <v>27202.300000000003</v>
      </c>
      <c r="F3" s="2652"/>
      <c r="G3" s="1145"/>
      <c r="H3" s="1026" t="s">
        <v>1105</v>
      </c>
      <c r="I3" s="855">
        <f>ROUND('数据-基础表'!B3/'数据-基础表'!A3,2)</f>
        <v>1.47</v>
      </c>
      <c r="J3" s="2652"/>
      <c r="K3" s="2652"/>
      <c r="L3" s="2652"/>
      <c r="M3" s="2652"/>
      <c r="N3" s="2654"/>
      <c r="O3" s="2652"/>
      <c r="P3" s="2652"/>
    </row>
    <row r="4" spans="1:16" ht="15">
      <c r="A4" s="3533"/>
      <c r="B4" s="3534"/>
      <c r="C4" s="3535"/>
      <c r="D4" s="1641" t="s">
        <v>1106</v>
      </c>
      <c r="E4" s="1642" t="s">
        <v>1107</v>
      </c>
      <c r="F4" s="2652"/>
      <c r="G4" s="2645" t="s">
        <v>1132</v>
      </c>
      <c r="H4" s="1026" t="s">
        <v>1112</v>
      </c>
      <c r="I4" s="855">
        <f>ROUND(SUMIF('数据-基础表'!I9:AS9,"地上",'数据-基础表'!I5:AS5)/'数据-基础表'!A3,2)</f>
        <v>1.47</v>
      </c>
      <c r="J4" s="2652"/>
      <c r="K4" s="2652"/>
      <c r="L4" s="2652"/>
      <c r="M4" s="2652"/>
      <c r="N4" s="2654"/>
      <c r="O4" s="2652"/>
      <c r="P4" s="2652"/>
    </row>
    <row r="5" spans="1:16">
      <c r="A5" s="44" t="s">
        <v>1108</v>
      </c>
      <c r="B5" s="3536" t="s">
        <v>1109</v>
      </c>
      <c r="C5" s="3536"/>
      <c r="D5" s="45">
        <f>ROUND($D$3*E5/$E$3,2)</f>
        <v>0</v>
      </c>
      <c r="E5" s="46">
        <f>SUMIF('数据-基础表'!$11:$11,"住宅",'数据-基础表'!$5:$5)</f>
        <v>0</v>
      </c>
      <c r="F5" s="2652"/>
      <c r="G5" s="1145"/>
      <c r="H5" s="1026" t="s">
        <v>1105</v>
      </c>
      <c r="I5" s="855">
        <f>ROUND(E31/D31,2)</f>
        <v>1.47</v>
      </c>
      <c r="J5" s="2652"/>
      <c r="K5" s="2652"/>
      <c r="L5" s="2652"/>
      <c r="M5" s="2652"/>
      <c r="N5" s="2652"/>
      <c r="O5" s="2652"/>
      <c r="P5" s="2652"/>
    </row>
    <row r="6" spans="1:16" ht="15" thickBot="1">
      <c r="A6" s="1644"/>
      <c r="B6" s="3536" t="s">
        <v>1110</v>
      </c>
      <c r="C6" s="3536"/>
      <c r="D6" s="45">
        <f>ROUND($D$3*E6/$E$3,2)</f>
        <v>18455.759999999998</v>
      </c>
      <c r="E6" s="46">
        <f>E3-E5</f>
        <v>27202.300000000003</v>
      </c>
      <c r="F6" s="2652"/>
      <c r="G6" s="2646" t="s">
        <v>1111</v>
      </c>
      <c r="H6" s="1146" t="s">
        <v>1112</v>
      </c>
      <c r="I6" s="2647">
        <f>ROUND(F31/D31,2)</f>
        <v>1.47</v>
      </c>
      <c r="J6" s="2652"/>
      <c r="K6" s="2652"/>
      <c r="L6" s="2652"/>
      <c r="M6" s="2652"/>
      <c r="N6" s="2652"/>
      <c r="O6" s="2652"/>
      <c r="P6" s="2652"/>
    </row>
    <row r="7" spans="1:16" ht="15.75" thickBot="1">
      <c r="A7" s="3528"/>
      <c r="B7" s="3529"/>
      <c r="C7" s="3530"/>
      <c r="D7" s="1641" t="s">
        <v>1106</v>
      </c>
      <c r="E7" s="1645" t="s">
        <v>1113</v>
      </c>
      <c r="F7" s="2652"/>
      <c r="G7" s="2648" t="s">
        <v>1114</v>
      </c>
      <c r="H7" s="2649"/>
      <c r="I7" s="2650"/>
      <c r="J7" s="2652"/>
      <c r="K7" s="2652"/>
      <c r="L7" s="2652"/>
      <c r="M7" s="2652"/>
      <c r="N7" s="2652"/>
      <c r="O7" s="2652"/>
      <c r="P7" s="2652"/>
    </row>
    <row r="8" spans="1:16">
      <c r="A8" s="44" t="s">
        <v>1115</v>
      </c>
      <c r="B8" s="47" t="s">
        <v>1116</v>
      </c>
      <c r="C8" s="45" t="s">
        <v>1117</v>
      </c>
      <c r="D8" s="45">
        <f t="shared" ref="D8:D15" si="0">ROUND($D$3*E8/$E$3,2)</f>
        <v>18455.759999999998</v>
      </c>
      <c r="E8" s="48">
        <f>SUMIF('数据-基础表'!BB10:BK10,"地上",'数据-基础表'!BB5:BK5)</f>
        <v>27202.300000000003</v>
      </c>
      <c r="F8" s="2652"/>
      <c r="G8" s="2653"/>
      <c r="H8" s="2653"/>
      <c r="I8" s="2652"/>
      <c r="J8" s="2652"/>
      <c r="K8" s="2652"/>
      <c r="L8" s="2652"/>
      <c r="M8" s="2652"/>
      <c r="N8" s="2652"/>
      <c r="O8" s="2652"/>
      <c r="P8" s="2652"/>
    </row>
    <row r="9" spans="1:16">
      <c r="A9" s="1646"/>
      <c r="B9" s="1647"/>
      <c r="C9" s="45" t="s">
        <v>1118</v>
      </c>
      <c r="D9" s="45">
        <f t="shared" si="0"/>
        <v>0</v>
      </c>
      <c r="E9" s="49">
        <v>0</v>
      </c>
      <c r="F9" s="2652"/>
      <c r="G9" s="2653"/>
      <c r="H9" s="2653"/>
      <c r="I9" s="2652"/>
      <c r="J9" s="2652"/>
      <c r="K9" s="2652"/>
      <c r="L9" s="2652"/>
      <c r="M9" s="2652"/>
      <c r="N9" s="2652"/>
      <c r="O9" s="2652"/>
      <c r="P9" s="2652"/>
    </row>
    <row r="10" spans="1:16">
      <c r="A10" s="1646"/>
      <c r="B10" s="1647"/>
      <c r="C10" s="45" t="s">
        <v>1127</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6"/>
      <c r="B11" s="1647"/>
      <c r="C11" s="45" t="s">
        <v>1119</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6"/>
      <c r="B12" s="1647"/>
      <c r="C12" s="45" t="s">
        <v>1120</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6"/>
      <c r="B13" s="1647"/>
      <c r="C13" s="45" t="s">
        <v>1121</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6"/>
      <c r="B14" s="1647"/>
      <c r="C14" s="45" t="s">
        <v>1133</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6"/>
      <c r="B15" s="1647"/>
      <c r="C15" s="45" t="s">
        <v>1128</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4"/>
      <c r="B16" s="1647"/>
      <c r="C16" s="47" t="s">
        <v>1122</v>
      </c>
      <c r="D16" s="47">
        <f>SUM(D8:D15)</f>
        <v>18455.759999999998</v>
      </c>
      <c r="E16" s="50">
        <f>SUM(E8:E15)</f>
        <v>27202.300000000003</v>
      </c>
      <c r="F16" s="2652"/>
      <c r="G16" s="2653"/>
      <c r="H16" s="1648" t="s">
        <v>1134</v>
      </c>
      <c r="I16" s="1649"/>
      <c r="J16" s="1139"/>
      <c r="K16" s="3525" t="s">
        <v>1134</v>
      </c>
      <c r="L16" s="3526"/>
      <c r="M16" s="3526"/>
      <c r="N16" s="3526"/>
      <c r="O16" s="3526"/>
      <c r="P16" s="3527"/>
    </row>
    <row r="17" spans="1:19" ht="15">
      <c r="A17" s="1650" t="s">
        <v>1135</v>
      </c>
      <c r="B17" s="1651" t="s">
        <v>1136</v>
      </c>
      <c r="C17" s="1652" t="s">
        <v>1137</v>
      </c>
      <c r="D17" s="1653" t="s">
        <v>1125</v>
      </c>
      <c r="E17" s="1654" t="s">
        <v>1126</v>
      </c>
      <c r="F17" s="1655"/>
      <c r="G17" s="1656"/>
      <c r="H17" s="1657" t="s">
        <v>1138</v>
      </c>
      <c r="I17" s="1658" t="s">
        <v>1123</v>
      </c>
      <c r="J17" s="1139"/>
      <c r="K17" s="3522" t="s">
        <v>1139</v>
      </c>
      <c r="L17" s="3523"/>
      <c r="M17" s="3524"/>
      <c r="N17" s="3522" t="s">
        <v>1140</v>
      </c>
      <c r="O17" s="3523"/>
      <c r="P17" s="3524"/>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0" t="s">
        <v>3489</v>
      </c>
      <c r="D19" s="45">
        <f>ROUND($D$3*E19/$E$3,2)</f>
        <v>18455.759999999998</v>
      </c>
      <c r="E19" s="53">
        <f t="shared" ref="E19:E26" si="1">SUM(F19:G19)</f>
        <v>27202.300000000003</v>
      </c>
      <c r="F19" s="2788">
        <f>'数据-基础表'!I5</f>
        <v>27202.300000000003</v>
      </c>
      <c r="G19" s="2789"/>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18455.759999999998</v>
      </c>
      <c r="S19" s="1027">
        <f t="shared" si="5"/>
        <v>27202.300000000003</v>
      </c>
    </row>
    <row r="20" spans="1:19">
      <c r="A20" s="1670"/>
      <c r="B20" s="47" t="s">
        <v>1152</v>
      </c>
      <c r="C20" s="3410"/>
      <c r="D20" s="45">
        <f t="shared" ref="D20:D26" si="6">ROUND($D$3*E20/$E$3,2)</f>
        <v>0</v>
      </c>
      <c r="E20" s="53">
        <f t="shared" si="1"/>
        <v>0</v>
      </c>
      <c r="F20" s="2788"/>
      <c r="G20" s="2789"/>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0"/>
      <c r="D21" s="45">
        <f t="shared" si="6"/>
        <v>0</v>
      </c>
      <c r="E21" s="53">
        <f t="shared" si="1"/>
        <v>0</v>
      </c>
      <c r="F21" s="2788"/>
      <c r="G21" s="278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1"/>
      <c r="D22" s="45">
        <f t="shared" si="6"/>
        <v>0</v>
      </c>
      <c r="E22" s="53">
        <f t="shared" si="1"/>
        <v>0</v>
      </c>
      <c r="F22" s="2790"/>
      <c r="G22" s="279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1"/>
      <c r="D23" s="45">
        <f>ROUND($D$3*E23/$E$3,2)</f>
        <v>0</v>
      </c>
      <c r="E23" s="53">
        <f>SUM(F23:G23)</f>
        <v>0</v>
      </c>
      <c r="F23" s="2790"/>
      <c r="G23" s="279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1"/>
      <c r="D24" s="45">
        <f>ROUND($D$3*E24/$E$3,2)</f>
        <v>0</v>
      </c>
      <c r="E24" s="53">
        <f>SUM(F24:G24)</f>
        <v>0</v>
      </c>
      <c r="F24" s="2790"/>
      <c r="G24" s="279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1"/>
      <c r="D25" s="45">
        <f t="shared" si="6"/>
        <v>0</v>
      </c>
      <c r="E25" s="53">
        <f t="shared" si="1"/>
        <v>0</v>
      </c>
      <c r="F25" s="2790"/>
      <c r="G25" s="279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18455.759999999998</v>
      </c>
      <c r="E27" s="1141">
        <f>IF(SUM(E19:E26)='数据-基础表'!BA5,SUM(E19:E26),IF(F27="地上面积有误","面积有误","地下面积有误"))</f>
        <v>27202.300000000003</v>
      </c>
      <c r="F27" s="1140">
        <f>IF(SUM(F19:F26)=E8,SUM(F19:F26),"地上面积有误")</f>
        <v>27202.300000000003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18455.759999999998</v>
      </c>
      <c r="S27" s="1026">
        <f>IF(SUM(S19:S26)=$E$3,SUM(S19:S26),SUM(S19:S26)&amp;"误差"&amp;ROUND(SUM(S19:S26)-E3,2))</f>
        <v>27202.300000000003</v>
      </c>
    </row>
    <row r="28" spans="1:19">
      <c r="A28" s="1670"/>
      <c r="B28" s="47" t="s">
        <v>1154</v>
      </c>
      <c r="C28" s="1038" t="s">
        <v>1155</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70"/>
      <c r="B29" s="47" t="s">
        <v>1154</v>
      </c>
      <c r="C29" s="1674" t="s">
        <v>1156</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70"/>
      <c r="B30" s="47"/>
      <c r="C30" s="1675" t="s">
        <v>1153</v>
      </c>
      <c r="D30" s="1140">
        <f>SUM(D28:D29)</f>
        <v>0</v>
      </c>
      <c r="E30" s="1140">
        <f>SUM(E28:E29)</f>
        <v>0</v>
      </c>
      <c r="F30" s="1140">
        <f>SUM(F28:F29)</f>
        <v>0</v>
      </c>
      <c r="G30" s="1142">
        <f>SUM(G28:G29)</f>
        <v>0</v>
      </c>
      <c r="H30" s="2652"/>
      <c r="I30" s="2652"/>
      <c r="J30" s="2652"/>
      <c r="K30" s="2652"/>
      <c r="L30" s="2652"/>
      <c r="M30" s="2652"/>
      <c r="N30" s="2652"/>
      <c r="O30" s="2652"/>
      <c r="P30" s="2652"/>
    </row>
    <row r="31" spans="1:19" ht="15.75" thickBot="1">
      <c r="A31" s="1676"/>
      <c r="B31" s="1677"/>
      <c r="C31" s="835" t="s">
        <v>1157</v>
      </c>
      <c r="D31" s="676">
        <f>D27+D30</f>
        <v>18455.759999999998</v>
      </c>
      <c r="E31" s="676">
        <f>E27+E30</f>
        <v>27202.300000000003</v>
      </c>
      <c r="F31" s="677">
        <f>F27+F30</f>
        <v>27202.300000000003</v>
      </c>
      <c r="G31" s="678">
        <f>G27+G30</f>
        <v>0</v>
      </c>
      <c r="H31" s="2652"/>
      <c r="I31" s="2652"/>
      <c r="J31" s="2652"/>
      <c r="K31" s="2652"/>
      <c r="L31" s="2652"/>
      <c r="M31" s="2652"/>
      <c r="N31" s="2652"/>
      <c r="O31" s="2652"/>
      <c r="P31" s="2652"/>
    </row>
    <row r="32" spans="1:19">
      <c r="A32" s="1643"/>
      <c r="B32" s="1643" t="s">
        <v>1158</v>
      </c>
      <c r="C32" s="1643"/>
      <c r="D32" s="1643"/>
      <c r="E32" s="1053">
        <f>SUMIF(C19:C26,"*住宅*",E19:E26)</f>
        <v>0</v>
      </c>
      <c r="F32" s="1643"/>
      <c r="G32" s="1643"/>
      <c r="H32" s="2652"/>
      <c r="I32" s="2652"/>
      <c r="J32" s="2652"/>
      <c r="K32" s="2652"/>
      <c r="L32" s="2652"/>
      <c r="M32" s="2652"/>
      <c r="N32" s="2652"/>
      <c r="O32" s="2652"/>
      <c r="P32" s="2652"/>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3" t="s">
        <v>1160</v>
      </c>
      <c r="B2" s="1045">
        <f>项目基本情况!D3</f>
        <v>45160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6"/>
      <c r="AO2" s="2666"/>
      <c r="AP2" s="2666"/>
      <c r="AQ2" s="2666"/>
      <c r="AR2" s="266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6"/>
      <c r="AO3" s="2666"/>
      <c r="AP3" s="2666"/>
      <c r="AQ3" s="2666"/>
      <c r="AR3" s="266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1"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6"/>
      <c r="AO4" s="2666"/>
      <c r="AP4" s="2666"/>
      <c r="AQ4" s="2666"/>
      <c r="AR4" s="266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3388</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产业园</v>
      </c>
      <c r="B6" s="1713" t="str">
        <f>IF(A6=0,"","经营性")</f>
        <v>经营性</v>
      </c>
      <c r="C6" s="1714" t="s">
        <v>3</v>
      </c>
      <c r="D6" s="858">
        <f>SUMIF(项目基本情况!C$12:I$12,C6,项目基本情况!C$14:I$14)</f>
        <v>50</v>
      </c>
      <c r="E6" s="857">
        <f>IF(B6="","",SUMIF(项目基本情况!C$12:I$12,C6,项目基本情况!C$13:I$13))</f>
        <v>53775</v>
      </c>
      <c r="F6" s="64">
        <f>SUMIF(项目基本情况!C$12:I$12,C6,项目基本情况!C$15:I$15)</f>
        <v>23.6</v>
      </c>
      <c r="G6" s="65">
        <f>IF(ISERROR(ROUND(POWER(1+H6,D6-F6)*(POWER(1+H6,F6)-1)/(POWER(1+H6,D6)-1),3)),0,ROUND(POWER(1+H6,D6-F6)*(POWER(1+H6,F6)-1)/(POWER(1+H6,D6)-1),3))</f>
        <v>0.749</v>
      </c>
      <c r="H6" s="732">
        <v>0.05</v>
      </c>
      <c r="I6" s="732">
        <v>5.5E-2</v>
      </c>
      <c r="J6" s="66">
        <v>7.0000000000000007E-2</v>
      </c>
      <c r="K6" s="1030">
        <f>SUMIF('数据-汇总表'!C$19:C$33,A6,'数据-汇总表'!E$19:E$33)</f>
        <v>27202.300000000003</v>
      </c>
      <c r="L6" s="733">
        <v>3200</v>
      </c>
      <c r="M6" s="67">
        <f t="shared" ref="M6:M14" si="0">ROUND(K6*L6/10000,0)</f>
        <v>8705</v>
      </c>
      <c r="N6" s="731">
        <v>0.7</v>
      </c>
      <c r="O6" s="67" t="str">
        <f>IF($N$5="成新度","——",ROUND(M6*N6,0))</f>
        <v>——</v>
      </c>
      <c r="P6" s="68" t="str">
        <f>IF($N$5="成新度","——",M6-O6)</f>
        <v>——</v>
      </c>
      <c r="Q6" s="734">
        <v>0.15</v>
      </c>
      <c r="R6" s="69">
        <f ca="1">SUMIF('数据-汇总表'!C$19:C$33,A6,'数据-汇总表'!R$19:R$27)</f>
        <v>18455.759999999998</v>
      </c>
      <c r="S6" s="51">
        <f>IF('数据-汇总表'!$I$17="按面积比例",SUMIF('数据-汇总表'!C$19:C$33,A6,'数据-汇总表'!K$19:K$33),SUMIF('数据-汇总表'!C$19:C$33,A6,'数据-汇总表'!N$19:N$33))</f>
        <v>0</v>
      </c>
      <c r="T6" s="1172">
        <f>ROUND($L$14*S6/10000,0)</f>
        <v>0</v>
      </c>
      <c r="U6" s="3421">
        <v>8.5</v>
      </c>
      <c r="V6" s="70">
        <v>2.5000000000000001E-2</v>
      </c>
      <c r="W6" s="70">
        <v>0.1</v>
      </c>
      <c r="X6" s="1040"/>
      <c r="Y6" s="71">
        <f>N6</f>
        <v>0.7</v>
      </c>
      <c r="Z6" s="72"/>
      <c r="AA6" s="66"/>
      <c r="AB6" s="66"/>
      <c r="AC6" s="1040"/>
      <c r="AD6" s="73"/>
      <c r="AE6" s="1041">
        <f ca="1">IF(AN6="",0,SUMIF(INDIRECT("'"&amp;AN6&amp;"'"&amp;"!E:E"),$AE$5,INDIRECT("'"&amp;AN6&amp;"'"&amp;"!F:F")))</f>
        <v>23.6</v>
      </c>
      <c r="AF6" s="1348"/>
      <c r="AG6" s="138">
        <f>IF(AF6="",0,AE6-AF6)</f>
        <v>0</v>
      </c>
      <c r="AH6" s="74"/>
      <c r="AI6" s="76">
        <v>365</v>
      </c>
      <c r="AJ6" s="77"/>
      <c r="AK6" s="78">
        <v>8.0000000000000002E-3</v>
      </c>
      <c r="AL6" s="79">
        <v>1.5E-3</v>
      </c>
      <c r="AM6" s="80">
        <v>8.0000000000000002E-3</v>
      </c>
      <c r="AN6" s="1715" t="s">
        <v>3389</v>
      </c>
      <c r="AO6" s="52">
        <f ca="1">SUMIF(INDIRECT("'"&amp;AN6&amp;"'"&amp;"!A:A"),"总价",INDIRECT("'"&amp;AN6&amp;"'"&amp;"!B:B"))</f>
        <v>100619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1"/>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0.749</v>
      </c>
      <c r="H16" s="90">
        <f>ROUND(SUMPRODUCT(H6:H13,K6:K13)/SUMPRODUCT((H6:H13&gt;0)*(K6:K13)),3)</f>
        <v>0.05</v>
      </c>
      <c r="I16" s="91"/>
      <c r="J16" s="91"/>
      <c r="K16" s="92">
        <f>SUM(K6:K15)</f>
        <v>27202.300000000003</v>
      </c>
      <c r="L16" s="93">
        <f>ROUND(M16*10000/SUM(K6:K14),0)</f>
        <v>3200</v>
      </c>
      <c r="M16" s="93">
        <f>SUM(M6:M14)</f>
        <v>8705</v>
      </c>
      <c r="N16" s="94">
        <f>ROUND(SUMPRODUCT(M6:M14,N6:N14)/M16,3)</f>
        <v>0.7</v>
      </c>
      <c r="O16" s="93">
        <f>SUM(O6:O14)</f>
        <v>0</v>
      </c>
      <c r="P16" s="93">
        <f>SUM(P6:P14)</f>
        <v>0</v>
      </c>
      <c r="Q16" s="95">
        <f>ROUND(SUMPRODUCT(Q6:Q13,K6:K13)/SUMPRODUCT((Q6:Q13&gt;0)*(K6:K13)),2)</f>
        <v>0.15</v>
      </c>
      <c r="R16" s="1034">
        <f ca="1">SUM(R6:R13)</f>
        <v>18455.759999999998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1209</v>
      </c>
      <c r="B18" s="2678"/>
      <c r="C18" s="2666"/>
      <c r="D18" s="2669"/>
      <c r="E18" s="2666"/>
      <c r="F18" s="2666"/>
      <c r="G18" s="2666"/>
      <c r="H18" s="2666"/>
      <c r="I18" s="2666"/>
      <c r="J18" s="2666"/>
      <c r="K18" s="2665"/>
      <c r="L18" s="2665"/>
      <c r="M18" s="3443" t="s">
        <v>3384</v>
      </c>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2" t="s">
        <v>1210</v>
      </c>
      <c r="B19" s="103">
        <v>0</v>
      </c>
      <c r="C19" s="2792" t="s">
        <v>2294</v>
      </c>
      <c r="D19" s="2669"/>
      <c r="E19" s="2666"/>
      <c r="F19" s="2666"/>
      <c r="G19" s="2666"/>
      <c r="H19" s="2666"/>
      <c r="I19" s="2666"/>
      <c r="J19" s="2666"/>
      <c r="K19" s="2665"/>
      <c r="L19" s="2665"/>
      <c r="M19" s="3443" t="s">
        <v>3385</v>
      </c>
      <c r="N19" s="2664">
        <f>ROUND(1-(1-0%)*(2023-N18)/60,2)</f>
        <v>-32.72</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3" t="s">
        <v>1211</v>
      </c>
      <c r="B20" s="104">
        <v>1.5</v>
      </c>
      <c r="C20" s="2793" t="s">
        <v>2292</v>
      </c>
      <c r="D20" s="2669"/>
      <c r="E20" s="2666"/>
      <c r="F20" s="2666"/>
      <c r="G20" s="2666"/>
      <c r="H20" s="2666"/>
      <c r="I20" s="2666"/>
      <c r="J20" s="2666"/>
      <c r="K20" s="2665"/>
      <c r="L20" s="2665"/>
      <c r="M20" s="3443" t="s">
        <v>3386</v>
      </c>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4" t="s">
        <v>1212</v>
      </c>
      <c r="B21" s="104">
        <f>B20</f>
        <v>1.5</v>
      </c>
      <c r="C21" s="2666"/>
      <c r="D21" s="2669"/>
      <c r="E21" s="2666"/>
      <c r="F21" s="2666"/>
      <c r="G21" s="2666"/>
      <c r="H21" s="2666"/>
      <c r="I21" s="2666"/>
      <c r="J21" s="2666"/>
      <c r="K21" s="2665"/>
      <c r="L21" s="2665"/>
      <c r="M21" s="3443" t="s">
        <v>3387</v>
      </c>
      <c r="N21" s="2664">
        <f>ROUND((N19+N20)/2,2)</f>
        <v>-16.36</v>
      </c>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3" t="s">
        <v>1213</v>
      </c>
      <c r="B22" s="105">
        <f>B19+B20</f>
        <v>1.5</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4" t="s">
        <v>1214</v>
      </c>
      <c r="B23" s="105">
        <f>B19+B21</f>
        <v>1.5</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5" t="s">
        <v>1215</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7"/>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3" t="s">
        <v>1216</v>
      </c>
      <c r="B26" s="1726" t="s">
        <v>1217</v>
      </c>
      <c r="C26" s="2670" t="s">
        <v>1218</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8" customFormat="1" ht="27.75">
      <c r="A27" s="1727" t="s">
        <v>1219</v>
      </c>
      <c r="B27" s="107">
        <v>160</v>
      </c>
      <c r="C27" s="2794" t="s">
        <v>2296</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544</v>
      </c>
      <c r="C29" s="2795" t="s">
        <v>2283</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6" t="s">
        <v>2284</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6" t="s">
        <v>2285</v>
      </c>
      <c r="D34" s="2677" t="s">
        <v>2293</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6" t="s">
        <v>2286</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6" t="s">
        <v>2287</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1" t="s">
        <v>1229</v>
      </c>
      <c r="B37" s="115">
        <v>0.02</v>
      </c>
      <c r="C37" s="2796" t="s">
        <v>2288</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9" t="s">
        <v>1230</v>
      </c>
      <c r="B38" s="113">
        <v>0.02</v>
      </c>
      <c r="C38" s="2796" t="s">
        <v>2288</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2" t="s">
        <v>1231</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2303</v>
      </c>
      <c r="B40" s="1078">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7" t="s">
        <v>1232</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3" t="s">
        <v>1233</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3" t="s">
        <v>1234</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4" t="s">
        <v>1235</v>
      </c>
      <c r="B44" s="119">
        <v>7.0000000000000007E-2</v>
      </c>
      <c r="C44" s="2796" t="s">
        <v>2297</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4" t="s">
        <v>1236</v>
      </c>
      <c r="B45" s="117">
        <v>0.03</v>
      </c>
      <c r="C45" s="2795" t="s">
        <v>2289</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4" t="s">
        <v>1237</v>
      </c>
      <c r="B46" s="117">
        <v>0.02</v>
      </c>
      <c r="C46" s="2795" t="s">
        <v>2290</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5" t="s">
        <v>1238</v>
      </c>
      <c r="B47" s="120">
        <v>0</v>
      </c>
      <c r="C47" s="2798" t="s">
        <v>2298</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6" t="s">
        <v>1239</v>
      </c>
      <c r="B48" s="121">
        <v>0.03</v>
      </c>
      <c r="C48" s="2795" t="s">
        <v>2289</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2" t="s">
        <v>1240</v>
      </c>
      <c r="B49" s="117">
        <v>5.0000000000000001E-4</v>
      </c>
      <c r="C49" s="2795" t="s">
        <v>2291</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7" t="s">
        <v>1241</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30" t="s">
        <v>1242</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7" t="s">
        <v>1243</v>
      </c>
      <c r="B52" s="124">
        <f>SUMIF(A54:A63,B53,B54:B63)</f>
        <v>24</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9" t="s">
        <v>1244</v>
      </c>
      <c r="B53" s="1738" t="s">
        <v>184</v>
      </c>
      <c r="C53" s="2654" t="s">
        <v>1245</v>
      </c>
      <c r="D53" s="2797" t="s">
        <v>2295</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9" t="s">
        <v>1246</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9" t="s">
        <v>1247</v>
      </c>
      <c r="B55" s="75">
        <v>24</v>
      </c>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9" t="s">
        <v>1248</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9" t="s">
        <v>1249</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9" t="s">
        <v>1250</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9" t="s">
        <v>1251</v>
      </c>
      <c r="B59" s="75"/>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9" t="s">
        <v>1252</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9" t="s">
        <v>1253</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9" t="s">
        <v>1254</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40" t="s">
        <v>1255</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3" customWidth="1"/>
    <col min="4" max="4" width="2.625" style="2503" customWidth="1"/>
    <col min="5" max="5" width="5.875" style="2503" customWidth="1"/>
    <col min="6" max="6" width="27" style="1572"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9"/>
    <col min="30" max="16384" width="9" style="1686"/>
  </cols>
  <sheetData>
    <row r="1" spans="1:29" s="2455" customFormat="1" ht="18.75" thickBot="1">
      <c r="A1" s="3537" t="s">
        <v>2275</v>
      </c>
      <c r="B1" s="3538"/>
      <c r="C1" s="3538"/>
      <c r="D1" s="3538"/>
      <c r="E1" s="3538"/>
      <c r="F1" s="3538"/>
      <c r="G1" s="353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2272</v>
      </c>
      <c r="D2" s="2459"/>
      <c r="E2" s="2456"/>
      <c r="F2" s="2460"/>
      <c r="G2" s="2458" t="s">
        <v>2273</v>
      </c>
      <c r="H2" s="799"/>
      <c r="I2" s="799"/>
      <c r="J2" s="799"/>
      <c r="K2" s="799"/>
      <c r="L2" s="799"/>
      <c r="M2" s="799"/>
      <c r="N2" s="799"/>
      <c r="O2" s="799"/>
      <c r="P2" s="799"/>
      <c r="Q2" s="799"/>
      <c r="R2" s="799"/>
    </row>
    <row r="3" spans="1:29" ht="24">
      <c r="A3" s="2439" t="s">
        <v>2274</v>
      </c>
      <c r="B3" s="2461" t="s">
        <v>2250</v>
      </c>
      <c r="C3" s="3444" t="s">
        <v>3391</v>
      </c>
      <c r="D3" s="2462"/>
      <c r="E3" s="2440" t="s">
        <v>2274</v>
      </c>
      <c r="F3" s="2463" t="s">
        <v>2251</v>
      </c>
      <c r="G3" s="3447" t="s">
        <v>3391</v>
      </c>
      <c r="H3" s="799"/>
      <c r="I3" s="799"/>
      <c r="J3" s="799"/>
      <c r="K3" s="799"/>
      <c r="L3" s="799"/>
      <c r="M3" s="799"/>
      <c r="N3" s="799"/>
      <c r="O3" s="799"/>
      <c r="P3" s="799"/>
      <c r="Q3" s="799"/>
      <c r="R3" s="799"/>
    </row>
    <row r="4" spans="1:29">
      <c r="A4" s="2440"/>
      <c r="B4" s="323" t="s">
        <v>2252</v>
      </c>
      <c r="C4" s="3445" t="s">
        <v>3392</v>
      </c>
      <c r="D4" s="2462"/>
      <c r="E4" s="2464"/>
      <c r="F4" s="1373" t="s">
        <v>2253</v>
      </c>
      <c r="G4" s="3446" t="s">
        <v>3393</v>
      </c>
      <c r="H4" s="799"/>
      <c r="I4" s="799"/>
      <c r="J4" s="799"/>
      <c r="K4" s="799"/>
      <c r="L4" s="799"/>
      <c r="M4" s="799"/>
      <c r="N4" s="799"/>
      <c r="O4" s="799"/>
      <c r="P4" s="799"/>
      <c r="Q4" s="799"/>
      <c r="R4" s="799"/>
    </row>
    <row r="5" spans="1:29">
      <c r="A5" s="2440"/>
      <c r="B5" s="323" t="s">
        <v>2254</v>
      </c>
      <c r="C5" s="3445" t="s">
        <v>3392</v>
      </c>
      <c r="D5" s="2462"/>
      <c r="E5" s="2464"/>
      <c r="F5" s="323" t="s">
        <v>2255</v>
      </c>
      <c r="G5" s="3446" t="s">
        <v>3393</v>
      </c>
      <c r="H5" s="799"/>
      <c r="I5" s="799"/>
      <c r="J5" s="799"/>
      <c r="K5" s="799"/>
      <c r="L5" s="799"/>
      <c r="M5" s="799"/>
      <c r="N5" s="799"/>
      <c r="O5" s="799"/>
      <c r="P5" s="799"/>
      <c r="Q5" s="799"/>
      <c r="R5" s="799"/>
    </row>
    <row r="6" spans="1:29">
      <c r="A6" s="2440"/>
      <c r="B6" s="323" t="s">
        <v>2256</v>
      </c>
      <c r="C6" s="3446" t="s">
        <v>3393</v>
      </c>
      <c r="D6" s="2462"/>
      <c r="E6" s="2464"/>
      <c r="F6" s="323" t="s">
        <v>2257</v>
      </c>
      <c r="G6" s="3446" t="s">
        <v>3395</v>
      </c>
      <c r="H6" s="799"/>
      <c r="I6" s="799"/>
      <c r="J6" s="799"/>
      <c r="K6" s="799"/>
      <c r="L6" s="799"/>
      <c r="M6" s="799"/>
      <c r="N6" s="799"/>
      <c r="O6" s="799"/>
      <c r="P6" s="799"/>
      <c r="Q6" s="799"/>
      <c r="R6" s="799"/>
    </row>
    <row r="7" spans="1:29" ht="15" thickBot="1">
      <c r="A7" s="2440"/>
      <c r="B7" s="323" t="s">
        <v>2255</v>
      </c>
      <c r="C7" s="3446" t="s">
        <v>3393</v>
      </c>
      <c r="D7" s="2465"/>
      <c r="E7" s="2466"/>
      <c r="F7" s="2467" t="s">
        <v>2258</v>
      </c>
      <c r="G7" s="3448" t="s">
        <v>3393</v>
      </c>
      <c r="H7" s="799"/>
      <c r="I7" s="799"/>
      <c r="J7" s="799"/>
      <c r="K7" s="799"/>
      <c r="L7" s="799"/>
      <c r="M7" s="799"/>
      <c r="N7" s="799"/>
      <c r="O7" s="799"/>
      <c r="P7" s="799"/>
      <c r="Q7" s="799"/>
      <c r="R7" s="799"/>
    </row>
    <row r="8" spans="1:29">
      <c r="A8" s="2440"/>
      <c r="B8" s="323" t="s">
        <v>2257</v>
      </c>
      <c r="C8" s="3446" t="s">
        <v>3395</v>
      </c>
      <c r="D8" s="2465"/>
      <c r="E8" s="2465"/>
      <c r="F8" s="2468"/>
      <c r="G8" s="2468"/>
      <c r="H8" s="799"/>
      <c r="I8" s="799"/>
      <c r="J8" s="799"/>
      <c r="K8" s="799"/>
      <c r="L8" s="799"/>
      <c r="M8" s="799"/>
      <c r="N8" s="799"/>
      <c r="O8" s="799"/>
      <c r="P8" s="799"/>
      <c r="Q8" s="799"/>
      <c r="R8" s="799"/>
    </row>
    <row r="9" spans="1:29">
      <c r="A9" s="2440"/>
      <c r="B9" s="323" t="s">
        <v>2259</v>
      </c>
      <c r="C9" s="3445" t="s">
        <v>3393</v>
      </c>
      <c r="D9" s="2462"/>
      <c r="E9" s="2465"/>
      <c r="F9" s="2468"/>
      <c r="G9" s="2468"/>
      <c r="H9" s="799"/>
      <c r="I9" s="799"/>
      <c r="J9" s="799"/>
      <c r="K9" s="799"/>
      <c r="L9" s="799"/>
      <c r="M9" s="799"/>
      <c r="N9" s="799"/>
      <c r="O9" s="799"/>
      <c r="P9" s="799"/>
      <c r="Q9" s="799"/>
      <c r="R9" s="799"/>
    </row>
    <row r="10" spans="1:29" s="2474" customFormat="1" ht="15" thickBot="1">
      <c r="A10" s="2441"/>
      <c r="B10" s="2469" t="s">
        <v>2260</v>
      </c>
      <c r="C10" s="2470"/>
      <c r="D10" s="2462"/>
      <c r="E10" s="2462"/>
      <c r="F10" s="2468"/>
      <c r="G10" s="2468"/>
      <c r="H10" s="2471"/>
      <c r="I10" s="2472"/>
      <c r="J10" s="2473"/>
      <c r="K10" s="2471"/>
      <c r="L10" s="2472"/>
      <c r="M10" s="2473"/>
      <c r="N10" s="2471"/>
      <c r="O10" s="2472"/>
      <c r="P10" s="2473"/>
      <c r="Q10" s="2471"/>
      <c r="R10" s="2472"/>
      <c r="S10" s="799"/>
      <c r="T10" s="799"/>
      <c r="U10" s="799"/>
      <c r="V10" s="799"/>
      <c r="W10" s="799"/>
      <c r="X10" s="799"/>
      <c r="Y10" s="799"/>
      <c r="Z10" s="799"/>
      <c r="AA10" s="799"/>
      <c r="AB10" s="799"/>
      <c r="AC10" s="799"/>
    </row>
    <row r="11" spans="1:29" s="2474" customFormat="1">
      <c r="A11" s="2475"/>
      <c r="B11" s="2465"/>
      <c r="C11" s="2462"/>
      <c r="D11" s="2462"/>
      <c r="E11" s="2462"/>
      <c r="F11" s="2465"/>
      <c r="G11" s="2476"/>
      <c r="H11" s="2471"/>
      <c r="I11" s="2472"/>
      <c r="J11" s="2473"/>
      <c r="K11" s="2471"/>
      <c r="L11" s="2472"/>
      <c r="M11" s="2473"/>
      <c r="N11" s="2471"/>
      <c r="O11" s="2472"/>
      <c r="P11" s="2473"/>
      <c r="Q11" s="2471"/>
      <c r="R11" s="2472"/>
      <c r="S11" s="799"/>
      <c r="T11" s="799"/>
      <c r="U11" s="799"/>
      <c r="V11" s="799"/>
      <c r="W11" s="799"/>
      <c r="X11" s="799"/>
      <c r="Y11" s="799"/>
      <c r="Z11" s="799"/>
      <c r="AA11" s="799"/>
      <c r="AB11" s="799"/>
      <c r="AC11" s="799"/>
    </row>
    <row r="12" spans="1:29" s="2455" customFormat="1" ht="18">
      <c r="A12" s="2475"/>
      <c r="B12" s="2465"/>
      <c r="C12" s="2462"/>
      <c r="D12" s="2477"/>
      <c r="E12" s="2462"/>
      <c r="F12" s="2465"/>
      <c r="G12" s="2476"/>
      <c r="H12" s="2478"/>
      <c r="I12" s="2479"/>
      <c r="J12" s="2478"/>
      <c r="K12" s="2478"/>
      <c r="L12" s="2480"/>
      <c r="M12" s="2478"/>
      <c r="N12" s="2481"/>
      <c r="O12" s="2482"/>
      <c r="P12" s="2481"/>
      <c r="Q12" s="2481"/>
      <c r="R12" s="2453"/>
      <c r="S12" s="2454"/>
      <c r="T12" s="2454"/>
      <c r="U12" s="2454"/>
      <c r="V12" s="2454"/>
      <c r="W12" s="2454"/>
      <c r="X12" s="2454"/>
      <c r="Y12" s="2454"/>
      <c r="Z12" s="2454"/>
      <c r="AA12" s="2454"/>
      <c r="AB12" s="2454"/>
      <c r="AC12" s="2454"/>
    </row>
    <row r="13" spans="1:29" ht="15.75" thickBot="1">
      <c r="A13" s="2483" t="s">
        <v>2276</v>
      </c>
      <c r="B13" s="2477"/>
      <c r="C13" s="2477"/>
      <c r="D13" s="2475"/>
      <c r="E13" s="2477"/>
      <c r="F13" s="2477"/>
      <c r="G13" s="2477"/>
    </row>
    <row r="14" spans="1:29" ht="15" thickBot="1">
      <c r="A14" s="2487"/>
      <c r="B14" s="2487"/>
      <c r="C14" s="2488" t="s">
        <v>2261</v>
      </c>
      <c r="D14" s="2462"/>
      <c r="E14" s="2489"/>
      <c r="F14" s="2489"/>
      <c r="G14" s="2458" t="s">
        <v>2262</v>
      </c>
    </row>
    <row r="15" spans="1:29" ht="24">
      <c r="A15" s="2442" t="s">
        <v>2263</v>
      </c>
      <c r="B15" s="2490" t="s">
        <v>2250</v>
      </c>
      <c r="C15" s="2491" t="str">
        <f>C3</f>
        <v>较好</v>
      </c>
      <c r="D15" s="2462"/>
      <c r="E15" s="2443" t="s">
        <v>2264</v>
      </c>
      <c r="F15" s="2490" t="s">
        <v>2265</v>
      </c>
      <c r="G15" s="2492" t="str">
        <f>G3</f>
        <v>较好</v>
      </c>
    </row>
    <row r="16" spans="1:29">
      <c r="A16" s="2444"/>
      <c r="B16" s="2493" t="s">
        <v>2252</v>
      </c>
      <c r="C16" s="2494" t="str">
        <f>C4</f>
        <v>较好</v>
      </c>
      <c r="D16" s="2462"/>
      <c r="E16" s="2445"/>
      <c r="F16" s="2495" t="s">
        <v>2253</v>
      </c>
      <c r="G16" s="2496" t="str">
        <f>G4</f>
        <v>较好</v>
      </c>
    </row>
    <row r="17" spans="1:18">
      <c r="A17" s="2444"/>
      <c r="B17" s="2493" t="s">
        <v>2254</v>
      </c>
      <c r="C17" s="2494" t="str">
        <f>C5</f>
        <v>较好</v>
      </c>
      <c r="D17" s="2465"/>
      <c r="E17" s="2445"/>
      <c r="F17" s="2495" t="s">
        <v>2266</v>
      </c>
      <c r="G17" s="3449" t="s">
        <v>3396</v>
      </c>
    </row>
    <row r="18" spans="1:18">
      <c r="A18" s="2444"/>
      <c r="B18" s="2495" t="s">
        <v>2256</v>
      </c>
      <c r="C18" s="2496" t="str">
        <f>C6</f>
        <v>较好</v>
      </c>
      <c r="D18" s="2465"/>
      <c r="E18" s="2445"/>
      <c r="F18" s="2495" t="s">
        <v>2258</v>
      </c>
      <c r="G18" s="2496" t="str">
        <f>G7</f>
        <v>较好</v>
      </c>
    </row>
    <row r="19" spans="1:18">
      <c r="A19" s="2444"/>
      <c r="B19" s="2495" t="s">
        <v>2267</v>
      </c>
      <c r="C19" s="3449" t="s">
        <v>3396</v>
      </c>
      <c r="D19" s="2462"/>
      <c r="E19" s="2445"/>
      <c r="F19" s="323" t="s">
        <v>2255</v>
      </c>
      <c r="G19" s="2496" t="str">
        <f>G5</f>
        <v>较好</v>
      </c>
    </row>
    <row r="20" spans="1:18">
      <c r="A20" s="2444"/>
      <c r="B20" s="2495" t="s">
        <v>2268</v>
      </c>
      <c r="C20" s="2494" t="str">
        <f>C9</f>
        <v>较好</v>
      </c>
      <c r="D20" s="2465"/>
      <c r="E20" s="2445"/>
      <c r="F20" s="323" t="s">
        <v>2257</v>
      </c>
      <c r="G20" s="2496" t="str">
        <f>G6</f>
        <v>七通</v>
      </c>
    </row>
    <row r="21" spans="1:18">
      <c r="A21" s="2444"/>
      <c r="B21" s="323" t="s">
        <v>2255</v>
      </c>
      <c r="C21" s="2496" t="str">
        <f>C7</f>
        <v>较好</v>
      </c>
      <c r="D21" s="2462"/>
      <c r="E21" s="2445"/>
      <c r="F21" s="2495" t="s">
        <v>2269</v>
      </c>
      <c r="G21" s="2498"/>
    </row>
    <row r="22" spans="1:18" ht="13.5" customHeight="1">
      <c r="A22" s="2444"/>
      <c r="B22" s="323" t="s">
        <v>2257</v>
      </c>
      <c r="C22" s="2496" t="str">
        <f>C8</f>
        <v>七通</v>
      </c>
      <c r="D22" s="2462"/>
      <c r="E22" s="2445"/>
      <c r="F22" s="2495" t="s">
        <v>2260</v>
      </c>
      <c r="G22" s="2497"/>
    </row>
    <row r="23" spans="1:18" s="799" customFormat="1" ht="15" thickBot="1">
      <c r="A23" s="2444"/>
      <c r="B23" s="2495" t="s">
        <v>2269</v>
      </c>
      <c r="C23" s="2498"/>
      <c r="D23" s="1741"/>
      <c r="E23" s="2446"/>
      <c r="F23" s="2499" t="s">
        <v>2270</v>
      </c>
      <c r="G23" s="2500"/>
      <c r="H23" s="2484"/>
      <c r="I23" s="2485"/>
      <c r="J23" s="2484"/>
      <c r="K23" s="2484"/>
      <c r="L23" s="2485"/>
      <c r="M23" s="2484"/>
      <c r="N23" s="2484"/>
      <c r="O23" s="2485"/>
      <c r="P23" s="2484"/>
      <c r="Q23" s="2484"/>
      <c r="R23" s="2486"/>
    </row>
    <row r="24" spans="1:18" s="799" customFormat="1" ht="15" thickBot="1">
      <c r="A24" s="2447"/>
      <c r="B24" s="2499" t="s">
        <v>2271</v>
      </c>
      <c r="C24" s="2501">
        <f>C10</f>
        <v>0</v>
      </c>
      <c r="D24" s="1741"/>
      <c r="E24" s="2437"/>
      <c r="F24" s="2437"/>
      <c r="G24" s="2502"/>
      <c r="H24" s="2484"/>
      <c r="I24" s="2485"/>
      <c r="J24" s="2484"/>
      <c r="K24" s="2484"/>
      <c r="L24" s="2485"/>
      <c r="M24" s="2484"/>
      <c r="N24" s="2484"/>
      <c r="O24" s="2485"/>
      <c r="P24" s="2484"/>
      <c r="Q24" s="2484"/>
      <c r="R24" s="2486"/>
    </row>
    <row r="25" spans="1:18" s="799" customFormat="1">
      <c r="B25" s="2484"/>
      <c r="C25" s="2484"/>
      <c r="D25" s="2484"/>
      <c r="H25" s="2484"/>
      <c r="I25" s="2485"/>
      <c r="J25" s="2484"/>
      <c r="K25" s="2484"/>
      <c r="L25" s="2485"/>
      <c r="M25" s="2484"/>
      <c r="N25" s="2484"/>
      <c r="O25" s="2485"/>
      <c r="P25" s="2484"/>
      <c r="Q25" s="2484"/>
      <c r="R25" s="2486"/>
    </row>
    <row r="26" spans="1:18" s="799" customFormat="1">
      <c r="B26" s="2484"/>
      <c r="C26" s="2484"/>
      <c r="D26" s="2484"/>
      <c r="H26" s="2484"/>
      <c r="I26" s="2485"/>
      <c r="J26" s="2484"/>
      <c r="K26" s="2484"/>
      <c r="L26" s="2485"/>
      <c r="M26" s="2484"/>
      <c r="N26" s="2484"/>
      <c r="O26" s="2485"/>
      <c r="P26" s="2484"/>
      <c r="Q26" s="2484"/>
      <c r="R26" s="2486"/>
    </row>
    <row r="27" spans="1:18" s="799" customFormat="1">
      <c r="B27" s="2484"/>
      <c r="C27" s="2484"/>
      <c r="D27" s="2484"/>
      <c r="H27" s="2484"/>
      <c r="I27" s="2485"/>
      <c r="J27" s="2484"/>
      <c r="K27" s="2484"/>
      <c r="L27" s="2485"/>
      <c r="M27" s="2484"/>
      <c r="N27" s="2484"/>
      <c r="O27" s="2485"/>
      <c r="P27" s="2484"/>
      <c r="Q27" s="2484"/>
      <c r="R27" s="2486"/>
    </row>
    <row r="28" spans="1:18" s="799" customFormat="1">
      <c r="B28" s="2484"/>
      <c r="C28" s="2484"/>
      <c r="D28" s="2484"/>
      <c r="H28" s="2484"/>
      <c r="I28" s="2485"/>
      <c r="J28" s="2484"/>
      <c r="K28" s="2484"/>
      <c r="L28" s="2485"/>
      <c r="M28" s="2484"/>
      <c r="N28" s="2484"/>
      <c r="O28" s="2485"/>
      <c r="P28" s="2484"/>
      <c r="Q28" s="2484"/>
      <c r="R28" s="2486"/>
    </row>
    <row r="29" spans="1:18" s="799" customFormat="1">
      <c r="B29" s="2484"/>
      <c r="C29" s="2484"/>
      <c r="D29" s="2484"/>
      <c r="H29" s="2484"/>
      <c r="I29" s="2485"/>
      <c r="J29" s="2484"/>
      <c r="K29" s="2484"/>
      <c r="L29" s="2485"/>
      <c r="M29" s="2484"/>
      <c r="N29" s="2484"/>
      <c r="O29" s="2485"/>
      <c r="P29" s="2484"/>
      <c r="Q29" s="2484"/>
      <c r="R29" s="2486"/>
    </row>
    <row r="30" spans="1:18" s="799" customFormat="1">
      <c r="B30" s="2484"/>
      <c r="C30" s="2484"/>
      <c r="D30" s="2484"/>
      <c r="H30" s="2484"/>
      <c r="I30" s="2485"/>
      <c r="J30" s="2484"/>
      <c r="K30" s="2484"/>
      <c r="L30" s="2485"/>
      <c r="M30" s="2484"/>
      <c r="N30" s="2484"/>
      <c r="O30" s="2485"/>
      <c r="P30" s="2484"/>
      <c r="Q30" s="2484"/>
      <c r="R30" s="2486"/>
    </row>
    <row r="31" spans="1:18" s="799" customFormat="1">
      <c r="B31" s="2484"/>
      <c r="C31" s="2484"/>
      <c r="D31" s="2484"/>
      <c r="H31" s="2484"/>
      <c r="I31" s="2485"/>
      <c r="J31" s="2484"/>
      <c r="K31" s="2484"/>
      <c r="L31" s="2485"/>
      <c r="M31" s="2484"/>
      <c r="N31" s="2484"/>
      <c r="O31" s="2485"/>
      <c r="P31" s="2484"/>
      <c r="Q31" s="2484"/>
      <c r="R31" s="2486"/>
    </row>
    <row r="32" spans="1:18" s="799" customFormat="1">
      <c r="B32" s="2484"/>
      <c r="C32" s="2484"/>
      <c r="D32" s="2484"/>
      <c r="H32" s="2484"/>
      <c r="I32" s="2485"/>
      <c r="J32" s="2484"/>
      <c r="K32" s="2484"/>
      <c r="L32" s="2485"/>
      <c r="M32" s="2484"/>
      <c r="N32" s="2484"/>
      <c r="O32" s="2485"/>
      <c r="P32" s="2484"/>
      <c r="Q32" s="2484"/>
      <c r="R32" s="2486"/>
    </row>
    <row r="33" spans="2:18" s="799" customFormat="1">
      <c r="B33" s="2484"/>
      <c r="C33" s="2484"/>
      <c r="D33" s="2484"/>
      <c r="H33" s="2484"/>
      <c r="I33" s="2485"/>
      <c r="J33" s="2484"/>
      <c r="K33" s="2484"/>
      <c r="L33" s="2485"/>
      <c r="M33" s="2484"/>
      <c r="N33" s="2484"/>
      <c r="O33" s="2485"/>
      <c r="P33" s="2484"/>
      <c r="Q33" s="2484"/>
      <c r="R33" s="2486"/>
    </row>
    <row r="34" spans="2:18" s="799" customFormat="1">
      <c r="B34" s="2484"/>
      <c r="C34" s="2484"/>
      <c r="D34" s="2484"/>
      <c r="H34" s="2484"/>
      <c r="I34" s="2485"/>
      <c r="J34" s="2484"/>
      <c r="K34" s="2484"/>
      <c r="L34" s="2485"/>
      <c r="M34" s="2484"/>
      <c r="N34" s="2484"/>
      <c r="O34" s="2485"/>
      <c r="P34" s="2484"/>
      <c r="Q34" s="2484"/>
      <c r="R34" s="2486"/>
    </row>
    <row r="35" spans="2:18" s="799" customFormat="1">
      <c r="B35" s="2484"/>
      <c r="C35" s="2484"/>
      <c r="D35" s="2484"/>
      <c r="H35" s="2484"/>
      <c r="I35" s="2485"/>
      <c r="J35" s="2484"/>
      <c r="K35" s="2484"/>
      <c r="L35" s="2485"/>
      <c r="M35" s="2484"/>
      <c r="N35" s="2484"/>
      <c r="O35" s="2485"/>
      <c r="P35" s="2484"/>
      <c r="Q35" s="2484"/>
      <c r="R35" s="2486"/>
    </row>
    <row r="36" spans="2:18" s="799" customFormat="1">
      <c r="B36" s="2484"/>
      <c r="C36" s="2484"/>
      <c r="D36" s="2484"/>
      <c r="H36" s="2484"/>
      <c r="I36" s="2485"/>
      <c r="J36" s="2484"/>
      <c r="K36" s="2484"/>
      <c r="L36" s="2485"/>
      <c r="M36" s="2484"/>
      <c r="N36" s="2484"/>
      <c r="O36" s="2485"/>
      <c r="P36" s="2484"/>
      <c r="Q36" s="2484"/>
      <c r="R36" s="2486"/>
    </row>
    <row r="37" spans="2:18" s="799" customFormat="1">
      <c r="B37" s="2484"/>
      <c r="C37" s="2484"/>
      <c r="D37" s="2484"/>
      <c r="H37" s="2484"/>
      <c r="I37" s="2485"/>
      <c r="J37" s="2484"/>
      <c r="K37" s="2484"/>
      <c r="L37" s="2485"/>
      <c r="M37" s="2484"/>
      <c r="N37" s="2484"/>
      <c r="O37" s="2485"/>
      <c r="P37" s="2484"/>
      <c r="Q37" s="2484"/>
      <c r="R37" s="2486"/>
    </row>
    <row r="38" spans="2:18" s="799" customFormat="1">
      <c r="B38" s="2484"/>
      <c r="C38" s="2484"/>
      <c r="D38" s="2484"/>
      <c r="E38" s="2484"/>
      <c r="F38" s="2484"/>
      <c r="G38" s="2485"/>
      <c r="H38" s="2484"/>
      <c r="I38" s="2485"/>
      <c r="J38" s="2484"/>
      <c r="K38" s="2484"/>
      <c r="L38" s="2485"/>
      <c r="M38" s="2484"/>
      <c r="N38" s="2484"/>
      <c r="O38" s="2485"/>
      <c r="P38" s="2484"/>
      <c r="Q38" s="2484"/>
      <c r="R38" s="2486"/>
    </row>
    <row r="39" spans="2:18" s="799" customFormat="1">
      <c r="B39" s="2484"/>
      <c r="C39" s="2484"/>
      <c r="D39" s="2484"/>
      <c r="E39" s="2484"/>
      <c r="F39" s="2484"/>
      <c r="G39" s="2485"/>
      <c r="H39" s="2484"/>
      <c r="I39" s="2485"/>
      <c r="J39" s="2484"/>
      <c r="K39" s="2484"/>
      <c r="L39" s="2485"/>
      <c r="M39" s="2484"/>
      <c r="N39" s="2484"/>
      <c r="O39" s="2485"/>
      <c r="P39" s="2484"/>
      <c r="Q39" s="2484"/>
      <c r="R39" s="2486"/>
    </row>
    <row r="40" spans="2:18" s="799" customFormat="1">
      <c r="B40" s="2484"/>
      <c r="C40" s="2484"/>
      <c r="D40" s="2484"/>
      <c r="E40" s="2484"/>
      <c r="F40" s="2484"/>
      <c r="G40" s="2485"/>
      <c r="H40" s="2484"/>
      <c r="I40" s="2485"/>
      <c r="J40" s="2484"/>
      <c r="K40" s="2484"/>
      <c r="L40" s="2485"/>
      <c r="M40" s="2484"/>
      <c r="N40" s="2484"/>
      <c r="O40" s="2485"/>
      <c r="P40" s="2484"/>
      <c r="Q40" s="2484"/>
      <c r="R40" s="2486"/>
    </row>
    <row r="41" spans="2:18" s="799" customFormat="1">
      <c r="B41" s="2484"/>
      <c r="C41" s="2484"/>
      <c r="D41" s="2484"/>
      <c r="E41" s="2484"/>
      <c r="F41" s="2484"/>
      <c r="G41" s="2485"/>
      <c r="H41" s="2484"/>
      <c r="I41" s="2485"/>
      <c r="J41" s="2484"/>
      <c r="K41" s="2484"/>
      <c r="L41" s="2485"/>
      <c r="M41" s="2484"/>
      <c r="N41" s="2484"/>
      <c r="O41" s="2485"/>
      <c r="P41" s="2484"/>
      <c r="Q41" s="2484"/>
      <c r="R41" s="2486"/>
    </row>
    <row r="42" spans="2:18" s="799" customFormat="1">
      <c r="B42" s="2484"/>
      <c r="C42" s="2484"/>
      <c r="D42" s="2484"/>
      <c r="E42" s="2484"/>
      <c r="F42" s="2484"/>
      <c r="G42" s="2485"/>
      <c r="H42" s="2484"/>
      <c r="I42" s="2485"/>
      <c r="J42" s="2484"/>
      <c r="K42" s="2484"/>
      <c r="L42" s="2485"/>
      <c r="M42" s="2484"/>
      <c r="N42" s="2484"/>
      <c r="O42" s="2485"/>
      <c r="P42" s="2484"/>
      <c r="Q42" s="2484"/>
      <c r="R42" s="2486"/>
    </row>
    <row r="43" spans="2:18" s="799" customFormat="1">
      <c r="B43" s="2484"/>
      <c r="C43" s="2484"/>
      <c r="D43" s="2484"/>
      <c r="E43" s="2484"/>
      <c r="F43" s="2484"/>
      <c r="G43" s="2485"/>
      <c r="H43" s="2484"/>
      <c r="I43" s="2485"/>
      <c r="J43" s="2484"/>
      <c r="K43" s="2484"/>
      <c r="L43" s="2485"/>
      <c r="M43" s="2484"/>
      <c r="N43" s="2484"/>
      <c r="O43" s="2485"/>
      <c r="P43" s="2484"/>
      <c r="Q43" s="2484"/>
      <c r="R43" s="2486"/>
    </row>
    <row r="44" spans="2:18" s="799" customFormat="1">
      <c r="B44" s="2484"/>
      <c r="C44" s="2484"/>
      <c r="D44" s="2484"/>
      <c r="E44" s="2484"/>
      <c r="F44" s="2484"/>
      <c r="G44" s="2485"/>
      <c r="H44" s="2484"/>
      <c r="I44" s="2485"/>
      <c r="J44" s="2484"/>
      <c r="K44" s="2484"/>
      <c r="L44" s="2485"/>
      <c r="M44" s="2484"/>
      <c r="N44" s="2484"/>
      <c r="O44" s="2485"/>
      <c r="P44" s="2484"/>
      <c r="Q44" s="2484"/>
      <c r="R44" s="2486"/>
    </row>
    <row r="45" spans="2:18" s="799" customFormat="1">
      <c r="B45" s="2484"/>
      <c r="C45" s="2484"/>
      <c r="D45" s="2484"/>
      <c r="E45" s="2484"/>
      <c r="F45" s="2484"/>
      <c r="G45" s="2485"/>
      <c r="H45" s="2484"/>
      <c r="I45" s="2485"/>
      <c r="J45" s="2484"/>
      <c r="K45" s="2484"/>
      <c r="L45" s="2485"/>
      <c r="M45" s="2484"/>
      <c r="N45" s="2484"/>
      <c r="O45" s="2485"/>
      <c r="P45" s="2484"/>
      <c r="Q45" s="2484"/>
      <c r="R45" s="2486"/>
    </row>
    <row r="46" spans="2:18" s="799" customFormat="1">
      <c r="B46" s="2484"/>
      <c r="C46" s="2484"/>
      <c r="D46" s="2484"/>
      <c r="E46" s="2484"/>
      <c r="F46" s="2484"/>
      <c r="G46" s="2485"/>
      <c r="H46" s="2484"/>
      <c r="I46" s="2485"/>
      <c r="J46" s="2484"/>
      <c r="K46" s="2484"/>
      <c r="L46" s="2485"/>
      <c r="M46" s="2484"/>
      <c r="N46" s="2484"/>
      <c r="O46" s="2485"/>
      <c r="P46" s="2484"/>
      <c r="Q46" s="2484"/>
      <c r="R46" s="2486"/>
    </row>
    <row r="47" spans="2:18" s="799" customFormat="1">
      <c r="B47" s="2484"/>
      <c r="C47" s="2484"/>
      <c r="D47" s="2484"/>
      <c r="E47" s="2484"/>
      <c r="F47" s="2484"/>
      <c r="G47" s="2485"/>
      <c r="H47" s="2484"/>
      <c r="I47" s="2485"/>
      <c r="J47" s="2484"/>
      <c r="K47" s="2484"/>
      <c r="L47" s="2485"/>
      <c r="M47" s="2484"/>
      <c r="N47" s="2484"/>
      <c r="O47" s="2485"/>
      <c r="P47" s="2484"/>
      <c r="Q47" s="2484"/>
      <c r="R47" s="2486"/>
    </row>
    <row r="48" spans="2:18" s="799" customFormat="1">
      <c r="B48" s="2484"/>
      <c r="C48" s="2484"/>
      <c r="D48" s="2484"/>
      <c r="E48" s="2484"/>
      <c r="F48" s="2484"/>
      <c r="G48" s="2485"/>
      <c r="H48" s="2484"/>
      <c r="I48" s="2485"/>
      <c r="J48" s="2484"/>
      <c r="K48" s="2484"/>
      <c r="L48" s="2485"/>
      <c r="M48" s="2484"/>
      <c r="N48" s="2484"/>
      <c r="O48" s="2485"/>
      <c r="P48" s="2484"/>
      <c r="Q48" s="2484"/>
      <c r="R48" s="2486"/>
    </row>
    <row r="49" spans="2:18" s="799" customFormat="1">
      <c r="B49" s="2484"/>
      <c r="C49" s="2484"/>
      <c r="D49" s="2484"/>
      <c r="E49" s="2484"/>
      <c r="F49" s="2484"/>
      <c r="G49" s="2485"/>
      <c r="H49" s="2484"/>
      <c r="I49" s="2485"/>
      <c r="J49" s="2484"/>
      <c r="K49" s="2484"/>
      <c r="L49" s="2485"/>
      <c r="M49" s="2484"/>
      <c r="N49" s="2484"/>
      <c r="O49" s="2485"/>
      <c r="P49" s="2484"/>
      <c r="Q49" s="2484"/>
      <c r="R49" s="2486"/>
    </row>
    <row r="50" spans="2:18" s="799" customFormat="1">
      <c r="B50" s="2484"/>
      <c r="C50" s="2484"/>
      <c r="D50" s="2484"/>
      <c r="E50" s="2484"/>
      <c r="F50" s="2484"/>
      <c r="G50" s="2485"/>
      <c r="H50" s="2484"/>
      <c r="I50" s="2485"/>
      <c r="J50" s="2484"/>
      <c r="K50" s="2484"/>
      <c r="L50" s="2485"/>
      <c r="M50" s="2484"/>
      <c r="N50" s="2484"/>
      <c r="O50" s="2485"/>
      <c r="P50" s="2484"/>
      <c r="Q50" s="2484"/>
      <c r="R50" s="2486"/>
    </row>
    <row r="51" spans="2:18" s="799" customFormat="1">
      <c r="B51" s="2484"/>
      <c r="C51" s="2484"/>
      <c r="D51" s="2484"/>
      <c r="E51" s="2484"/>
      <c r="F51" s="2484"/>
      <c r="G51" s="2485"/>
      <c r="H51" s="2484"/>
      <c r="I51" s="2485"/>
      <c r="J51" s="2484"/>
      <c r="K51" s="2484"/>
      <c r="L51" s="2485"/>
      <c r="M51" s="2484"/>
      <c r="N51" s="2484"/>
      <c r="O51" s="2485"/>
      <c r="P51" s="2484"/>
      <c r="Q51" s="2484"/>
      <c r="R51" s="2486"/>
    </row>
    <row r="52" spans="2:18" s="799" customFormat="1">
      <c r="B52" s="2484"/>
      <c r="C52" s="2484"/>
      <c r="D52" s="2484"/>
      <c r="E52" s="2484"/>
      <c r="F52" s="2484"/>
      <c r="G52" s="2485"/>
      <c r="H52" s="2484"/>
      <c r="I52" s="2485"/>
      <c r="J52" s="2484"/>
      <c r="K52" s="2484"/>
      <c r="L52" s="2485"/>
      <c r="M52" s="2484"/>
      <c r="N52" s="2484"/>
      <c r="O52" s="2485"/>
      <c r="P52" s="2484"/>
      <c r="Q52" s="2484"/>
      <c r="R52" s="2486"/>
    </row>
    <row r="53" spans="2:18" s="799" customFormat="1">
      <c r="B53" s="2484"/>
      <c r="C53" s="2484"/>
      <c r="D53" s="2484"/>
      <c r="E53" s="2484"/>
      <c r="F53" s="2484"/>
      <c r="G53" s="2485"/>
      <c r="H53" s="2484"/>
      <c r="I53" s="2485"/>
      <c r="J53" s="2484"/>
      <c r="K53" s="2484"/>
      <c r="L53" s="2485"/>
      <c r="M53" s="2484"/>
      <c r="N53" s="2484"/>
      <c r="O53" s="2485"/>
      <c r="P53" s="2484"/>
      <c r="Q53" s="2484"/>
      <c r="R53" s="2486"/>
    </row>
    <row r="54" spans="2:18" s="799" customFormat="1">
      <c r="B54" s="2484"/>
      <c r="C54" s="2484"/>
      <c r="D54" s="2484"/>
      <c r="E54" s="2484"/>
      <c r="F54" s="2484"/>
      <c r="G54" s="2485"/>
      <c r="H54" s="2484"/>
      <c r="I54" s="2485"/>
      <c r="J54" s="2484"/>
      <c r="K54" s="2484"/>
      <c r="L54" s="2485"/>
      <c r="M54" s="2484"/>
      <c r="N54" s="2484"/>
      <c r="O54" s="2485"/>
      <c r="P54" s="2484"/>
      <c r="Q54" s="2484"/>
      <c r="R54" s="2486"/>
    </row>
    <row r="55" spans="2:18" s="799" customFormat="1">
      <c r="B55" s="2484"/>
      <c r="C55" s="2484"/>
      <c r="D55" s="2484"/>
      <c r="E55" s="2484"/>
      <c r="F55" s="2484"/>
      <c r="G55" s="2485"/>
      <c r="H55" s="2484"/>
      <c r="I55" s="2485"/>
      <c r="J55" s="2484"/>
      <c r="K55" s="2484"/>
      <c r="L55" s="2485"/>
      <c r="M55" s="2484"/>
      <c r="N55" s="2484"/>
      <c r="O55" s="2485"/>
      <c r="P55" s="2484"/>
      <c r="Q55" s="2484"/>
      <c r="R55" s="2486"/>
    </row>
    <row r="56" spans="2:18" s="799" customFormat="1">
      <c r="B56" s="2484"/>
      <c r="C56" s="2484"/>
      <c r="D56" s="2484"/>
      <c r="E56" s="2484"/>
      <c r="F56" s="2484"/>
      <c r="G56" s="2485"/>
      <c r="H56" s="2484"/>
      <c r="I56" s="2485"/>
      <c r="J56" s="2484"/>
      <c r="K56" s="2484"/>
      <c r="L56" s="2485"/>
      <c r="M56" s="2484"/>
      <c r="N56" s="2484"/>
      <c r="O56" s="2485"/>
      <c r="P56" s="2484"/>
      <c r="Q56" s="2484"/>
      <c r="R56" s="2486"/>
    </row>
    <row r="57" spans="2:18" s="799" customFormat="1">
      <c r="B57" s="2484"/>
      <c r="C57" s="2484"/>
      <c r="D57" s="2484"/>
      <c r="E57" s="2484"/>
      <c r="F57" s="2484"/>
      <c r="G57" s="2485"/>
      <c r="H57" s="2484"/>
      <c r="I57" s="2485"/>
      <c r="J57" s="2484"/>
      <c r="K57" s="2484"/>
      <c r="L57" s="2485"/>
      <c r="M57" s="2484"/>
      <c r="N57" s="2484"/>
      <c r="O57" s="2485"/>
      <c r="P57" s="2484"/>
      <c r="Q57" s="2484"/>
      <c r="R57" s="2486"/>
    </row>
    <row r="58" spans="2:18" s="799" customFormat="1">
      <c r="B58" s="2484"/>
      <c r="C58" s="2484"/>
      <c r="D58" s="2484"/>
      <c r="E58" s="2484"/>
      <c r="F58" s="2484"/>
      <c r="G58" s="2485"/>
      <c r="H58" s="2484"/>
      <c r="I58" s="2485"/>
      <c r="J58" s="2484"/>
      <c r="K58" s="2484"/>
      <c r="L58" s="2485"/>
      <c r="M58" s="2484"/>
      <c r="N58" s="2484"/>
      <c r="O58" s="2485"/>
      <c r="P58" s="2484"/>
      <c r="Q58" s="2484"/>
      <c r="R58" s="2486"/>
    </row>
    <row r="59" spans="2:18" s="799" customFormat="1">
      <c r="B59" s="2484"/>
      <c r="C59" s="2484"/>
      <c r="D59" s="2484"/>
      <c r="E59" s="2484"/>
      <c r="F59" s="2484"/>
      <c r="G59" s="2485"/>
      <c r="H59" s="2484"/>
      <c r="I59" s="2485"/>
      <c r="J59" s="2484"/>
      <c r="K59" s="2484"/>
      <c r="L59" s="2485"/>
      <c r="M59" s="2484"/>
      <c r="N59" s="2484"/>
      <c r="O59" s="2485"/>
      <c r="P59" s="2484"/>
      <c r="Q59" s="2484"/>
      <c r="R59" s="2486"/>
    </row>
    <row r="60" spans="2:18" s="799" customFormat="1">
      <c r="B60" s="2484"/>
      <c r="C60" s="2484"/>
      <c r="D60" s="2484"/>
      <c r="E60" s="2484"/>
      <c r="F60" s="2484"/>
      <c r="G60" s="2485"/>
      <c r="H60" s="2484"/>
      <c r="I60" s="2485"/>
      <c r="J60" s="2484"/>
      <c r="K60" s="2484"/>
      <c r="L60" s="2485"/>
      <c r="M60" s="2484"/>
      <c r="N60" s="2484"/>
      <c r="O60" s="2485"/>
      <c r="P60" s="2484"/>
      <c r="Q60" s="2484"/>
      <c r="R60" s="2486"/>
    </row>
    <row r="61" spans="2:18" s="799" customFormat="1">
      <c r="B61" s="2484"/>
      <c r="C61" s="2484"/>
      <c r="D61" s="2484"/>
      <c r="E61" s="2484"/>
      <c r="F61" s="2484"/>
      <c r="G61" s="2485"/>
      <c r="H61" s="2484"/>
      <c r="I61" s="2485"/>
      <c r="J61" s="2484"/>
      <c r="K61" s="2484"/>
      <c r="L61" s="2485"/>
      <c r="M61" s="2484"/>
      <c r="N61" s="2484"/>
      <c r="O61" s="2485"/>
      <c r="P61" s="2484"/>
      <c r="Q61" s="2484"/>
      <c r="R61" s="2486"/>
    </row>
    <row r="62" spans="2:18" s="799" customFormat="1">
      <c r="B62" s="2484"/>
      <c r="C62" s="2484"/>
      <c r="D62" s="2484"/>
      <c r="E62" s="2484"/>
      <c r="F62" s="2484"/>
      <c r="G62" s="2485"/>
      <c r="H62" s="2484"/>
      <c r="I62" s="2485"/>
      <c r="J62" s="2484"/>
      <c r="K62" s="2484"/>
      <c r="L62" s="2485"/>
      <c r="M62" s="2484"/>
      <c r="N62" s="2484"/>
      <c r="O62" s="2485"/>
      <c r="P62" s="2484"/>
      <c r="Q62" s="2484"/>
      <c r="R62" s="2486"/>
    </row>
    <row r="63" spans="2:18" s="799" customFormat="1">
      <c r="B63" s="2484"/>
      <c r="C63" s="2484"/>
      <c r="D63" s="2484"/>
      <c r="E63" s="2484"/>
      <c r="F63" s="2484"/>
      <c r="G63" s="2485"/>
      <c r="H63" s="2484"/>
      <c r="I63" s="2485"/>
      <c r="J63" s="2484"/>
      <c r="K63" s="2484"/>
      <c r="L63" s="2485"/>
      <c r="M63" s="2484"/>
      <c r="N63" s="2484"/>
      <c r="O63" s="2485"/>
      <c r="P63" s="2484"/>
      <c r="Q63" s="2484"/>
      <c r="R63" s="2486"/>
    </row>
    <row r="64" spans="2:18" s="799" customFormat="1">
      <c r="B64" s="2484"/>
      <c r="C64" s="2484"/>
      <c r="D64" s="2484"/>
      <c r="E64" s="2484"/>
      <c r="F64" s="2484"/>
      <c r="G64" s="2485"/>
      <c r="H64" s="2484"/>
      <c r="I64" s="2485"/>
      <c r="J64" s="2484"/>
      <c r="K64" s="2484"/>
      <c r="L64" s="2485"/>
      <c r="M64" s="2484"/>
      <c r="N64" s="2484"/>
      <c r="O64" s="2485"/>
      <c r="P64" s="2484"/>
      <c r="Q64" s="2484"/>
      <c r="R64" s="2486"/>
    </row>
    <row r="65" spans="2:18" s="799" customFormat="1">
      <c r="B65" s="2484"/>
      <c r="C65" s="2484"/>
      <c r="D65" s="2484"/>
      <c r="E65" s="2484"/>
      <c r="F65" s="2484"/>
      <c r="G65" s="2485"/>
      <c r="H65" s="2484"/>
      <c r="I65" s="2485"/>
      <c r="J65" s="2484"/>
      <c r="K65" s="2484"/>
      <c r="L65" s="2485"/>
      <c r="M65" s="2484"/>
      <c r="N65" s="2484"/>
      <c r="O65" s="2485"/>
      <c r="P65" s="2484"/>
      <c r="Q65" s="2484"/>
      <c r="R65" s="2486"/>
    </row>
    <row r="66" spans="2:18" s="799" customFormat="1">
      <c r="B66" s="2484"/>
      <c r="C66" s="2484"/>
      <c r="D66" s="2484"/>
      <c r="E66" s="2484"/>
      <c r="F66" s="2484"/>
      <c r="G66" s="2485"/>
      <c r="H66" s="2484"/>
      <c r="I66" s="2485"/>
      <c r="J66" s="2484"/>
      <c r="K66" s="2484"/>
      <c r="L66" s="2485"/>
      <c r="M66" s="2484"/>
      <c r="N66" s="2484"/>
      <c r="O66" s="2485"/>
      <c r="P66" s="2484"/>
      <c r="Q66" s="2484"/>
      <c r="R66" s="2486"/>
    </row>
    <row r="67" spans="2:18" s="799" customFormat="1">
      <c r="B67" s="2484"/>
      <c r="C67" s="2484"/>
      <c r="D67" s="2484"/>
      <c r="E67" s="2484"/>
      <c r="F67" s="2484"/>
      <c r="G67" s="2485"/>
      <c r="H67" s="2484"/>
      <c r="I67" s="2485"/>
      <c r="J67" s="2484"/>
      <c r="K67" s="2484"/>
      <c r="L67" s="2485"/>
      <c r="M67" s="2484"/>
      <c r="N67" s="2484"/>
      <c r="O67" s="2485"/>
      <c r="P67" s="2484"/>
      <c r="Q67" s="2484"/>
      <c r="R67" s="2486"/>
    </row>
    <row r="68" spans="2:18" s="799" customFormat="1">
      <c r="B68" s="2484"/>
      <c r="C68" s="2484"/>
      <c r="D68" s="2484"/>
      <c r="E68" s="2484"/>
      <c r="F68" s="2484"/>
      <c r="G68" s="2485"/>
      <c r="H68" s="2484"/>
      <c r="I68" s="2485"/>
      <c r="J68" s="2484"/>
      <c r="K68" s="2484"/>
      <c r="L68" s="2485"/>
      <c r="M68" s="2484"/>
      <c r="N68" s="2484"/>
      <c r="O68" s="2485"/>
      <c r="P68" s="2484"/>
      <c r="Q68" s="2484"/>
      <c r="R68" s="2486"/>
    </row>
    <row r="69" spans="2:18" s="799" customFormat="1">
      <c r="B69" s="2484"/>
      <c r="C69" s="2484"/>
      <c r="D69" s="2484"/>
      <c r="E69" s="2484"/>
      <c r="F69" s="2484"/>
      <c r="G69" s="2485"/>
      <c r="H69" s="2484"/>
      <c r="I69" s="2485"/>
      <c r="J69" s="2484"/>
      <c r="K69" s="2484"/>
      <c r="L69" s="2485"/>
      <c r="M69" s="2484"/>
      <c r="N69" s="2484"/>
      <c r="O69" s="2485"/>
      <c r="P69" s="2484"/>
      <c r="Q69" s="2484"/>
      <c r="R69" s="2486"/>
    </row>
    <row r="70" spans="2:18" s="799" customFormat="1">
      <c r="B70" s="2484"/>
      <c r="C70" s="2484"/>
      <c r="D70" s="2484"/>
      <c r="E70" s="2484"/>
      <c r="F70" s="2484"/>
      <c r="G70" s="2485"/>
      <c r="H70" s="2484"/>
      <c r="I70" s="2485"/>
      <c r="J70" s="2484"/>
      <c r="K70" s="2484"/>
      <c r="L70" s="2485"/>
      <c r="M70" s="2484"/>
      <c r="N70" s="2484"/>
      <c r="O70" s="2485"/>
      <c r="P70" s="2484"/>
      <c r="Q70" s="2484"/>
      <c r="R70" s="2486"/>
    </row>
    <row r="71" spans="2:18" s="799" customFormat="1">
      <c r="B71" s="2484"/>
      <c r="C71" s="2484"/>
      <c r="D71" s="2484"/>
      <c r="E71" s="2484"/>
      <c r="F71" s="2484"/>
      <c r="G71" s="2485"/>
      <c r="H71" s="2484"/>
      <c r="I71" s="2485"/>
      <c r="J71" s="2484"/>
      <c r="K71" s="2484"/>
      <c r="L71" s="2485"/>
      <c r="M71" s="2484"/>
      <c r="N71" s="2484"/>
      <c r="O71" s="2485"/>
      <c r="P71" s="2484"/>
      <c r="Q71" s="2484"/>
      <c r="R71" s="2486"/>
    </row>
    <row r="72" spans="2:18" s="799" customFormat="1">
      <c r="B72" s="2484"/>
      <c r="C72" s="2484"/>
      <c r="D72" s="2484"/>
      <c r="E72" s="2484"/>
      <c r="F72" s="2484"/>
      <c r="G72" s="2485"/>
      <c r="H72" s="2484"/>
      <c r="I72" s="2485"/>
      <c r="J72" s="2484"/>
      <c r="K72" s="2484"/>
      <c r="L72" s="2485"/>
      <c r="M72" s="2484"/>
      <c r="N72" s="2484"/>
      <c r="O72" s="2485"/>
      <c r="P72" s="2484"/>
      <c r="Q72" s="2484"/>
      <c r="R72" s="2486"/>
    </row>
    <row r="73" spans="2:18" s="799" customFormat="1">
      <c r="B73" s="2484"/>
      <c r="C73" s="2484"/>
      <c r="D73" s="2484"/>
      <c r="E73" s="2484"/>
      <c r="F73" s="2484"/>
      <c r="G73" s="2485"/>
      <c r="H73" s="2484"/>
      <c r="I73" s="2485"/>
      <c r="J73" s="2484"/>
      <c r="K73" s="2484"/>
      <c r="L73" s="2485"/>
      <c r="M73" s="2484"/>
      <c r="N73" s="2484"/>
      <c r="O73" s="2485"/>
      <c r="P73" s="2484"/>
      <c r="Q73" s="2484"/>
      <c r="R73" s="2486"/>
    </row>
    <row r="74" spans="2:18" s="799" customFormat="1">
      <c r="B74" s="2484"/>
      <c r="C74" s="2484"/>
      <c r="D74" s="2484"/>
      <c r="E74" s="2484"/>
      <c r="F74" s="2484"/>
      <c r="G74" s="2485"/>
      <c r="H74" s="2484"/>
      <c r="I74" s="2485"/>
      <c r="J74" s="2484"/>
      <c r="K74" s="2484"/>
      <c r="L74" s="2485"/>
      <c r="M74" s="2484"/>
      <c r="N74" s="2484"/>
      <c r="O74" s="2485"/>
      <c r="P74" s="2484"/>
      <c r="Q74" s="2484"/>
      <c r="R74" s="2486"/>
    </row>
    <row r="75" spans="2:18" s="799" customFormat="1">
      <c r="B75" s="2484"/>
      <c r="C75" s="2484"/>
      <c r="D75" s="2484"/>
      <c r="E75" s="2484"/>
      <c r="F75" s="2484"/>
      <c r="G75" s="2485"/>
      <c r="H75" s="2484"/>
      <c r="I75" s="2485"/>
      <c r="J75" s="2484"/>
      <c r="K75" s="2484"/>
      <c r="L75" s="2485"/>
      <c r="M75" s="2484"/>
      <c r="N75" s="2484"/>
      <c r="O75" s="2485"/>
      <c r="P75" s="2484"/>
      <c r="Q75" s="2484"/>
      <c r="R75" s="2486"/>
    </row>
    <row r="76" spans="2:18" s="799" customFormat="1">
      <c r="B76" s="2484"/>
      <c r="C76" s="2484"/>
      <c r="D76" s="2484"/>
      <c r="E76" s="2484"/>
      <c r="F76" s="2484"/>
      <c r="G76" s="2485"/>
      <c r="H76" s="2484"/>
      <c r="I76" s="2485"/>
      <c r="J76" s="2484"/>
      <c r="K76" s="2484"/>
      <c r="L76" s="2485"/>
      <c r="M76" s="2484"/>
      <c r="N76" s="2484"/>
      <c r="O76" s="2485"/>
      <c r="P76" s="2484"/>
      <c r="Q76" s="2484"/>
      <c r="R76" s="2486"/>
    </row>
    <row r="77" spans="2:18" s="799" customFormat="1">
      <c r="B77" s="2484"/>
      <c r="C77" s="2484"/>
      <c r="D77" s="2484"/>
      <c r="E77" s="2484"/>
      <c r="F77" s="2484"/>
      <c r="G77" s="2485"/>
      <c r="H77" s="2484"/>
      <c r="I77" s="2485"/>
      <c r="J77" s="2484"/>
      <c r="K77" s="2484"/>
      <c r="L77" s="2485"/>
      <c r="M77" s="2484"/>
      <c r="N77" s="2484"/>
      <c r="O77" s="2485"/>
      <c r="P77" s="2484"/>
      <c r="Q77" s="2484"/>
      <c r="R77" s="2486"/>
    </row>
    <row r="78" spans="2:18" s="799" customFormat="1">
      <c r="B78" s="2484"/>
      <c r="C78" s="2484"/>
      <c r="D78" s="2484"/>
      <c r="E78" s="2484"/>
      <c r="F78" s="2484"/>
      <c r="G78" s="2485"/>
      <c r="H78" s="2484"/>
      <c r="I78" s="2485"/>
      <c r="J78" s="2484"/>
      <c r="K78" s="2484"/>
      <c r="L78" s="2485"/>
      <c r="M78" s="2484"/>
      <c r="N78" s="2484"/>
      <c r="O78" s="2485"/>
      <c r="P78" s="2484"/>
      <c r="Q78" s="2484"/>
      <c r="R78" s="2486"/>
    </row>
    <row r="79" spans="2:18" s="799" customFormat="1">
      <c r="B79" s="2484"/>
      <c r="C79" s="2484"/>
      <c r="D79" s="2484"/>
      <c r="E79" s="2484"/>
      <c r="F79" s="2484"/>
      <c r="G79" s="2485"/>
      <c r="H79" s="2484"/>
      <c r="I79" s="2485"/>
      <c r="J79" s="2484"/>
      <c r="K79" s="2484"/>
      <c r="L79" s="2485"/>
      <c r="M79" s="2484"/>
      <c r="N79" s="2484"/>
      <c r="O79" s="2485"/>
      <c r="P79" s="2484"/>
      <c r="Q79" s="2484"/>
      <c r="R79" s="2486"/>
    </row>
    <row r="80" spans="2:18" s="799" customFormat="1">
      <c r="B80" s="2484"/>
      <c r="C80" s="2484"/>
      <c r="D80" s="2484"/>
      <c r="E80" s="2484"/>
      <c r="F80" s="2484"/>
      <c r="G80" s="2485"/>
      <c r="H80" s="2484"/>
      <c r="I80" s="2485"/>
      <c r="J80" s="2484"/>
      <c r="K80" s="2484"/>
      <c r="L80" s="2485"/>
      <c r="M80" s="2484"/>
      <c r="N80" s="2484"/>
      <c r="O80" s="2485"/>
      <c r="P80" s="2484"/>
      <c r="Q80" s="2484"/>
      <c r="R80" s="2486"/>
    </row>
    <row r="81" spans="2:18" s="799" customFormat="1">
      <c r="B81" s="2484"/>
      <c r="C81" s="2484"/>
      <c r="D81" s="2484"/>
      <c r="E81" s="2484"/>
      <c r="F81" s="2484"/>
      <c r="G81" s="2485"/>
      <c r="H81" s="2484"/>
      <c r="I81" s="2485"/>
      <c r="J81" s="2484"/>
      <c r="K81" s="2484"/>
      <c r="L81" s="2485"/>
      <c r="M81" s="2484"/>
      <c r="N81" s="2484"/>
      <c r="O81" s="2485"/>
      <c r="P81" s="2484"/>
      <c r="Q81" s="2484"/>
      <c r="R81" s="2486"/>
    </row>
    <row r="82" spans="2:18" s="799" customFormat="1">
      <c r="B82" s="2484"/>
      <c r="C82" s="2484"/>
      <c r="D82" s="2484"/>
      <c r="E82" s="2484"/>
      <c r="F82" s="2484"/>
      <c r="G82" s="2485"/>
      <c r="H82" s="2484"/>
      <c r="I82" s="2485"/>
      <c r="J82" s="2484"/>
      <c r="K82" s="2484"/>
      <c r="L82" s="2485"/>
      <c r="M82" s="2484"/>
      <c r="N82" s="2484"/>
      <c r="O82" s="2485"/>
      <c r="P82" s="2484"/>
      <c r="Q82" s="2484"/>
      <c r="R82" s="2486"/>
    </row>
    <row r="83" spans="2:18" s="799" customFormat="1">
      <c r="B83" s="2484"/>
      <c r="C83" s="2484"/>
      <c r="D83" s="2484"/>
      <c r="E83" s="2484"/>
      <c r="F83" s="2484"/>
      <c r="G83" s="2485"/>
      <c r="H83" s="2484"/>
      <c r="I83" s="2485"/>
      <c r="J83" s="2484"/>
      <c r="K83" s="2484"/>
      <c r="L83" s="2485"/>
      <c r="M83" s="2484"/>
      <c r="N83" s="2484"/>
      <c r="O83" s="2485"/>
      <c r="P83" s="2484"/>
      <c r="Q83" s="2484"/>
      <c r="R83" s="2486"/>
    </row>
    <row r="84" spans="2:18" s="799" customFormat="1">
      <c r="B84" s="2484"/>
      <c r="C84" s="2484"/>
      <c r="D84" s="2484"/>
      <c r="E84" s="2484"/>
      <c r="F84" s="2484"/>
      <c r="G84" s="2485"/>
      <c r="H84" s="2484"/>
      <c r="I84" s="2485"/>
      <c r="J84" s="2484"/>
      <c r="K84" s="2484"/>
      <c r="L84" s="2485"/>
      <c r="M84" s="2484"/>
      <c r="N84" s="2484"/>
      <c r="O84" s="2485"/>
      <c r="P84" s="2484"/>
      <c r="Q84" s="2484"/>
      <c r="R84" s="2486"/>
    </row>
    <row r="85" spans="2:18" s="799" customFormat="1">
      <c r="B85" s="2484"/>
      <c r="C85" s="2484"/>
      <c r="D85" s="2484"/>
      <c r="E85" s="2484"/>
      <c r="F85" s="2484"/>
      <c r="G85" s="2485"/>
      <c r="H85" s="2484"/>
      <c r="I85" s="2485"/>
      <c r="J85" s="2484"/>
      <c r="K85" s="2484"/>
      <c r="L85" s="2485"/>
      <c r="M85" s="2484"/>
      <c r="N85" s="2484"/>
      <c r="O85" s="2485"/>
      <c r="P85" s="2484"/>
      <c r="Q85" s="2484"/>
      <c r="R85" s="2486"/>
    </row>
    <row r="86" spans="2:18" s="799" customFormat="1">
      <c r="B86" s="2484"/>
      <c r="C86" s="2484"/>
      <c r="D86" s="2484"/>
      <c r="E86" s="2484"/>
      <c r="F86" s="2484"/>
      <c r="G86" s="2485"/>
      <c r="H86" s="2484"/>
      <c r="I86" s="2485"/>
      <c r="J86" s="2484"/>
      <c r="K86" s="2484"/>
      <c r="L86" s="2485"/>
      <c r="M86" s="2484"/>
      <c r="N86" s="2484"/>
      <c r="O86" s="2485"/>
      <c r="P86" s="2484"/>
      <c r="Q86" s="2484"/>
      <c r="R86" s="2486"/>
    </row>
    <row r="87" spans="2:18" s="799" customFormat="1">
      <c r="B87" s="2484"/>
      <c r="C87" s="2484"/>
      <c r="D87" s="2484"/>
      <c r="E87" s="2484"/>
      <c r="F87" s="2484"/>
      <c r="G87" s="2485"/>
      <c r="H87" s="2484"/>
      <c r="I87" s="2485"/>
      <c r="J87" s="2484"/>
      <c r="K87" s="2484"/>
      <c r="L87" s="2485"/>
      <c r="M87" s="2484"/>
      <c r="N87" s="2484"/>
      <c r="O87" s="2485"/>
      <c r="P87" s="2484"/>
      <c r="Q87" s="2484"/>
      <c r="R87" s="2486"/>
    </row>
    <row r="88" spans="2:18" s="799" customFormat="1">
      <c r="B88" s="2484"/>
      <c r="C88" s="2484"/>
      <c r="D88" s="2484"/>
      <c r="E88" s="2484"/>
      <c r="F88" s="2484"/>
      <c r="G88" s="2485"/>
      <c r="H88" s="2484"/>
      <c r="I88" s="2485"/>
      <c r="J88" s="2484"/>
      <c r="K88" s="2484"/>
      <c r="L88" s="2485"/>
      <c r="M88" s="2484"/>
      <c r="N88" s="2484"/>
      <c r="O88" s="2485"/>
      <c r="P88" s="2484"/>
      <c r="Q88" s="2484"/>
      <c r="R88" s="2486"/>
    </row>
    <row r="89" spans="2:18" s="799" customFormat="1">
      <c r="B89" s="2484"/>
      <c r="C89" s="2484"/>
      <c r="D89" s="2484"/>
      <c r="E89" s="2484"/>
      <c r="F89" s="2484"/>
      <c r="G89" s="2485"/>
      <c r="H89" s="2484"/>
      <c r="I89" s="2485"/>
      <c r="J89" s="2484"/>
      <c r="K89" s="2484"/>
      <c r="L89" s="2485"/>
      <c r="M89" s="2484"/>
      <c r="N89" s="2484"/>
      <c r="O89" s="2485"/>
      <c r="P89" s="2484"/>
      <c r="Q89" s="2484"/>
      <c r="R89" s="2486"/>
    </row>
    <row r="90" spans="2:18" s="799" customFormat="1">
      <c r="B90" s="2484"/>
      <c r="C90" s="2484"/>
      <c r="D90" s="2484"/>
      <c r="E90" s="2484"/>
      <c r="F90" s="2484"/>
      <c r="G90" s="2485"/>
      <c r="H90" s="2484"/>
      <c r="I90" s="2485"/>
      <c r="J90" s="2484"/>
      <c r="K90" s="2484"/>
      <c r="L90" s="2485"/>
      <c r="M90" s="2484"/>
      <c r="N90" s="2484"/>
      <c r="O90" s="2485"/>
      <c r="P90" s="2484"/>
      <c r="Q90" s="2484"/>
      <c r="R90" s="2486"/>
    </row>
    <row r="91" spans="2:18" s="799" customFormat="1">
      <c r="B91" s="2484"/>
      <c r="C91" s="2484"/>
      <c r="D91" s="2484"/>
      <c r="E91" s="2484"/>
      <c r="F91" s="2484"/>
      <c r="G91" s="2485"/>
      <c r="H91" s="2484"/>
      <c r="I91" s="2485"/>
      <c r="J91" s="2484"/>
      <c r="K91" s="2484"/>
      <c r="L91" s="2485"/>
      <c r="M91" s="2484"/>
      <c r="N91" s="2484"/>
      <c r="O91" s="2485"/>
      <c r="P91" s="2484"/>
      <c r="Q91" s="2484"/>
      <c r="R91" s="2486"/>
    </row>
    <row r="92" spans="2:18" s="799" customFormat="1">
      <c r="B92" s="2484"/>
      <c r="C92" s="2484"/>
      <c r="D92" s="2484"/>
      <c r="E92" s="2484"/>
      <c r="F92" s="2484"/>
      <c r="G92" s="2485"/>
      <c r="H92" s="2484"/>
      <c r="I92" s="2485"/>
      <c r="J92" s="2484"/>
      <c r="K92" s="2484"/>
      <c r="L92" s="2485"/>
      <c r="M92" s="2484"/>
      <c r="N92" s="2484"/>
      <c r="O92" s="2485"/>
      <c r="P92" s="2484"/>
      <c r="Q92" s="2484"/>
      <c r="R92" s="2486"/>
    </row>
    <row r="93" spans="2:18" s="799" customFormat="1">
      <c r="B93" s="2484"/>
      <c r="C93" s="2484"/>
      <c r="D93" s="2484"/>
      <c r="E93" s="2484"/>
      <c r="F93" s="2484"/>
      <c r="G93" s="2485"/>
      <c r="H93" s="2484"/>
      <c r="I93" s="2485"/>
      <c r="J93" s="2484"/>
      <c r="K93" s="2484"/>
      <c r="L93" s="2485"/>
      <c r="M93" s="2484"/>
      <c r="N93" s="2484"/>
      <c r="O93" s="2485"/>
      <c r="P93" s="2484"/>
      <c r="Q93" s="2484"/>
      <c r="R93" s="2486"/>
    </row>
    <row r="94" spans="2:18" s="799" customFormat="1">
      <c r="B94" s="2484"/>
      <c r="C94" s="2484"/>
      <c r="D94" s="2484"/>
      <c r="E94" s="2484"/>
      <c r="F94" s="2484"/>
      <c r="G94" s="2485"/>
      <c r="H94" s="2484"/>
      <c r="I94" s="2485"/>
      <c r="J94" s="2484"/>
      <c r="K94" s="2484"/>
      <c r="L94" s="2485"/>
      <c r="M94" s="2484"/>
      <c r="N94" s="2484"/>
      <c r="O94" s="2485"/>
      <c r="P94" s="2484"/>
      <c r="Q94" s="2484"/>
      <c r="R94" s="2486"/>
    </row>
    <row r="95" spans="2:18" s="799" customFormat="1">
      <c r="B95" s="2484"/>
      <c r="C95" s="2484"/>
      <c r="D95" s="2484"/>
      <c r="E95" s="2484"/>
      <c r="F95" s="2484"/>
      <c r="G95" s="2485"/>
      <c r="H95" s="2484"/>
      <c r="I95" s="2485"/>
      <c r="J95" s="2484"/>
      <c r="K95" s="2484"/>
      <c r="L95" s="2485"/>
      <c r="M95" s="2484"/>
      <c r="N95" s="2484"/>
      <c r="O95" s="2485"/>
      <c r="P95" s="2484"/>
      <c r="Q95" s="2484"/>
      <c r="R95" s="2486"/>
    </row>
    <row r="96" spans="2:18" s="799" customFormat="1">
      <c r="B96" s="2484"/>
      <c r="C96" s="2484"/>
      <c r="D96" s="2484"/>
      <c r="E96" s="2484"/>
      <c r="F96" s="2484"/>
      <c r="G96" s="2485"/>
      <c r="H96" s="2484"/>
      <c r="I96" s="2485"/>
      <c r="J96" s="2484"/>
      <c r="K96" s="2484"/>
      <c r="L96" s="2485"/>
      <c r="M96" s="2484"/>
      <c r="N96" s="2484"/>
      <c r="O96" s="2485"/>
      <c r="P96" s="2484"/>
      <c r="Q96" s="2484"/>
      <c r="R96" s="2486"/>
    </row>
    <row r="97" spans="2:18" s="799" customFormat="1">
      <c r="B97" s="2484"/>
      <c r="C97" s="2484"/>
      <c r="D97" s="2484"/>
      <c r="E97" s="2484"/>
      <c r="F97" s="2484"/>
      <c r="G97" s="2485"/>
      <c r="H97" s="2484"/>
      <c r="I97" s="2485"/>
      <c r="J97" s="2484"/>
      <c r="K97" s="2484"/>
      <c r="L97" s="2485"/>
      <c r="M97" s="2484"/>
      <c r="N97" s="2484"/>
      <c r="O97" s="2485"/>
      <c r="P97" s="2484"/>
      <c r="Q97" s="2484"/>
      <c r="R97" s="2486"/>
    </row>
    <row r="98" spans="2:18" s="799" customFormat="1">
      <c r="B98" s="2484"/>
      <c r="C98" s="2484"/>
      <c r="D98" s="2484"/>
      <c r="E98" s="2484"/>
      <c r="F98" s="2484"/>
      <c r="G98" s="2485"/>
      <c r="H98" s="2484"/>
      <c r="I98" s="2485"/>
      <c r="J98" s="2484"/>
      <c r="K98" s="2484"/>
      <c r="L98" s="2485"/>
      <c r="M98" s="2484"/>
      <c r="N98" s="2484"/>
      <c r="O98" s="2485"/>
      <c r="P98" s="2484"/>
      <c r="Q98" s="2484"/>
      <c r="R98" s="2486"/>
    </row>
    <row r="99" spans="2:18" s="799" customFormat="1">
      <c r="B99" s="2484"/>
      <c r="C99" s="2484"/>
      <c r="D99" s="2484"/>
      <c r="E99" s="2484"/>
      <c r="F99" s="2484"/>
      <c r="G99" s="2485"/>
      <c r="H99" s="2484"/>
      <c r="I99" s="2485"/>
      <c r="J99" s="2484"/>
      <c r="K99" s="2484"/>
      <c r="L99" s="2485"/>
      <c r="M99" s="2484"/>
      <c r="N99" s="2484"/>
      <c r="O99" s="2485"/>
      <c r="P99" s="2484"/>
      <c r="Q99" s="2484"/>
      <c r="R99" s="2486"/>
    </row>
    <row r="100" spans="2:18" s="799" customFormat="1">
      <c r="B100" s="2484"/>
      <c r="C100" s="2484"/>
      <c r="D100" s="2484"/>
      <c r="E100" s="2484"/>
      <c r="F100" s="2484"/>
      <c r="G100" s="2485"/>
      <c r="H100" s="2484"/>
      <c r="I100" s="2485"/>
      <c r="J100" s="2484"/>
      <c r="K100" s="2484"/>
      <c r="L100" s="2485"/>
      <c r="M100" s="2484"/>
      <c r="N100" s="2484"/>
      <c r="O100" s="2485"/>
      <c r="P100" s="2484"/>
      <c r="Q100" s="2484"/>
      <c r="R100" s="2486"/>
    </row>
    <row r="101" spans="2:18" s="799" customFormat="1">
      <c r="B101" s="2484"/>
      <c r="C101" s="2484"/>
      <c r="D101" s="2484"/>
      <c r="E101" s="2484"/>
      <c r="F101" s="2484"/>
      <c r="G101" s="2485"/>
      <c r="H101" s="2484"/>
      <c r="I101" s="2485"/>
      <c r="J101" s="2484"/>
      <c r="K101" s="2484"/>
      <c r="L101" s="2485"/>
      <c r="M101" s="2484"/>
      <c r="N101" s="2484"/>
      <c r="O101" s="2485"/>
      <c r="P101" s="2484"/>
      <c r="Q101" s="2484"/>
      <c r="R101" s="2486"/>
    </row>
    <row r="102" spans="2:18" s="799" customFormat="1">
      <c r="B102" s="2484"/>
      <c r="C102" s="2484"/>
      <c r="D102" s="2484"/>
      <c r="E102" s="2484"/>
      <c r="F102" s="2484"/>
      <c r="G102" s="2485"/>
      <c r="H102" s="2484"/>
      <c r="I102" s="2485"/>
      <c r="J102" s="2484"/>
      <c r="K102" s="2484"/>
      <c r="L102" s="2485"/>
      <c r="M102" s="2484"/>
      <c r="N102" s="2484"/>
      <c r="O102" s="2485"/>
      <c r="P102" s="2484"/>
      <c r="Q102" s="2484"/>
      <c r="R102" s="2486"/>
    </row>
    <row r="103" spans="2:18" s="799" customFormat="1">
      <c r="B103" s="2484"/>
      <c r="C103" s="2484"/>
      <c r="D103" s="2484"/>
      <c r="E103" s="2484"/>
      <c r="F103" s="2484"/>
      <c r="G103" s="2485"/>
      <c r="H103" s="2484"/>
      <c r="I103" s="2485"/>
      <c r="J103" s="2484"/>
      <c r="K103" s="2484"/>
      <c r="L103" s="2485"/>
      <c r="M103" s="2484"/>
      <c r="N103" s="2484"/>
      <c r="O103" s="2485"/>
      <c r="P103" s="2484"/>
      <c r="Q103" s="2484"/>
      <c r="R103" s="2486"/>
    </row>
    <row r="104" spans="2:18" s="799" customFormat="1">
      <c r="B104" s="2484"/>
      <c r="C104" s="2484"/>
      <c r="D104" s="2484"/>
      <c r="E104" s="2484"/>
      <c r="F104" s="2484"/>
      <c r="G104" s="2485"/>
      <c r="H104" s="2484"/>
      <c r="I104" s="2485"/>
      <c r="J104" s="2484"/>
      <c r="K104" s="2484"/>
      <c r="L104" s="2485"/>
      <c r="M104" s="2484"/>
      <c r="N104" s="2484"/>
      <c r="O104" s="2485"/>
      <c r="P104" s="2484"/>
      <c r="Q104" s="2484"/>
      <c r="R104" s="2486"/>
    </row>
    <row r="105" spans="2:18" s="799" customFormat="1">
      <c r="B105" s="2484"/>
      <c r="C105" s="2484"/>
      <c r="D105" s="2484"/>
      <c r="E105" s="2484"/>
      <c r="F105" s="2484"/>
      <c r="G105" s="2485"/>
      <c r="H105" s="2484"/>
      <c r="I105" s="2485"/>
      <c r="J105" s="2484"/>
      <c r="K105" s="2484"/>
      <c r="L105" s="2485"/>
      <c r="M105" s="2484"/>
      <c r="N105" s="2484"/>
      <c r="O105" s="2485"/>
      <c r="P105" s="2484"/>
      <c r="Q105" s="2484"/>
      <c r="R105" s="2486"/>
    </row>
    <row r="106" spans="2:18" s="799" customFormat="1">
      <c r="B106" s="2484"/>
      <c r="C106" s="2484"/>
      <c r="D106" s="2484"/>
      <c r="E106" s="2484"/>
      <c r="F106" s="2484"/>
      <c r="G106" s="2485"/>
      <c r="H106" s="2484"/>
      <c r="I106" s="2485"/>
      <c r="J106" s="2484"/>
      <c r="K106" s="2484"/>
      <c r="L106" s="2485"/>
      <c r="M106" s="2484"/>
      <c r="N106" s="2484"/>
      <c r="O106" s="2485"/>
      <c r="P106" s="2484"/>
      <c r="Q106" s="2484"/>
      <c r="R106" s="2486"/>
    </row>
    <row r="107" spans="2:18" s="799" customFormat="1">
      <c r="B107" s="2484"/>
      <c r="C107" s="2484"/>
      <c r="D107" s="2484"/>
      <c r="E107" s="2484"/>
      <c r="F107" s="2484"/>
      <c r="G107" s="2485"/>
      <c r="H107" s="2484"/>
      <c r="I107" s="2485"/>
      <c r="J107" s="2484"/>
      <c r="K107" s="2484"/>
      <c r="L107" s="2485"/>
      <c r="M107" s="2484"/>
      <c r="N107" s="2484"/>
      <c r="O107" s="2485"/>
      <c r="P107" s="2484"/>
      <c r="Q107" s="2484"/>
      <c r="R107" s="2486"/>
    </row>
    <row r="108" spans="2:18" s="799" customFormat="1">
      <c r="B108" s="2484"/>
      <c r="C108" s="2484"/>
      <c r="D108" s="2484"/>
      <c r="E108" s="2484"/>
      <c r="F108" s="2484"/>
      <c r="G108" s="2485"/>
      <c r="H108" s="2484"/>
      <c r="I108" s="2485"/>
      <c r="J108" s="2484"/>
      <c r="K108" s="2484"/>
      <c r="L108" s="2485"/>
      <c r="M108" s="2484"/>
      <c r="N108" s="2484"/>
      <c r="O108" s="2485"/>
      <c r="P108" s="2484"/>
      <c r="Q108" s="2484"/>
      <c r="R108" s="2486"/>
    </row>
    <row r="109" spans="2:18" s="799" customFormat="1">
      <c r="B109" s="2484"/>
      <c r="C109" s="2484"/>
      <c r="D109" s="2484"/>
      <c r="E109" s="2484"/>
      <c r="F109" s="2484"/>
      <c r="G109" s="2485"/>
      <c r="H109" s="2484"/>
      <c r="I109" s="2485"/>
      <c r="J109" s="2484"/>
      <c r="K109" s="2484"/>
      <c r="L109" s="2485"/>
      <c r="M109" s="2484"/>
      <c r="N109" s="2484"/>
      <c r="O109" s="2485"/>
      <c r="P109" s="2484"/>
      <c r="Q109" s="2484"/>
      <c r="R109" s="2486"/>
    </row>
    <row r="110" spans="2:18" s="799" customFormat="1">
      <c r="B110" s="2484"/>
      <c r="C110" s="2484"/>
      <c r="D110" s="2484"/>
      <c r="E110" s="2484"/>
      <c r="F110" s="2484"/>
      <c r="G110" s="2485"/>
      <c r="H110" s="2484"/>
      <c r="I110" s="2485"/>
      <c r="J110" s="2484"/>
      <c r="K110" s="2484"/>
      <c r="L110" s="2485"/>
      <c r="M110" s="2484"/>
      <c r="N110" s="2484"/>
      <c r="O110" s="2485"/>
      <c r="P110" s="2484"/>
      <c r="Q110" s="2484"/>
      <c r="R110" s="2486"/>
    </row>
    <row r="111" spans="2:18" s="799" customFormat="1">
      <c r="B111" s="2484"/>
      <c r="C111" s="2484"/>
      <c r="D111" s="2484"/>
      <c r="E111" s="2484"/>
      <c r="F111" s="2484"/>
      <c r="G111" s="2485"/>
      <c r="H111" s="2484"/>
      <c r="I111" s="2485"/>
      <c r="J111" s="2484"/>
      <c r="K111" s="2484"/>
      <c r="L111" s="2485"/>
      <c r="M111" s="2484"/>
      <c r="N111" s="2484"/>
      <c r="O111" s="2485"/>
      <c r="P111" s="2484"/>
      <c r="Q111" s="2484"/>
      <c r="R111" s="2486"/>
    </row>
    <row r="112" spans="2:18" s="799" customFormat="1">
      <c r="B112" s="2484"/>
      <c r="C112" s="2484"/>
      <c r="D112" s="2484"/>
      <c r="E112" s="2484"/>
      <c r="F112" s="2484"/>
      <c r="G112" s="2485"/>
      <c r="H112" s="2484"/>
      <c r="I112" s="2485"/>
      <c r="J112" s="2484"/>
      <c r="K112" s="2484"/>
      <c r="L112" s="2485"/>
      <c r="M112" s="2484"/>
      <c r="N112" s="2484"/>
      <c r="O112" s="2485"/>
      <c r="P112" s="2484"/>
      <c r="Q112" s="2484"/>
      <c r="R112" s="2486"/>
    </row>
    <row r="113" spans="2:18" s="799" customFormat="1">
      <c r="B113" s="2484"/>
      <c r="C113" s="2484"/>
      <c r="D113" s="2484"/>
      <c r="E113" s="2484"/>
      <c r="F113" s="2484"/>
      <c r="G113" s="2485"/>
      <c r="H113" s="2484"/>
      <c r="I113" s="2485"/>
      <c r="J113" s="2484"/>
      <c r="K113" s="2484"/>
      <c r="L113" s="2485"/>
      <c r="M113" s="2484"/>
      <c r="N113" s="2484"/>
      <c r="O113" s="2485"/>
      <c r="P113" s="2484"/>
      <c r="Q113" s="2484"/>
      <c r="R113" s="2486"/>
    </row>
    <row r="114" spans="2:18" s="799" customFormat="1">
      <c r="B114" s="2484"/>
      <c r="C114" s="2484"/>
      <c r="D114" s="2484"/>
      <c r="E114" s="2484"/>
      <c r="F114" s="2484"/>
      <c r="G114" s="2485"/>
      <c r="H114" s="2484"/>
      <c r="I114" s="2485"/>
      <c r="J114" s="2484"/>
      <c r="K114" s="2484"/>
      <c r="L114" s="2485"/>
      <c r="M114" s="2484"/>
      <c r="N114" s="2484"/>
      <c r="O114" s="2485"/>
      <c r="P114" s="2484"/>
      <c r="Q114" s="2484"/>
      <c r="R114" s="2486"/>
    </row>
    <row r="115" spans="2:18" s="799" customFormat="1">
      <c r="B115" s="2484"/>
      <c r="C115" s="2484"/>
      <c r="D115" s="2484"/>
      <c r="E115" s="2484"/>
      <c r="F115" s="2484"/>
      <c r="G115" s="2485"/>
      <c r="H115" s="2484"/>
      <c r="I115" s="2485"/>
      <c r="J115" s="2484"/>
      <c r="K115" s="2484"/>
      <c r="L115" s="2485"/>
      <c r="M115" s="2484"/>
      <c r="N115" s="2484"/>
      <c r="O115" s="2485"/>
      <c r="P115" s="2484"/>
      <c r="Q115" s="2484"/>
      <c r="R115" s="2486"/>
    </row>
    <row r="116" spans="2:18" s="799" customFormat="1">
      <c r="B116" s="2484"/>
      <c r="C116" s="2484"/>
      <c r="D116" s="2484"/>
      <c r="E116" s="2484"/>
      <c r="F116" s="2484"/>
      <c r="G116" s="2485"/>
      <c r="H116" s="2484"/>
      <c r="I116" s="2485"/>
      <c r="J116" s="2484"/>
      <c r="K116" s="2484"/>
      <c r="L116" s="2485"/>
      <c r="M116" s="2484"/>
      <c r="N116" s="2484"/>
      <c r="O116" s="2485"/>
      <c r="P116" s="2484"/>
      <c r="Q116" s="2484"/>
      <c r="R116" s="2486"/>
    </row>
    <row r="117" spans="2:18" s="799" customFormat="1">
      <c r="B117" s="2484"/>
      <c r="C117" s="2484"/>
      <c r="D117" s="2484"/>
      <c r="E117" s="2484"/>
      <c r="F117" s="2484"/>
      <c r="G117" s="2485"/>
      <c r="H117" s="2484"/>
      <c r="I117" s="2485"/>
      <c r="J117" s="2484"/>
      <c r="K117" s="2484"/>
      <c r="L117" s="2485"/>
      <c r="M117" s="2484"/>
      <c r="N117" s="2484"/>
      <c r="O117" s="2485"/>
      <c r="P117" s="2484"/>
      <c r="Q117" s="2484"/>
      <c r="R117" s="2486"/>
    </row>
    <row r="118" spans="2:18" s="799" customFormat="1">
      <c r="B118" s="2484"/>
      <c r="C118" s="2484"/>
      <c r="D118" s="2484"/>
      <c r="E118" s="2484"/>
      <c r="F118" s="2484"/>
      <c r="G118" s="2485"/>
      <c r="H118" s="2484"/>
      <c r="I118" s="2485"/>
      <c r="J118" s="2484"/>
      <c r="K118" s="2484"/>
      <c r="L118" s="2485"/>
      <c r="M118" s="2484"/>
      <c r="N118" s="2484"/>
      <c r="O118" s="2485"/>
      <c r="P118" s="2484"/>
      <c r="Q118" s="2484"/>
      <c r="R118" s="2486"/>
    </row>
    <row r="119" spans="2:18" s="799" customFormat="1">
      <c r="B119" s="2484"/>
      <c r="C119" s="2484"/>
      <c r="D119" s="2484"/>
      <c r="E119" s="2484"/>
      <c r="F119" s="2484"/>
      <c r="G119" s="2485"/>
      <c r="H119" s="2484"/>
      <c r="I119" s="2485"/>
      <c r="J119" s="2484"/>
      <c r="K119" s="2484"/>
      <c r="L119" s="2485"/>
      <c r="M119" s="2484"/>
      <c r="N119" s="2484"/>
      <c r="O119" s="2485"/>
      <c r="P119" s="2484"/>
      <c r="Q119" s="2484"/>
      <c r="R119" s="2486"/>
    </row>
    <row r="120" spans="2:18" s="799" customFormat="1">
      <c r="B120" s="2484"/>
      <c r="C120" s="2484"/>
      <c r="D120" s="2484"/>
      <c r="E120" s="2484"/>
      <c r="F120" s="2484"/>
      <c r="G120" s="2485"/>
      <c r="H120" s="2484"/>
      <c r="I120" s="2485"/>
      <c r="J120" s="2484"/>
      <c r="K120" s="2484"/>
      <c r="L120" s="2485"/>
      <c r="M120" s="2484"/>
      <c r="N120" s="2484"/>
      <c r="O120" s="2485"/>
      <c r="P120" s="2484"/>
      <c r="Q120" s="2484"/>
      <c r="R120" s="2486"/>
    </row>
    <row r="121" spans="2:18" s="799" customFormat="1">
      <c r="B121" s="2484"/>
      <c r="C121" s="2484"/>
      <c r="D121" s="2484"/>
      <c r="E121" s="2484"/>
      <c r="F121" s="2484"/>
      <c r="G121" s="2485"/>
      <c r="H121" s="2484"/>
      <c r="I121" s="2485"/>
      <c r="J121" s="2484"/>
      <c r="K121" s="2484"/>
      <c r="L121" s="2485"/>
      <c r="M121" s="2484"/>
      <c r="N121" s="2484"/>
      <c r="O121" s="2485"/>
      <c r="P121" s="2484"/>
      <c r="Q121" s="2484"/>
      <c r="R121" s="2486"/>
    </row>
    <row r="122" spans="2:18" s="799" customFormat="1">
      <c r="B122" s="2484"/>
      <c r="C122" s="2484"/>
      <c r="D122" s="2484"/>
      <c r="E122" s="2484"/>
      <c r="F122" s="2484"/>
      <c r="G122" s="2485"/>
      <c r="H122" s="2484"/>
      <c r="I122" s="2485"/>
      <c r="J122" s="2484"/>
      <c r="K122" s="2484"/>
      <c r="L122" s="2485"/>
      <c r="M122" s="2484"/>
      <c r="N122" s="2484"/>
      <c r="O122" s="2485"/>
      <c r="P122" s="2484"/>
      <c r="Q122" s="2484"/>
      <c r="R122" s="2486"/>
    </row>
    <row r="123" spans="2:18" s="799" customFormat="1">
      <c r="B123" s="2484"/>
      <c r="C123" s="2484"/>
      <c r="D123" s="2484"/>
      <c r="E123" s="2484"/>
      <c r="F123" s="2484"/>
      <c r="G123" s="2485"/>
      <c r="H123" s="2484"/>
      <c r="I123" s="2485"/>
      <c r="J123" s="2484"/>
      <c r="K123" s="2484"/>
      <c r="L123" s="2485"/>
      <c r="M123" s="2484"/>
      <c r="N123" s="2484"/>
      <c r="O123" s="2485"/>
      <c r="P123" s="2484"/>
      <c r="Q123" s="2484"/>
      <c r="R123" s="2486"/>
    </row>
    <row r="124" spans="2:18" s="799" customFormat="1">
      <c r="B124" s="2484"/>
      <c r="C124" s="2484"/>
      <c r="D124" s="2484"/>
      <c r="E124" s="2484"/>
      <c r="F124" s="2484"/>
      <c r="G124" s="2485"/>
      <c r="H124" s="2484"/>
      <c r="I124" s="2485"/>
      <c r="J124" s="2484"/>
      <c r="K124" s="2484"/>
      <c r="L124" s="2485"/>
      <c r="M124" s="2484"/>
      <c r="N124" s="2484"/>
      <c r="O124" s="2485"/>
      <c r="P124" s="2484"/>
      <c r="Q124" s="2484"/>
      <c r="R124" s="2486"/>
    </row>
    <row r="125" spans="2:18" s="799" customFormat="1">
      <c r="B125" s="2484"/>
      <c r="C125" s="2484"/>
      <c r="D125" s="2484"/>
      <c r="E125" s="2484"/>
      <c r="F125" s="2484"/>
      <c r="G125" s="2485"/>
      <c r="H125" s="2484"/>
      <c r="I125" s="2485"/>
      <c r="J125" s="2484"/>
      <c r="K125" s="2484"/>
      <c r="L125" s="2485"/>
      <c r="M125" s="2484"/>
      <c r="N125" s="2484"/>
      <c r="O125" s="2485"/>
      <c r="P125" s="2484"/>
      <c r="Q125" s="2484"/>
      <c r="R125" s="2486"/>
    </row>
    <row r="126" spans="2:18" s="799" customFormat="1">
      <c r="B126" s="2484"/>
      <c r="C126" s="2484"/>
      <c r="D126" s="2484"/>
      <c r="E126" s="2484"/>
      <c r="F126" s="2484"/>
      <c r="G126" s="2485"/>
      <c r="H126" s="2484"/>
      <c r="I126" s="2485"/>
      <c r="J126" s="2484"/>
      <c r="K126" s="2484"/>
      <c r="L126" s="2485"/>
      <c r="M126" s="2484"/>
      <c r="N126" s="2484"/>
      <c r="O126" s="2485"/>
      <c r="P126" s="2484"/>
      <c r="Q126" s="2484"/>
      <c r="R126" s="2486"/>
    </row>
    <row r="127" spans="2:18" s="799" customFormat="1">
      <c r="B127" s="2484"/>
      <c r="C127" s="2484"/>
      <c r="D127" s="2484"/>
      <c r="E127" s="2484"/>
      <c r="F127" s="2484"/>
      <c r="G127" s="2485"/>
      <c r="H127" s="2484"/>
      <c r="I127" s="2485"/>
      <c r="J127" s="2484"/>
      <c r="K127" s="2484"/>
      <c r="L127" s="2485"/>
      <c r="M127" s="2484"/>
      <c r="N127" s="2484"/>
      <c r="O127" s="2485"/>
      <c r="P127" s="2484"/>
      <c r="Q127" s="2484"/>
      <c r="R127" s="2486"/>
    </row>
    <row r="128" spans="2:18" s="799" customFormat="1">
      <c r="B128" s="2484"/>
      <c r="C128" s="2484"/>
      <c r="D128" s="2484"/>
      <c r="E128" s="2484"/>
      <c r="F128" s="2484"/>
      <c r="G128" s="2485"/>
      <c r="H128" s="2484"/>
      <c r="I128" s="2485"/>
      <c r="J128" s="2484"/>
      <c r="K128" s="2484"/>
      <c r="L128" s="2485"/>
      <c r="M128" s="2484"/>
      <c r="N128" s="2484"/>
      <c r="O128" s="2485"/>
      <c r="P128" s="2484"/>
      <c r="Q128" s="2484"/>
      <c r="R128" s="2486"/>
    </row>
    <row r="129" spans="2:18" s="799" customFormat="1">
      <c r="B129" s="2484"/>
      <c r="C129" s="2484"/>
      <c r="D129" s="2484"/>
      <c r="E129" s="2484"/>
      <c r="F129" s="2484"/>
      <c r="G129" s="2485"/>
      <c r="H129" s="2484"/>
      <c r="I129" s="2485"/>
      <c r="J129" s="2484"/>
      <c r="K129" s="2484"/>
      <c r="L129" s="2485"/>
      <c r="M129" s="2484"/>
      <c r="N129" s="2484"/>
      <c r="O129" s="2485"/>
      <c r="P129" s="2484"/>
      <c r="Q129" s="2484"/>
      <c r="R129" s="2486"/>
    </row>
    <row r="130" spans="2:18" s="799" customFormat="1">
      <c r="B130" s="2484"/>
      <c r="C130" s="2484"/>
      <c r="D130" s="2484"/>
      <c r="E130" s="2484"/>
      <c r="F130" s="2484"/>
      <c r="G130" s="2485"/>
      <c r="H130" s="2484"/>
      <c r="I130" s="2485"/>
      <c r="J130" s="2484"/>
      <c r="K130" s="2484"/>
      <c r="L130" s="2485"/>
      <c r="M130" s="2484"/>
      <c r="N130" s="2484"/>
      <c r="O130" s="2485"/>
      <c r="P130" s="2484"/>
      <c r="Q130" s="2484"/>
      <c r="R130" s="2486"/>
    </row>
    <row r="131" spans="2:18" s="799" customFormat="1">
      <c r="B131" s="2484"/>
      <c r="C131" s="2484"/>
      <c r="D131" s="2484"/>
      <c r="E131" s="2484"/>
      <c r="F131" s="2484"/>
      <c r="G131" s="2485"/>
      <c r="H131" s="2484"/>
      <c r="I131" s="2485"/>
      <c r="J131" s="2484"/>
      <c r="K131" s="2484"/>
      <c r="L131" s="2485"/>
      <c r="M131" s="2484"/>
      <c r="N131" s="2484"/>
      <c r="O131" s="2485"/>
      <c r="P131" s="2484"/>
      <c r="Q131" s="2484"/>
      <c r="R131" s="2486"/>
    </row>
    <row r="132" spans="2:18" s="799" customFormat="1">
      <c r="B132" s="2484"/>
      <c r="C132" s="2484"/>
      <c r="D132" s="2484"/>
      <c r="E132" s="2484"/>
      <c r="F132" s="2484"/>
      <c r="G132" s="2485"/>
      <c r="H132" s="2484"/>
      <c r="I132" s="2485"/>
      <c r="J132" s="2484"/>
      <c r="K132" s="2484"/>
      <c r="L132" s="2485"/>
      <c r="M132" s="2484"/>
      <c r="N132" s="2484"/>
      <c r="O132" s="2485"/>
      <c r="P132" s="2484"/>
      <c r="Q132" s="2484"/>
      <c r="R132" s="2486"/>
    </row>
    <row r="133" spans="2:18" s="799" customFormat="1">
      <c r="B133" s="2484"/>
      <c r="C133" s="2484"/>
      <c r="D133" s="2484"/>
      <c r="E133" s="2484"/>
      <c r="F133" s="2484"/>
      <c r="G133" s="2485"/>
      <c r="H133" s="2484"/>
      <c r="I133" s="2485"/>
      <c r="J133" s="2484"/>
      <c r="K133" s="2484"/>
      <c r="L133" s="2485"/>
      <c r="M133" s="2484"/>
      <c r="N133" s="2484"/>
      <c r="O133" s="2485"/>
      <c r="P133" s="2484"/>
      <c r="Q133" s="2484"/>
      <c r="R133" s="2486"/>
    </row>
    <row r="134" spans="2:18" s="799" customFormat="1">
      <c r="B134" s="2484"/>
      <c r="C134" s="2484"/>
      <c r="D134" s="2484"/>
      <c r="E134" s="2484"/>
      <c r="F134" s="2484"/>
      <c r="G134" s="2485"/>
      <c r="H134" s="2484"/>
      <c r="I134" s="2485"/>
      <c r="J134" s="2484"/>
      <c r="K134" s="2484"/>
      <c r="L134" s="2485"/>
      <c r="M134" s="2484"/>
      <c r="N134" s="2484"/>
      <c r="O134" s="2485"/>
      <c r="P134" s="2484"/>
      <c r="Q134" s="2484"/>
      <c r="R134" s="2486"/>
    </row>
    <row r="135" spans="2:18" s="799" customFormat="1">
      <c r="B135" s="2484"/>
      <c r="C135" s="2484"/>
      <c r="D135" s="2484"/>
      <c r="E135" s="2484"/>
      <c r="F135" s="2484"/>
      <c r="G135" s="2485"/>
      <c r="H135" s="2484"/>
      <c r="I135" s="2485"/>
      <c r="J135" s="2484"/>
      <c r="K135" s="2484"/>
      <c r="L135" s="2485"/>
      <c r="M135" s="2484"/>
      <c r="N135" s="2484"/>
      <c r="O135" s="2485"/>
      <c r="P135" s="2484"/>
      <c r="Q135" s="2484"/>
      <c r="R135" s="2486"/>
    </row>
    <row r="136" spans="2:18" s="799" customFormat="1">
      <c r="B136" s="2484"/>
      <c r="C136" s="2484"/>
      <c r="D136" s="2484"/>
      <c r="E136" s="2484"/>
      <c r="F136" s="2484"/>
      <c r="G136" s="2485"/>
      <c r="H136" s="2484"/>
      <c r="I136" s="2485"/>
      <c r="J136" s="2484"/>
      <c r="K136" s="2484"/>
      <c r="L136" s="2485"/>
      <c r="M136" s="2484"/>
      <c r="N136" s="2484"/>
      <c r="O136" s="2485"/>
      <c r="P136" s="2484"/>
      <c r="Q136" s="2484"/>
      <c r="R136" s="2486"/>
    </row>
    <row r="137" spans="2:18" s="799" customFormat="1">
      <c r="B137" s="2484"/>
      <c r="C137" s="2484"/>
      <c r="D137" s="2484"/>
      <c r="E137" s="2484"/>
      <c r="F137" s="2484"/>
      <c r="G137" s="2485"/>
      <c r="H137" s="2484"/>
      <c r="I137" s="2485"/>
      <c r="J137" s="2484"/>
      <c r="K137" s="2484"/>
      <c r="L137" s="2485"/>
      <c r="M137" s="2484"/>
      <c r="N137" s="2484"/>
      <c r="O137" s="2485"/>
      <c r="P137" s="2484"/>
      <c r="Q137" s="2484"/>
      <c r="R137" s="2486"/>
    </row>
    <row r="138" spans="2:18" s="799" customFormat="1">
      <c r="B138" s="2484"/>
      <c r="C138" s="2484"/>
      <c r="D138" s="2484"/>
      <c r="E138" s="2484"/>
      <c r="F138" s="2484"/>
      <c r="G138" s="2485"/>
      <c r="H138" s="2484"/>
      <c r="I138" s="2485"/>
      <c r="J138" s="2484"/>
      <c r="K138" s="2484"/>
      <c r="L138" s="2485"/>
      <c r="M138" s="2484"/>
      <c r="N138" s="2484"/>
      <c r="O138" s="2485"/>
      <c r="P138" s="2484"/>
      <c r="Q138" s="2484"/>
      <c r="R138" s="2486"/>
    </row>
    <row r="139" spans="2:18" s="799" customFormat="1">
      <c r="B139" s="2484"/>
      <c r="C139" s="2484"/>
      <c r="D139" s="2484"/>
      <c r="E139" s="2484"/>
      <c r="F139" s="2484"/>
      <c r="G139" s="2485"/>
      <c r="H139" s="2484"/>
      <c r="I139" s="2485"/>
      <c r="J139" s="2484"/>
      <c r="K139" s="2484"/>
      <c r="L139" s="2485"/>
      <c r="M139" s="2484"/>
      <c r="N139" s="2484"/>
      <c r="O139" s="2485"/>
      <c r="P139" s="2484"/>
      <c r="Q139" s="2484"/>
      <c r="R139" s="2486"/>
    </row>
    <row r="140" spans="2:18" s="799" customFormat="1">
      <c r="B140" s="2484"/>
      <c r="C140" s="2484"/>
      <c r="D140" s="2484"/>
      <c r="E140" s="2484"/>
      <c r="F140" s="2484"/>
      <c r="G140" s="2485"/>
      <c r="H140" s="2484"/>
      <c r="I140" s="2485"/>
      <c r="J140" s="2484"/>
      <c r="K140" s="2484"/>
      <c r="L140" s="2485"/>
      <c r="M140" s="2484"/>
      <c r="N140" s="2484"/>
      <c r="O140" s="2485"/>
      <c r="P140" s="2484"/>
      <c r="Q140" s="2484"/>
      <c r="R140" s="2486"/>
    </row>
    <row r="141" spans="2:18" s="799" customFormat="1">
      <c r="B141" s="2484"/>
      <c r="C141" s="2484"/>
      <c r="D141" s="2484"/>
      <c r="E141" s="2484"/>
      <c r="F141" s="2484"/>
      <c r="G141" s="2485"/>
      <c r="H141" s="2484"/>
      <c r="I141" s="2485"/>
      <c r="J141" s="2484"/>
      <c r="K141" s="2484"/>
      <c r="L141" s="2485"/>
      <c r="M141" s="2484"/>
      <c r="N141" s="2484"/>
      <c r="O141" s="2485"/>
      <c r="P141" s="2484"/>
      <c r="Q141" s="2484"/>
      <c r="R141" s="2486"/>
    </row>
    <row r="142" spans="2:18" s="799" customFormat="1">
      <c r="B142" s="2484"/>
      <c r="C142" s="2484"/>
      <c r="D142" s="2484"/>
      <c r="E142" s="2484"/>
      <c r="F142" s="2484"/>
      <c r="G142" s="2485"/>
      <c r="H142" s="2484"/>
      <c r="I142" s="2485"/>
      <c r="J142" s="2484"/>
      <c r="K142" s="2484"/>
      <c r="L142" s="2485"/>
      <c r="M142" s="2484"/>
      <c r="N142" s="2484"/>
      <c r="O142" s="2485"/>
      <c r="P142" s="2484"/>
      <c r="Q142" s="2484"/>
      <c r="R142" s="2486"/>
    </row>
    <row r="143" spans="2:18" s="799" customFormat="1">
      <c r="B143" s="2484"/>
      <c r="C143" s="2484"/>
      <c r="D143" s="2484"/>
      <c r="E143" s="2484"/>
      <c r="F143" s="2484"/>
      <c r="G143" s="2485"/>
      <c r="H143" s="2484"/>
      <c r="I143" s="2485"/>
      <c r="J143" s="2484"/>
      <c r="K143" s="2484"/>
      <c r="L143" s="2485"/>
      <c r="M143" s="2484"/>
      <c r="N143" s="2484"/>
      <c r="O143" s="2485"/>
      <c r="P143" s="2484"/>
      <c r="Q143" s="2484"/>
      <c r="R143" s="2486"/>
    </row>
    <row r="144" spans="2:18" s="799" customFormat="1">
      <c r="B144" s="2484"/>
      <c r="C144" s="2484"/>
      <c r="D144" s="2484"/>
      <c r="E144" s="2484"/>
      <c r="F144" s="2484"/>
      <c r="G144" s="2485"/>
      <c r="H144" s="2484"/>
      <c r="I144" s="2485"/>
      <c r="J144" s="2484"/>
      <c r="K144" s="2484"/>
      <c r="L144" s="2485"/>
      <c r="M144" s="2484"/>
      <c r="N144" s="2484"/>
      <c r="O144" s="2485"/>
      <c r="P144" s="2484"/>
      <c r="Q144" s="2484"/>
      <c r="R144" s="2486"/>
    </row>
    <row r="145" spans="2:18" s="799" customFormat="1">
      <c r="B145" s="2484"/>
      <c r="C145" s="2484"/>
      <c r="D145" s="2484"/>
      <c r="E145" s="2484"/>
      <c r="F145" s="2484"/>
      <c r="G145" s="2485"/>
      <c r="H145" s="2484"/>
      <c r="I145" s="2485"/>
      <c r="J145" s="2484"/>
      <c r="K145" s="2484"/>
      <c r="L145" s="2485"/>
      <c r="M145" s="2484"/>
      <c r="N145" s="2484"/>
      <c r="O145" s="2485"/>
      <c r="P145" s="2484"/>
      <c r="Q145" s="2484"/>
      <c r="R145" s="2486"/>
    </row>
    <row r="146" spans="2:18" s="799" customFormat="1">
      <c r="B146" s="2484"/>
      <c r="C146" s="2484"/>
      <c r="D146" s="2484"/>
      <c r="E146" s="2484"/>
      <c r="F146" s="2484"/>
      <c r="G146" s="2485"/>
      <c r="H146" s="2484"/>
      <c r="I146" s="2485"/>
      <c r="J146" s="2484"/>
      <c r="K146" s="2484"/>
      <c r="L146" s="2485"/>
      <c r="M146" s="2484"/>
      <c r="N146" s="2484"/>
      <c r="O146" s="2485"/>
      <c r="P146" s="2484"/>
      <c r="Q146" s="2484"/>
      <c r="R146" s="2486"/>
    </row>
    <row r="147" spans="2:18" s="799" customFormat="1">
      <c r="B147" s="2484"/>
      <c r="C147" s="2484"/>
      <c r="D147" s="2484"/>
      <c r="E147" s="2484"/>
      <c r="F147" s="2484"/>
      <c r="G147" s="2485"/>
      <c r="H147" s="2484"/>
      <c r="I147" s="2485"/>
      <c r="J147" s="2484"/>
      <c r="K147" s="2484"/>
      <c r="L147" s="2485"/>
      <c r="M147" s="2484"/>
      <c r="N147" s="2484"/>
      <c r="O147" s="2485"/>
      <c r="P147" s="2484"/>
      <c r="Q147" s="2484"/>
      <c r="R147" s="2486"/>
    </row>
    <row r="148" spans="2:18" s="799" customFormat="1">
      <c r="B148" s="2484"/>
      <c r="C148" s="2484"/>
      <c r="D148" s="2484"/>
      <c r="E148" s="2484"/>
      <c r="F148" s="2484"/>
      <c r="G148" s="2485"/>
      <c r="H148" s="2484"/>
      <c r="I148" s="2485"/>
      <c r="J148" s="2484"/>
      <c r="K148" s="2484"/>
      <c r="L148" s="2485"/>
      <c r="M148" s="2484"/>
      <c r="N148" s="2484"/>
      <c r="O148" s="2485"/>
      <c r="P148" s="2484"/>
      <c r="Q148" s="2484"/>
      <c r="R148" s="2486"/>
    </row>
    <row r="149" spans="2:18" s="799" customFormat="1">
      <c r="B149" s="2484"/>
      <c r="C149" s="2484"/>
      <c r="D149" s="2484"/>
      <c r="E149" s="2484"/>
      <c r="F149" s="2484"/>
      <c r="G149" s="2485"/>
      <c r="H149" s="2484"/>
      <c r="I149" s="2485"/>
      <c r="J149" s="2484"/>
      <c r="K149" s="2484"/>
      <c r="L149" s="2485"/>
      <c r="M149" s="2484"/>
      <c r="N149" s="2484"/>
      <c r="O149" s="2485"/>
      <c r="P149" s="2484"/>
      <c r="Q149" s="2484"/>
      <c r="R149" s="2486"/>
    </row>
    <row r="150" spans="2:18" s="799" customFormat="1">
      <c r="B150" s="2484"/>
      <c r="C150" s="2484"/>
      <c r="D150" s="2484"/>
      <c r="E150" s="2484"/>
      <c r="F150" s="2484"/>
      <c r="G150" s="2485"/>
      <c r="H150" s="2484"/>
      <c r="I150" s="2485"/>
      <c r="J150" s="2484"/>
      <c r="K150" s="2484"/>
      <c r="L150" s="2485"/>
      <c r="M150" s="2484"/>
      <c r="N150" s="2484"/>
      <c r="O150" s="2485"/>
      <c r="P150" s="2484"/>
      <c r="Q150" s="2484"/>
      <c r="R150" s="2486"/>
    </row>
    <row r="151" spans="2:18" s="799" customFormat="1">
      <c r="B151" s="2484"/>
      <c r="C151" s="2484"/>
      <c r="D151" s="2484"/>
      <c r="E151" s="2484"/>
      <c r="F151" s="2484"/>
      <c r="G151" s="2485"/>
      <c r="H151" s="2484"/>
      <c r="I151" s="2485"/>
      <c r="J151" s="2484"/>
      <c r="K151" s="2484"/>
      <c r="L151" s="2485"/>
      <c r="M151" s="2484"/>
      <c r="N151" s="2484"/>
      <c r="O151" s="2485"/>
      <c r="P151" s="2484"/>
      <c r="Q151" s="2484"/>
      <c r="R151" s="2486"/>
    </row>
    <row r="152" spans="2:18" s="799" customFormat="1">
      <c r="B152" s="2484"/>
      <c r="C152" s="2484"/>
      <c r="D152" s="2484"/>
      <c r="E152" s="2484"/>
      <c r="F152" s="2484"/>
      <c r="G152" s="2485"/>
      <c r="H152" s="2484"/>
      <c r="I152" s="2485"/>
      <c r="J152" s="2484"/>
      <c r="K152" s="2484"/>
      <c r="L152" s="2485"/>
      <c r="M152" s="2484"/>
      <c r="N152" s="2484"/>
      <c r="O152" s="2485"/>
      <c r="P152" s="2484"/>
      <c r="Q152" s="2484"/>
      <c r="R152" s="2486"/>
    </row>
    <row r="153" spans="2:18" s="799" customFormat="1">
      <c r="B153" s="2484"/>
      <c r="C153" s="2484"/>
      <c r="D153" s="2484"/>
      <c r="E153" s="2484"/>
      <c r="F153" s="2484"/>
      <c r="G153" s="2485"/>
      <c r="H153" s="2484"/>
      <c r="I153" s="2485"/>
      <c r="J153" s="2484"/>
      <c r="K153" s="2484"/>
      <c r="L153" s="2485"/>
      <c r="M153" s="2484"/>
      <c r="N153" s="2484"/>
      <c r="O153" s="2485"/>
      <c r="P153" s="2484"/>
      <c r="Q153" s="2484"/>
      <c r="R153" s="2486"/>
    </row>
    <row r="154" spans="2:18" s="799" customFormat="1">
      <c r="B154" s="2484"/>
      <c r="C154" s="2484"/>
      <c r="D154" s="2484"/>
      <c r="E154" s="2484"/>
      <c r="F154" s="2484"/>
      <c r="G154" s="2485"/>
      <c r="H154" s="2484"/>
      <c r="I154" s="2485"/>
      <c r="J154" s="2484"/>
      <c r="K154" s="2484"/>
      <c r="L154" s="2485"/>
      <c r="M154" s="2484"/>
      <c r="N154" s="2484"/>
      <c r="O154" s="2485"/>
      <c r="P154" s="2484"/>
      <c r="Q154" s="2484"/>
      <c r="R154" s="2486"/>
    </row>
    <row r="155" spans="2:18" s="799" customFormat="1">
      <c r="B155" s="2484"/>
      <c r="C155" s="2484"/>
      <c r="D155" s="2484"/>
      <c r="E155" s="2484"/>
      <c r="F155" s="2484"/>
      <c r="G155" s="2485"/>
      <c r="H155" s="2484"/>
      <c r="I155" s="2485"/>
      <c r="J155" s="2484"/>
      <c r="K155" s="2484"/>
      <c r="L155" s="2485"/>
      <c r="M155" s="2484"/>
      <c r="N155" s="2484"/>
      <c r="O155" s="2485"/>
      <c r="P155" s="2484"/>
      <c r="Q155" s="2484"/>
      <c r="R155" s="2486"/>
    </row>
    <row r="156" spans="2:18" s="799" customFormat="1">
      <c r="B156" s="2484"/>
      <c r="C156" s="2484"/>
      <c r="D156" s="2484"/>
      <c r="E156" s="2484"/>
      <c r="F156" s="2484"/>
      <c r="G156" s="2485"/>
      <c r="H156" s="2484"/>
      <c r="I156" s="2485"/>
      <c r="J156" s="2484"/>
      <c r="K156" s="2484"/>
      <c r="L156" s="2485"/>
      <c r="M156" s="2484"/>
      <c r="N156" s="2484"/>
      <c r="O156" s="2485"/>
      <c r="P156" s="2484"/>
      <c r="Q156" s="2484"/>
      <c r="R156" s="2486"/>
    </row>
    <row r="157" spans="2:18" s="799" customFormat="1">
      <c r="B157" s="2484"/>
      <c r="C157" s="2484"/>
      <c r="D157" s="2484"/>
      <c r="E157" s="2484"/>
      <c r="F157" s="2484"/>
      <c r="G157" s="2485"/>
      <c r="H157" s="2484"/>
      <c r="I157" s="2485"/>
      <c r="J157" s="2484"/>
      <c r="K157" s="2484"/>
      <c r="L157" s="2485"/>
      <c r="M157" s="2484"/>
      <c r="N157" s="2484"/>
      <c r="O157" s="2485"/>
      <c r="P157" s="2484"/>
      <c r="Q157" s="2484"/>
      <c r="R157" s="2486"/>
    </row>
    <row r="158" spans="2:18" s="799" customFormat="1">
      <c r="B158" s="2484"/>
      <c r="C158" s="2484"/>
      <c r="D158" s="2484"/>
      <c r="E158" s="2484"/>
      <c r="F158" s="2484"/>
      <c r="G158" s="2485"/>
      <c r="H158" s="2484"/>
      <c r="I158" s="2485"/>
      <c r="J158" s="2484"/>
      <c r="K158" s="2484"/>
      <c r="L158" s="2485"/>
      <c r="M158" s="2484"/>
      <c r="N158" s="2484"/>
      <c r="O158" s="2485"/>
      <c r="P158" s="2484"/>
      <c r="Q158" s="2484"/>
      <c r="R158" s="2486"/>
    </row>
    <row r="159" spans="2:18" s="799" customFormat="1">
      <c r="B159" s="2484"/>
      <c r="C159" s="2484"/>
      <c r="D159" s="2484"/>
      <c r="E159" s="2484"/>
      <c r="F159" s="2484"/>
      <c r="G159" s="2485"/>
      <c r="H159" s="2484"/>
      <c r="I159" s="2485"/>
      <c r="J159" s="2484"/>
      <c r="K159" s="2484"/>
      <c r="L159" s="2485"/>
      <c r="M159" s="2484"/>
      <c r="N159" s="2484"/>
      <c r="O159" s="2485"/>
      <c r="P159" s="2484"/>
      <c r="Q159" s="2484"/>
      <c r="R159" s="2486"/>
    </row>
    <row r="160" spans="2:18" s="799" customFormat="1">
      <c r="B160" s="2484"/>
      <c r="C160" s="2484"/>
      <c r="D160" s="2484"/>
      <c r="E160" s="2484"/>
      <c r="F160" s="2484"/>
      <c r="G160" s="2485"/>
      <c r="H160" s="2484"/>
      <c r="I160" s="2485"/>
      <c r="J160" s="2484"/>
      <c r="K160" s="2484"/>
      <c r="L160" s="2485"/>
      <c r="M160" s="2484"/>
      <c r="N160" s="2484"/>
      <c r="O160" s="2485"/>
      <c r="P160" s="2484"/>
      <c r="Q160" s="2484"/>
      <c r="R160" s="2486"/>
    </row>
    <row r="161" spans="2:18" s="799" customFormat="1">
      <c r="B161" s="2484"/>
      <c r="C161" s="2484"/>
      <c r="D161" s="2484"/>
      <c r="E161" s="2484"/>
      <c r="F161" s="2484"/>
      <c r="G161" s="2485"/>
      <c r="H161" s="2484"/>
      <c r="I161" s="2485"/>
      <c r="J161" s="2484"/>
      <c r="K161" s="2484"/>
      <c r="L161" s="2485"/>
      <c r="M161" s="2484"/>
      <c r="N161" s="2484"/>
      <c r="O161" s="2485"/>
      <c r="P161" s="2484"/>
      <c r="Q161" s="2484"/>
      <c r="R161" s="2486"/>
    </row>
    <row r="162" spans="2:18" s="799" customFormat="1">
      <c r="B162" s="2484"/>
      <c r="C162" s="2484"/>
      <c r="D162" s="2484"/>
      <c r="E162" s="2484"/>
      <c r="F162" s="2484"/>
      <c r="G162" s="2485"/>
      <c r="H162" s="2484"/>
      <c r="I162" s="2485"/>
      <c r="J162" s="2484"/>
      <c r="K162" s="2484"/>
      <c r="L162" s="2485"/>
      <c r="M162" s="2484"/>
      <c r="N162" s="2484"/>
      <c r="O162" s="2485"/>
      <c r="P162" s="2484"/>
      <c r="Q162" s="2484"/>
      <c r="R162" s="2486"/>
    </row>
    <row r="163" spans="2:18" s="799" customFormat="1">
      <c r="B163" s="2484"/>
      <c r="C163" s="2484"/>
      <c r="D163" s="2484"/>
      <c r="E163" s="2484"/>
      <c r="F163" s="2484"/>
      <c r="G163" s="2485"/>
      <c r="H163" s="2484"/>
      <c r="I163" s="2485"/>
      <c r="J163" s="2484"/>
      <c r="K163" s="2484"/>
      <c r="L163" s="2485"/>
      <c r="M163" s="2484"/>
      <c r="N163" s="2484"/>
      <c r="O163" s="2485"/>
      <c r="P163" s="2484"/>
      <c r="Q163" s="2484"/>
      <c r="R163" s="2486"/>
    </row>
    <row r="164" spans="2:18" s="799" customFormat="1">
      <c r="B164" s="2484"/>
      <c r="C164" s="2484"/>
      <c r="D164" s="2484"/>
      <c r="E164" s="2484"/>
      <c r="F164" s="2484"/>
      <c r="G164" s="2485"/>
      <c r="H164" s="2484"/>
      <c r="I164" s="2485"/>
      <c r="J164" s="2484"/>
      <c r="K164" s="2484"/>
      <c r="L164" s="2485"/>
      <c r="M164" s="2484"/>
      <c r="N164" s="2484"/>
      <c r="O164" s="2485"/>
      <c r="P164" s="2484"/>
      <c r="Q164" s="2484"/>
      <c r="R164" s="2486"/>
    </row>
    <row r="165" spans="2:18" s="799" customFormat="1">
      <c r="B165" s="2484"/>
      <c r="C165" s="2484"/>
      <c r="D165" s="2484"/>
      <c r="E165" s="2484"/>
      <c r="F165" s="2484"/>
      <c r="G165" s="2485"/>
      <c r="H165" s="2484"/>
      <c r="I165" s="2485"/>
      <c r="J165" s="2484"/>
      <c r="K165" s="2484"/>
      <c r="L165" s="2485"/>
      <c r="M165" s="2484"/>
      <c r="N165" s="2484"/>
      <c r="O165" s="2485"/>
      <c r="P165" s="2484"/>
      <c r="Q165" s="2484"/>
      <c r="R165" s="2486"/>
    </row>
    <row r="166" spans="2:18" s="799" customFormat="1">
      <c r="B166" s="2484"/>
      <c r="C166" s="2484"/>
      <c r="D166" s="2484"/>
      <c r="E166" s="2484"/>
      <c r="F166" s="2484"/>
      <c r="G166" s="2485"/>
      <c r="H166" s="2484"/>
      <c r="I166" s="2485"/>
      <c r="J166" s="2484"/>
      <c r="K166" s="2484"/>
      <c r="L166" s="2485"/>
      <c r="M166" s="2484"/>
      <c r="N166" s="2484"/>
      <c r="O166" s="2485"/>
      <c r="P166" s="2484"/>
      <c r="Q166" s="2484"/>
      <c r="R166" s="2486"/>
    </row>
    <row r="167" spans="2:18" s="799" customFormat="1">
      <c r="B167" s="2484"/>
      <c r="C167" s="2484"/>
      <c r="D167" s="2484"/>
      <c r="E167" s="2484"/>
      <c r="F167" s="2484"/>
      <c r="G167" s="2485"/>
      <c r="H167" s="2484"/>
      <c r="I167" s="2485"/>
      <c r="J167" s="2484"/>
      <c r="K167" s="2484"/>
      <c r="L167" s="2485"/>
      <c r="M167" s="2484"/>
      <c r="N167" s="2484"/>
      <c r="O167" s="2485"/>
      <c r="P167" s="2484"/>
      <c r="Q167" s="2484"/>
      <c r="R167" s="2486"/>
    </row>
    <row r="168" spans="2:18" s="799" customFormat="1">
      <c r="B168" s="2484"/>
      <c r="C168" s="2484"/>
      <c r="D168" s="2484"/>
      <c r="E168" s="2484"/>
      <c r="F168" s="2484"/>
      <c r="G168" s="2485"/>
      <c r="H168" s="2484"/>
      <c r="I168" s="2485"/>
      <c r="J168" s="2484"/>
      <c r="K168" s="2484"/>
      <c r="L168" s="2485"/>
      <c r="M168" s="2484"/>
      <c r="N168" s="2484"/>
      <c r="O168" s="2485"/>
      <c r="P168" s="2484"/>
      <c r="Q168" s="2484"/>
      <c r="R168" s="2486"/>
    </row>
    <row r="169" spans="2:18" s="799" customFormat="1">
      <c r="B169" s="2484"/>
      <c r="C169" s="2484"/>
      <c r="D169" s="2484"/>
      <c r="E169" s="2484"/>
      <c r="F169" s="2484"/>
      <c r="G169" s="2485"/>
      <c r="H169" s="2484"/>
      <c r="I169" s="2485"/>
      <c r="J169" s="2484"/>
      <c r="K169" s="2484"/>
      <c r="L169" s="2485"/>
      <c r="M169" s="2484"/>
      <c r="N169" s="2484"/>
      <c r="O169" s="2485"/>
      <c r="P169" s="2484"/>
      <c r="Q169" s="2484"/>
      <c r="R169" s="2486"/>
    </row>
    <row r="170" spans="2:18" s="799" customFormat="1">
      <c r="B170" s="2484"/>
      <c r="C170" s="2484"/>
      <c r="D170" s="2484"/>
      <c r="E170" s="2484"/>
      <c r="F170" s="2484"/>
      <c r="G170" s="2485"/>
      <c r="H170" s="2484"/>
      <c r="I170" s="2485"/>
      <c r="J170" s="2484"/>
      <c r="K170" s="2484"/>
      <c r="L170" s="2485"/>
      <c r="M170" s="2484"/>
      <c r="N170" s="2484"/>
      <c r="O170" s="2485"/>
      <c r="P170" s="2484"/>
      <c r="Q170" s="2484"/>
      <c r="R170" s="2486"/>
    </row>
    <row r="171" spans="2:18" s="799" customFormat="1">
      <c r="B171" s="2484"/>
      <c r="C171" s="2484"/>
      <c r="D171" s="2484"/>
      <c r="E171" s="2484"/>
      <c r="F171" s="2484"/>
      <c r="G171" s="2485"/>
      <c r="H171" s="2484"/>
      <c r="I171" s="2485"/>
      <c r="J171" s="2484"/>
      <c r="K171" s="2484"/>
      <c r="L171" s="2485"/>
      <c r="M171" s="2484"/>
      <c r="N171" s="2484"/>
      <c r="O171" s="2485"/>
      <c r="P171" s="2484"/>
      <c r="Q171" s="2484"/>
      <c r="R171" s="2486"/>
    </row>
    <row r="172" spans="2:18" s="799" customFormat="1">
      <c r="B172" s="2484"/>
      <c r="C172" s="2484"/>
      <c r="D172" s="2484"/>
      <c r="E172" s="2484"/>
      <c r="F172" s="2484"/>
      <c r="G172" s="2485"/>
      <c r="H172" s="2484"/>
      <c r="I172" s="2485"/>
      <c r="J172" s="2484"/>
      <c r="K172" s="2484"/>
      <c r="L172" s="2485"/>
      <c r="M172" s="2484"/>
      <c r="N172" s="2484"/>
      <c r="O172" s="2485"/>
      <c r="P172" s="2484"/>
      <c r="Q172" s="2484"/>
      <c r="R172" s="2486"/>
    </row>
    <row r="173" spans="2:18" s="799" customFormat="1">
      <c r="B173" s="2484"/>
      <c r="C173" s="2484"/>
      <c r="D173" s="2484"/>
      <c r="E173" s="2484"/>
      <c r="F173" s="2484"/>
      <c r="G173" s="2485"/>
      <c r="H173" s="2484"/>
      <c r="I173" s="2485"/>
      <c r="J173" s="2484"/>
      <c r="K173" s="2484"/>
      <c r="L173" s="2485"/>
      <c r="M173" s="2484"/>
      <c r="N173" s="2484"/>
      <c r="O173" s="2485"/>
      <c r="P173" s="2484"/>
      <c r="Q173" s="2484"/>
      <c r="R173" s="2486"/>
    </row>
    <row r="174" spans="2:18" s="799" customFormat="1">
      <c r="B174" s="2484"/>
      <c r="C174" s="2484"/>
      <c r="D174" s="2484"/>
      <c r="E174" s="2484"/>
      <c r="F174" s="2484"/>
      <c r="G174" s="2485"/>
      <c r="H174" s="2484"/>
      <c r="I174" s="2485"/>
      <c r="J174" s="2484"/>
      <c r="K174" s="2484"/>
      <c r="L174" s="2485"/>
      <c r="M174" s="2484"/>
      <c r="N174" s="2484"/>
      <c r="O174" s="2485"/>
      <c r="P174" s="2484"/>
      <c r="Q174" s="2484"/>
      <c r="R174" s="2486"/>
    </row>
    <row r="175" spans="2:18" s="799" customFormat="1">
      <c r="B175" s="2484"/>
      <c r="C175" s="2484"/>
      <c r="D175" s="2484"/>
      <c r="E175" s="2484"/>
      <c r="F175" s="2484"/>
      <c r="G175" s="2485"/>
      <c r="H175" s="2484"/>
      <c r="I175" s="2485"/>
      <c r="J175" s="2484"/>
      <c r="K175" s="2484"/>
      <c r="L175" s="2485"/>
      <c r="M175" s="2484"/>
      <c r="N175" s="2484"/>
      <c r="O175" s="2485"/>
      <c r="P175" s="2484"/>
      <c r="Q175" s="2484"/>
      <c r="R175" s="2486"/>
    </row>
    <row r="176" spans="2:18" s="799" customFormat="1">
      <c r="B176" s="2484"/>
      <c r="C176" s="2484"/>
      <c r="D176" s="2484"/>
      <c r="E176" s="2484"/>
      <c r="F176" s="2484"/>
      <c r="G176" s="2485"/>
      <c r="H176" s="2484"/>
      <c r="I176" s="2485"/>
      <c r="J176" s="2484"/>
      <c r="K176" s="2484"/>
      <c r="L176" s="2485"/>
      <c r="M176" s="2484"/>
      <c r="N176" s="2484"/>
      <c r="O176" s="2485"/>
      <c r="P176" s="2484"/>
      <c r="Q176" s="2484"/>
      <c r="R176" s="2486"/>
    </row>
    <row r="177" spans="1:18" s="799" customFormat="1">
      <c r="B177" s="2484"/>
      <c r="C177" s="2484"/>
      <c r="D177" s="2484"/>
      <c r="E177" s="2484"/>
      <c r="F177" s="2484"/>
      <c r="G177" s="2485"/>
      <c r="H177" s="2484"/>
      <c r="I177" s="2485"/>
      <c r="J177" s="2484"/>
      <c r="K177" s="2484"/>
      <c r="L177" s="2485"/>
      <c r="M177" s="2484"/>
      <c r="N177" s="2484"/>
      <c r="O177" s="2485"/>
      <c r="P177" s="2484"/>
      <c r="Q177" s="2484"/>
      <c r="R177" s="2486"/>
    </row>
    <row r="178" spans="1:18" s="799" customFormat="1">
      <c r="B178" s="2484"/>
      <c r="C178" s="2484"/>
      <c r="D178" s="2484"/>
      <c r="E178" s="2484"/>
      <c r="F178" s="2484"/>
      <c r="G178" s="2485"/>
      <c r="H178" s="2484"/>
      <c r="I178" s="2485"/>
      <c r="J178" s="2484"/>
      <c r="K178" s="2484"/>
      <c r="L178" s="2485"/>
      <c r="M178" s="2484"/>
      <c r="N178" s="2484"/>
      <c r="O178" s="2485"/>
      <c r="P178" s="2484"/>
      <c r="Q178" s="2484"/>
      <c r="R178" s="2486"/>
    </row>
    <row r="179" spans="1:18" s="799" customFormat="1">
      <c r="B179" s="2484"/>
      <c r="C179" s="2484"/>
      <c r="D179" s="2484"/>
      <c r="E179" s="2484"/>
      <c r="F179" s="2484"/>
      <c r="G179" s="2485"/>
      <c r="H179" s="2484"/>
      <c r="I179" s="2485"/>
      <c r="J179" s="2484"/>
      <c r="K179" s="2484"/>
      <c r="L179" s="2485"/>
      <c r="M179" s="2484"/>
      <c r="N179" s="2484"/>
      <c r="O179" s="2485"/>
      <c r="P179" s="2484"/>
      <c r="Q179" s="2484"/>
      <c r="R179" s="2486"/>
    </row>
    <row r="180" spans="1:18" s="799" customFormat="1">
      <c r="B180" s="2484"/>
      <c r="C180" s="2484"/>
      <c r="D180" s="2484"/>
      <c r="E180" s="2484"/>
      <c r="F180" s="2484"/>
      <c r="G180" s="2485"/>
      <c r="H180" s="2484"/>
      <c r="I180" s="2485"/>
      <c r="J180" s="2484"/>
      <c r="K180" s="2484"/>
      <c r="L180" s="2485"/>
      <c r="M180" s="2484"/>
      <c r="N180" s="2484"/>
      <c r="O180" s="2485"/>
      <c r="P180" s="2484"/>
      <c r="Q180" s="2484"/>
      <c r="R180" s="2486"/>
    </row>
    <row r="181" spans="1:18" s="799" customFormat="1">
      <c r="B181" s="2484"/>
      <c r="C181" s="2484"/>
      <c r="D181" s="2484"/>
      <c r="E181" s="2484"/>
      <c r="F181" s="2484"/>
      <c r="G181" s="2485"/>
      <c r="H181" s="2484"/>
      <c r="I181" s="2485"/>
      <c r="J181" s="2484"/>
      <c r="K181" s="2484"/>
      <c r="L181" s="2485"/>
      <c r="M181" s="2484"/>
      <c r="N181" s="2484"/>
      <c r="O181" s="2485"/>
      <c r="P181" s="2484"/>
      <c r="Q181" s="2484"/>
      <c r="R181" s="2486"/>
    </row>
    <row r="182" spans="1:18" s="799" customFormat="1">
      <c r="B182" s="2484"/>
      <c r="C182" s="2484"/>
      <c r="D182" s="2484"/>
      <c r="E182" s="2484"/>
      <c r="F182" s="2484"/>
      <c r="G182" s="2485"/>
      <c r="H182" s="2484"/>
      <c r="I182" s="2485"/>
      <c r="J182" s="2484"/>
      <c r="K182" s="2484"/>
      <c r="L182" s="2485"/>
      <c r="M182" s="2484"/>
      <c r="N182" s="2484"/>
      <c r="O182" s="2485"/>
      <c r="P182" s="2484"/>
      <c r="Q182" s="2484"/>
      <c r="R182" s="2486"/>
    </row>
    <row r="183" spans="1:18" s="799" customFormat="1">
      <c r="B183" s="2484"/>
      <c r="C183" s="2484"/>
      <c r="D183" s="2484"/>
      <c r="E183" s="2484"/>
      <c r="F183" s="2484"/>
      <c r="G183" s="2485"/>
      <c r="H183" s="2484"/>
      <c r="I183" s="2485"/>
      <c r="J183" s="2484"/>
      <c r="K183" s="2484"/>
      <c r="L183" s="2485"/>
      <c r="M183" s="2484"/>
      <c r="N183" s="2484"/>
      <c r="O183" s="2485"/>
      <c r="P183" s="2484"/>
      <c r="Q183" s="2484"/>
      <c r="R183" s="2486"/>
    </row>
    <row r="184" spans="1:18" s="799" customFormat="1">
      <c r="B184" s="2484"/>
      <c r="C184" s="2484"/>
      <c r="D184" s="2484"/>
      <c r="E184" s="2484"/>
      <c r="F184" s="2484"/>
      <c r="G184" s="2485"/>
      <c r="H184" s="2484"/>
      <c r="I184" s="2485"/>
      <c r="J184" s="2484"/>
      <c r="K184" s="2484"/>
      <c r="L184" s="2485"/>
      <c r="M184" s="2484"/>
      <c r="N184" s="2484"/>
      <c r="O184" s="2485"/>
      <c r="P184" s="2484"/>
      <c r="Q184" s="2484"/>
      <c r="R184" s="2486"/>
    </row>
    <row r="185" spans="1:18" s="799"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9"/>
      <c r="B186" s="2484"/>
      <c r="C186" s="2484"/>
      <c r="E186" s="2484"/>
      <c r="F186" s="2484"/>
      <c r="G186" s="2485"/>
    </row>
    <row r="187" spans="1:18">
      <c r="A187" s="799"/>
      <c r="B187" s="2484"/>
      <c r="C187" s="2484"/>
      <c r="E187" s="2484"/>
      <c r="F187" s="2484"/>
      <c r="G187" s="24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8"/>
  <sheetViews>
    <sheetView tabSelected="1" view="pageBreakPreview" zoomScale="80" zoomScaleNormal="80" zoomScaleSheetLayoutView="80" workbookViewId="0">
      <selection activeCell="A28" sqref="A28"/>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30066.800000000003</v>
      </c>
      <c r="C1" s="2679"/>
      <c r="D1" s="2679"/>
      <c r="E1" s="2679"/>
      <c r="F1" s="2679"/>
      <c r="G1" s="2680"/>
      <c r="H1" s="2681"/>
      <c r="I1" s="2681"/>
      <c r="J1" s="2681"/>
      <c r="K1" s="2681"/>
    </row>
    <row r="2" spans="1:11" ht="16.5">
      <c r="A2" s="2505" t="s">
        <v>653</v>
      </c>
      <c r="B2" s="2505">
        <f>SUM(C14:C23)</f>
        <v>23093.86</v>
      </c>
      <c r="C2" s="2679"/>
      <c r="D2" s="2679"/>
      <c r="E2" s="2679"/>
      <c r="F2" s="2679"/>
      <c r="G2" s="2680"/>
      <c r="H2" s="2681"/>
      <c r="I2" s="2681"/>
      <c r="J2" s="2681"/>
      <c r="K2" s="2681"/>
    </row>
    <row r="3" spans="1:11" ht="16.5">
      <c r="A3" s="2505" t="s">
        <v>662</v>
      </c>
      <c r="B3" s="2507">
        <f>项目基本情况!D3</f>
        <v>45160</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85282</v>
      </c>
      <c r="C5" s="2505">
        <f ca="1">IF(B5=D14,结果表!H102,ROUND(B5*10000/$B$1,0))</f>
        <v>28364</v>
      </c>
      <c r="D5" s="2505">
        <f ca="1">ROUND(B5*10000/$B$2,0)</f>
        <v>36928</v>
      </c>
      <c r="E5" s="2679"/>
      <c r="F5" s="2680"/>
      <c r="G5" s="2680"/>
      <c r="H5" s="2681"/>
      <c r="I5" s="2681"/>
      <c r="J5" s="2681"/>
      <c r="K5" s="2681"/>
    </row>
    <row r="6" spans="1:11" ht="16.5">
      <c r="A6" s="2505" t="s">
        <v>656</v>
      </c>
      <c r="B6" s="2505">
        <f ca="1">SUM(G14:G23)</f>
        <v>85282</v>
      </c>
      <c r="C6" s="2505">
        <f ca="1">IF(B6=G14,结果表!H108,ROUND(B6*10000/$B$1,0))</f>
        <v>28364</v>
      </c>
      <c r="D6" s="2505">
        <f ca="1">ROUND(B6*10000/$B$2,0)</f>
        <v>36928</v>
      </c>
      <c r="E6" s="2679"/>
      <c r="F6" s="2680"/>
      <c r="G6" s="2680"/>
      <c r="H6" s="2681"/>
      <c r="I6" s="2681"/>
      <c r="J6" s="2681"/>
      <c r="K6" s="2681"/>
    </row>
    <row r="7" spans="1:11" ht="16.5">
      <c r="A7" s="2505" t="s">
        <v>664</v>
      </c>
      <c r="B7" s="2505">
        <f>SUM(H14:H23)</f>
        <v>0</v>
      </c>
      <c r="C7" s="2505" t="str">
        <f>IF(B7=H14,结果表!H110,ROUND(B7*10000/$B$1,0))</f>
        <v>——</v>
      </c>
      <c r="D7" s="2505">
        <f>ROUND(B7*10000/$B$2,0)</f>
        <v>0</v>
      </c>
      <c r="E7" s="2679"/>
      <c r="F7" s="2680"/>
      <c r="G7" s="2680"/>
      <c r="H7" s="2681"/>
      <c r="I7" s="2681"/>
      <c r="J7" s="2681"/>
      <c r="K7" s="2681"/>
    </row>
    <row r="8" spans="1:11" ht="16.5">
      <c r="A8" s="2505" t="s">
        <v>587</v>
      </c>
      <c r="B8" s="2505">
        <f>SUM(I14:I23)</f>
        <v>0</v>
      </c>
      <c r="C8" s="2505" t="str">
        <f>IF(B8=I14,结果表!H112,ROUND(B8*10000/$B$1,0))</f>
        <v>——</v>
      </c>
      <c r="D8" s="2505">
        <f>ROUND(B8*10000/$B$2,0)</f>
        <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3351</v>
      </c>
      <c r="D10" s="2505" t="s">
        <v>3352</v>
      </c>
      <c r="E10" s="3434"/>
      <c r="F10" s="3438" t="s">
        <v>3353</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结果表!B118</f>
        <v>27202.300000000003</v>
      </c>
      <c r="C14" s="2511">
        <f>结果表!C118</f>
        <v>18455.759999999998</v>
      </c>
      <c r="D14" s="2511">
        <f ca="1">结果表!H118</f>
        <v>74426</v>
      </c>
      <c r="E14" s="2511">
        <f ca="1">ROUND(D14*10000/B14,0)</f>
        <v>27360</v>
      </c>
      <c r="F14" s="2511">
        <f ca="1">ROUND(D14*10000/C14,0)</f>
        <v>40327</v>
      </c>
      <c r="G14" s="2511">
        <f ca="1">结果表!D122</f>
        <v>74426</v>
      </c>
      <c r="H14" s="2511"/>
      <c r="I14" s="2511"/>
      <c r="J14" s="2680"/>
      <c r="K14" s="2681"/>
    </row>
    <row r="15" spans="1:11" ht="16.5">
      <c r="A15" s="2510" t="s">
        <v>649</v>
      </c>
      <c r="B15" s="2512">
        <f>[3]系统读取表!B14</f>
        <v>2864.5</v>
      </c>
      <c r="C15" s="3821">
        <f>[3]系统读取表!C14</f>
        <v>4638.1000000000004</v>
      </c>
      <c r="D15" s="3821">
        <f ca="1">[3]系统读取表!D14</f>
        <v>10856</v>
      </c>
      <c r="E15" s="2511">
        <f t="shared" ref="E15:E23" ca="1" si="0">ROUND(D15*10000/B15,0)</f>
        <v>37898</v>
      </c>
      <c r="F15" s="2511">
        <f t="shared" ref="F15:F23" ca="1" si="1">ROUND(D15*10000/C15,0)</f>
        <v>23406</v>
      </c>
      <c r="G15" s="3821">
        <f ca="1">[3]系统读取表!G14</f>
        <v>10856</v>
      </c>
      <c r="H15" s="1331"/>
      <c r="I15" s="2512"/>
      <c r="J15" s="2680"/>
      <c r="K15" s="2681"/>
    </row>
    <row r="16" spans="1:11" ht="16.5">
      <c r="A16" s="2510" t="s">
        <v>648</v>
      </c>
      <c r="B16" s="2512"/>
      <c r="C16" s="2512"/>
      <c r="D16" s="2512"/>
      <c r="E16" s="2511" t="e">
        <f t="shared" si="0"/>
        <v>#DIV/0!</v>
      </c>
      <c r="F16" s="2511" t="e">
        <f t="shared" si="1"/>
        <v>#DIV/0!</v>
      </c>
      <c r="G16" s="1331"/>
      <c r="H16" s="1331"/>
      <c r="I16" s="2512"/>
      <c r="J16" s="2681"/>
      <c r="K16" s="2681"/>
    </row>
    <row r="17" spans="1:11" ht="16.5">
      <c r="A17" s="2510" t="s">
        <v>647</v>
      </c>
      <c r="B17" s="2512"/>
      <c r="C17" s="2512"/>
      <c r="D17" s="2512"/>
      <c r="E17" s="2511" t="e">
        <f t="shared" si="0"/>
        <v>#DIV/0!</v>
      </c>
      <c r="F17" s="2511" t="e">
        <f t="shared" si="1"/>
        <v>#DIV/0!</v>
      </c>
      <c r="G17" s="1331"/>
      <c r="H17" s="1331"/>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28" spans="1:11">
      <c r="A28" s="3882">
        <f ca="1">B6*10000</f>
        <v>852820000</v>
      </c>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4" zoomScale="90" zoomScaleNormal="100" zoomScaleSheetLayoutView="90" zoomScalePageLayoutView="80" workbookViewId="0">
      <selection activeCell="H119" sqref="H119:I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3417</v>
      </c>
      <c r="D1" s="1747"/>
      <c r="E1" s="1747"/>
      <c r="F1" s="1749" t="s">
        <v>1262</v>
      </c>
      <c r="G1" s="1561" t="s">
        <v>3376</v>
      </c>
      <c r="H1" s="1750" t="str">
        <f>IF(G1="现房","——","估价对象范围")</f>
        <v>——</v>
      </c>
      <c r="I1" s="1751"/>
    </row>
    <row r="2" spans="1:12" ht="21.75" customHeight="1" thickBot="1">
      <c r="A2" s="3606" t="str">
        <f>项目基本情况!S2</f>
        <v>北京市朝阳区郎家园6号10幢等17幢房地产</v>
      </c>
      <c r="B2" s="3607"/>
      <c r="C2" s="3607"/>
      <c r="D2" s="3607"/>
      <c r="E2" s="3607"/>
      <c r="F2" s="3607"/>
      <c r="G2" s="3607"/>
      <c r="H2" s="3607"/>
      <c r="I2" s="3608"/>
    </row>
    <row r="3" spans="1:12" ht="12.75">
      <c r="A3" s="3610" t="s">
        <v>1263</v>
      </c>
      <c r="B3" s="3611"/>
      <c r="C3" s="3611"/>
      <c r="D3" s="3611"/>
      <c r="E3" s="3611"/>
      <c r="F3" s="3611"/>
      <c r="G3" s="3611"/>
      <c r="H3" s="3611"/>
      <c r="I3" s="3611"/>
    </row>
    <row r="4" spans="1:12" ht="14.25">
      <c r="A4" s="1754" t="s">
        <v>1264</v>
      </c>
      <c r="B4" s="1755" t="s">
        <v>1265</v>
      </c>
      <c r="C4" s="1756" t="s">
        <v>3402</v>
      </c>
      <c r="D4" s="1756" t="s">
        <v>3389</v>
      </c>
      <c r="E4" s="3615" t="s">
        <v>1266</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1267</v>
      </c>
      <c r="B5" s="3609">
        <v>25</v>
      </c>
      <c r="C5" s="3612"/>
      <c r="D5" s="3600"/>
      <c r="E5" s="131" t="s">
        <v>1268</v>
      </c>
      <c r="F5" s="1757"/>
      <c r="G5" s="1757"/>
      <c r="H5" s="1757"/>
      <c r="I5" s="1373"/>
    </row>
    <row r="6" spans="1:12" ht="12.75">
      <c r="A6" s="3554"/>
      <c r="B6" s="3609"/>
      <c r="C6" s="3614"/>
      <c r="D6" s="3600"/>
      <c r="E6" s="131" t="s">
        <v>1269</v>
      </c>
      <c r="F6" s="1757"/>
      <c r="G6" s="1757"/>
      <c r="H6" s="1757"/>
      <c r="I6" s="1373"/>
    </row>
    <row r="7" spans="1:12" ht="12.75">
      <c r="A7" s="3554"/>
      <c r="B7" s="3609"/>
      <c r="C7" s="3613"/>
      <c r="D7" s="3600"/>
      <c r="E7" s="131" t="s">
        <v>1270</v>
      </c>
      <c r="F7" s="1757"/>
      <c r="G7" s="1757"/>
      <c r="H7" s="1757"/>
      <c r="I7" s="1373"/>
    </row>
    <row r="8" spans="1:12" ht="12.75">
      <c r="A8" s="3554" t="s">
        <v>1271</v>
      </c>
      <c r="B8" s="3609">
        <v>15</v>
      </c>
      <c r="C8" s="3612"/>
      <c r="D8" s="3600"/>
      <c r="E8" s="131" t="s">
        <v>1272</v>
      </c>
      <c r="F8" s="1757"/>
      <c r="G8" s="1757"/>
      <c r="H8" s="1757"/>
      <c r="I8" s="1373"/>
    </row>
    <row r="9" spans="1:12" ht="12.75">
      <c r="A9" s="3554"/>
      <c r="B9" s="3609"/>
      <c r="C9" s="3613"/>
      <c r="D9" s="3600"/>
      <c r="E9" s="131" t="s">
        <v>1273</v>
      </c>
      <c r="F9" s="1757"/>
      <c r="G9" s="1757"/>
      <c r="H9" s="1757"/>
      <c r="I9" s="1373"/>
    </row>
    <row r="10" spans="1:12" ht="12.75">
      <c r="A10" s="3554" t="s">
        <v>1274</v>
      </c>
      <c r="B10" s="3609">
        <v>15</v>
      </c>
      <c r="C10" s="3612"/>
      <c r="D10" s="3600"/>
      <c r="E10" s="131" t="s">
        <v>1275</v>
      </c>
      <c r="F10" s="1757"/>
      <c r="G10" s="1757"/>
      <c r="H10" s="1757"/>
      <c r="I10" s="1373"/>
    </row>
    <row r="11" spans="1:12" ht="12.75">
      <c r="A11" s="3554"/>
      <c r="B11" s="3609"/>
      <c r="C11" s="3613"/>
      <c r="D11" s="3600"/>
      <c r="E11" s="131" t="s">
        <v>1276</v>
      </c>
      <c r="F11" s="1757"/>
      <c r="G11" s="1757"/>
      <c r="H11" s="1757"/>
      <c r="I11" s="1373"/>
    </row>
    <row r="12" spans="1:12" ht="12.75">
      <c r="A12" s="3554" t="s">
        <v>1277</v>
      </c>
      <c r="B12" s="3609">
        <v>15</v>
      </c>
      <c r="C12" s="3612"/>
      <c r="D12" s="3600"/>
      <c r="E12" s="131" t="s">
        <v>1278</v>
      </c>
      <c r="F12" s="1757"/>
      <c r="G12" s="1757"/>
      <c r="H12" s="1757"/>
      <c r="I12" s="1373"/>
    </row>
    <row r="13" spans="1:12" ht="12.75">
      <c r="A13" s="3554"/>
      <c r="B13" s="3609"/>
      <c r="C13" s="3613"/>
      <c r="D13" s="3600"/>
      <c r="E13" s="131" t="s">
        <v>1279</v>
      </c>
      <c r="F13" s="1757"/>
      <c r="G13" s="1757"/>
      <c r="H13" s="1757"/>
      <c r="I13" s="1373"/>
    </row>
    <row r="14" spans="1:12" ht="12.75">
      <c r="A14" s="3554" t="s">
        <v>1280</v>
      </c>
      <c r="B14" s="3609">
        <v>30</v>
      </c>
      <c r="C14" s="3612">
        <v>4</v>
      </c>
      <c r="D14" s="3600">
        <f>10-C14</f>
        <v>6</v>
      </c>
      <c r="E14" s="131" t="s">
        <v>1281</v>
      </c>
      <c r="F14" s="1757"/>
      <c r="G14" s="1757"/>
      <c r="H14" s="1757"/>
      <c r="I14" s="1373"/>
    </row>
    <row r="15" spans="1:12" ht="12.75">
      <c r="A15" s="3554"/>
      <c r="B15" s="3609"/>
      <c r="C15" s="3614"/>
      <c r="D15" s="3600"/>
      <c r="E15" s="131" t="s">
        <v>1282</v>
      </c>
      <c r="F15" s="1757"/>
      <c r="G15" s="1757"/>
      <c r="H15" s="1757"/>
      <c r="I15" s="1373"/>
    </row>
    <row r="16" spans="1:12" ht="12.75">
      <c r="A16" s="3554"/>
      <c r="B16" s="3609"/>
      <c r="C16" s="3613"/>
      <c r="D16" s="3600"/>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31" t="s">
        <v>2130</v>
      </c>
      <c r="F18" s="3632"/>
      <c r="G18" s="3632"/>
      <c r="H18" s="3632"/>
      <c r="I18" s="3632"/>
      <c r="K18" s="302" t="s">
        <v>1288</v>
      </c>
      <c r="L18" s="302">
        <f>IF(C1="",'数据-汇总表'!E3,SUMIF(项目类型,C1,'数据-汇总表'!E17:E26)+SUMIF(项目类型,C1,'数据-汇总表'!I17:I26))</f>
        <v>27202.300000000003</v>
      </c>
      <c r="M18" s="302">
        <f>IF(C1="",'数据-汇总表'!E3,SUMIF(项目类型,C1,'数据-汇总表'!E17:E26))</f>
        <v>27202.300000000003</v>
      </c>
    </row>
    <row r="19" spans="1:36" ht="15">
      <c r="A19" s="1761" t="s">
        <v>1289</v>
      </c>
      <c r="B19" s="1762" t="s">
        <v>1290</v>
      </c>
      <c r="C19" s="134">
        <f ca="1">SUMIF(INDIRECT("'"&amp;C4&amp;"'"&amp;"!A:A"),结果表!B19,INDIRECT("'"&amp;C4&amp;"'"&amp;"!B:B"))</f>
        <v>35136</v>
      </c>
      <c r="D19" s="135">
        <f ca="1">SUMIF(INDIRECT("'"&amp;D4&amp;"'"&amp;"!A:A"),结果表!B19,INDIRECT("'"&amp;D4&amp;"'"&amp;"!B:B"))</f>
        <v>100619</v>
      </c>
      <c r="E19" s="1761" t="s">
        <v>1291</v>
      </c>
      <c r="F19" s="1762" t="s">
        <v>1290</v>
      </c>
      <c r="G19" s="136">
        <f ca="1">ROUND(C19*$C$18+D19*$D$18,0)</f>
        <v>74426</v>
      </c>
      <c r="H19" s="1763" t="s">
        <v>1292</v>
      </c>
      <c r="I19" s="129"/>
      <c r="K19" s="302" t="s">
        <v>1293</v>
      </c>
      <c r="L19" s="302">
        <f>IF(C1="",'数据-汇总表'!D3,SUMIF(项目类型,C1,'数据-汇总表'!D17:D26)+SUMIF(项目类型,C1,'数据-汇总表'!H17:H27))</f>
        <v>18455.759999999998</v>
      </c>
      <c r="M19" s="302">
        <f>IF(C1="",'数据-汇总表'!D3,SUMIF(项目类型,C1,'数据-汇总表'!D17:D26))</f>
        <v>18455.759999999998</v>
      </c>
    </row>
    <row r="20" spans="1:36" ht="15">
      <c r="A20" s="1764"/>
      <c r="B20" s="1026" t="s">
        <v>1294</v>
      </c>
      <c r="C20" s="137">
        <f ca="1">SUMIF(INDIRECT("'"&amp;C4&amp;"'"&amp;"!A:A"),结果表!B20,INDIRECT("'"&amp;C4&amp;"'"&amp;"!B:B"))</f>
        <v>12917</v>
      </c>
      <c r="D20" s="138">
        <f ca="1">SUMIF(INDIRECT("'"&amp;D4&amp;"'"&amp;"!A:A"),结果表!B20,INDIRECT("'"&amp;D4&amp;"'"&amp;"!B:B"))</f>
        <v>36989</v>
      </c>
      <c r="E20" s="1764"/>
      <c r="F20" s="1026" t="s">
        <v>1294</v>
      </c>
      <c r="G20" s="139">
        <f ca="1">ROUND(C20*$C$18+D20*$D$18,0)</f>
        <v>27360</v>
      </c>
      <c r="H20" s="808" t="s">
        <v>1295</v>
      </c>
      <c r="I20" s="129"/>
    </row>
    <row r="21" spans="1:36" ht="15" customHeight="1" thickBot="1">
      <c r="A21" s="828"/>
      <c r="B21" s="1765" t="s">
        <v>1296</v>
      </c>
      <c r="C21" s="719">
        <f ca="1">ROUND(C19*10000/L19,0)</f>
        <v>19038</v>
      </c>
      <c r="D21" s="720">
        <f ca="1">ROUND(D19*10000/L19,0)</f>
        <v>54519</v>
      </c>
      <c r="E21" s="828"/>
      <c r="F21" s="1765" t="s">
        <v>1296</v>
      </c>
      <c r="G21" s="140">
        <f ca="1">ROUND(G19*10000/L19,0)</f>
        <v>40327</v>
      </c>
      <c r="H21" s="1766" t="s">
        <v>1295</v>
      </c>
      <c r="I21" s="129"/>
      <c r="J21" s="725" t="s">
        <v>3497</v>
      </c>
    </row>
    <row r="22" spans="1:36" ht="15" thickBot="1">
      <c r="A22" s="1688" t="s">
        <v>1297</v>
      </c>
      <c r="B22" s="1767"/>
      <c r="C22" s="1768"/>
      <c r="D22" s="721">
        <f ca="1">IF(C19&lt;D19,D19/C19-1,C19/D19-1)</f>
        <v>1.8637010473588345</v>
      </c>
      <c r="E22" s="129"/>
      <c r="F22" s="129"/>
      <c r="G22" s="129"/>
      <c r="H22" s="129"/>
      <c r="I22" s="129"/>
      <c r="J22" s="3820">
        <v>74127</v>
      </c>
    </row>
    <row r="23" spans="1:36" ht="13.5" thickBot="1">
      <c r="A23" s="1747"/>
      <c r="B23" s="1747"/>
      <c r="C23" s="1747"/>
      <c r="D23" s="1747"/>
      <c r="E23" s="129"/>
      <c r="F23" s="129"/>
      <c r="G23" s="129"/>
      <c r="H23" s="129"/>
      <c r="I23" s="129"/>
    </row>
    <row r="24" spans="1:36" ht="14.25">
      <c r="A24" s="3624" t="s">
        <v>1298</v>
      </c>
      <c r="B24" s="1762" t="s">
        <v>1290</v>
      </c>
      <c r="C24" s="136">
        <f>IF(B30=0,0,D30)</f>
        <v>0</v>
      </c>
      <c r="D24" s="1769"/>
      <c r="E24" s="129"/>
      <c r="F24" s="129"/>
      <c r="G24" s="129"/>
      <c r="H24" s="129"/>
      <c r="I24" s="129"/>
    </row>
    <row r="25" spans="1:36" ht="14.25">
      <c r="A25" s="3625"/>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1304</v>
      </c>
      <c r="B32" s="1774"/>
      <c r="C32" s="144">
        <f ca="1">IF(D32="总价",G19-C24,G20-C25)</f>
        <v>74426</v>
      </c>
      <c r="D32" s="1775" t="s">
        <v>3397</v>
      </c>
      <c r="E32" s="129"/>
      <c r="F32" s="129"/>
      <c r="G32" s="129"/>
      <c r="H32" s="129"/>
      <c r="I32" s="129"/>
    </row>
    <row r="33" spans="1:15" ht="15">
      <c r="A33" s="786" t="s">
        <v>1305</v>
      </c>
      <c r="B33" s="1776"/>
      <c r="C33" s="1777"/>
      <c r="D33" s="1778"/>
      <c r="E33" s="1779" t="s">
        <v>1306</v>
      </c>
      <c r="F33" s="1780" t="str">
        <f>IF(D32="楼面单价","取值（单价）","取值（总价）")</f>
        <v>取值（总价）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601" t="s">
        <v>1311</v>
      </c>
      <c r="B36" s="1787" t="s">
        <v>1312</v>
      </c>
      <c r="C36" s="145"/>
      <c r="D36" s="1788"/>
      <c r="E36" s="1789"/>
      <c r="F36" s="1790"/>
      <c r="G36" s="129"/>
      <c r="H36" s="129"/>
      <c r="I36" s="129"/>
    </row>
    <row r="37" spans="1:15" ht="15.75" thickBot="1">
      <c r="A37" s="3602"/>
      <c r="B37" s="1674" t="s">
        <v>1313</v>
      </c>
      <c r="C37" s="147"/>
      <c r="D37" s="1139"/>
      <c r="E37" s="1139"/>
      <c r="F37" s="1790"/>
      <c r="G37" s="129"/>
      <c r="H37" s="129"/>
      <c r="I37" s="129"/>
    </row>
    <row r="38" spans="1:15" ht="15.75" thickBot="1">
      <c r="A38" s="360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621" t="s">
        <v>1325</v>
      </c>
      <c r="B45" s="3622"/>
      <c r="C45" s="3623"/>
      <c r="D45" s="155">
        <f ca="1">ROUND(H101*F45,0)</f>
        <v>74426</v>
      </c>
      <c r="E45" s="156" t="s">
        <v>1326</v>
      </c>
      <c r="F45" s="157">
        <v>1</v>
      </c>
      <c r="G45" s="158" t="s">
        <v>1327</v>
      </c>
      <c r="H45" s="129"/>
      <c r="I45" s="129"/>
      <c r="J45" s="3541" t="s">
        <v>1328</v>
      </c>
      <c r="K45" s="3541"/>
      <c r="L45" s="3541"/>
      <c r="M45" s="3541"/>
      <c r="N45" s="3541"/>
      <c r="O45" s="3541"/>
    </row>
    <row r="46" spans="1:15" ht="14.25" hidden="1" customHeight="1">
      <c r="A46" s="3618" t="s">
        <v>1329</v>
      </c>
      <c r="B46" s="3619"/>
      <c r="C46" s="3619"/>
      <c r="D46" s="3619"/>
      <c r="E46" s="3619"/>
      <c r="F46" s="3619"/>
      <c r="G46" s="3620"/>
      <c r="H46" s="1806"/>
      <c r="I46" s="159"/>
      <c r="J46" s="2516">
        <v>1</v>
      </c>
      <c r="K46" s="3542" t="s">
        <v>1330</v>
      </c>
      <c r="L46" s="3542"/>
      <c r="M46" s="3543"/>
      <c r="N46" s="3543"/>
      <c r="O46" s="3543"/>
    </row>
    <row r="47" spans="1:15" ht="12" hidden="1" customHeight="1">
      <c r="A47" s="160" t="s">
        <v>1331</v>
      </c>
      <c r="B47" s="161"/>
      <c r="C47" s="162"/>
      <c r="D47" s="1087" t="s">
        <v>1332</v>
      </c>
      <c r="E47" s="302" t="s">
        <v>1333</v>
      </c>
      <c r="F47" s="163" t="s">
        <v>1334</v>
      </c>
      <c r="G47" s="2539" t="s">
        <v>1335</v>
      </c>
      <c r="H47" s="2540"/>
      <c r="I47" s="159"/>
      <c r="J47" s="2516">
        <v>2</v>
      </c>
      <c r="K47" s="3542" t="s">
        <v>1336</v>
      </c>
      <c r="L47" s="3542"/>
      <c r="M47" s="3544">
        <f>'数据-取费表'!B2</f>
        <v>45160</v>
      </c>
      <c r="N47" s="3544"/>
      <c r="O47" s="3544"/>
    </row>
    <row r="48" spans="1:15" ht="25.5" hidden="1">
      <c r="A48" s="3604" t="s">
        <v>1337</v>
      </c>
      <c r="B48" s="3605"/>
      <c r="C48" s="3605"/>
      <c r="D48" s="2322">
        <f ca="1">IF(H48="情况1",0,IF(H48="情况2",D52,IF(H48="情况3",D53,IF(H48="情况4",D54))))</f>
        <v>3969</v>
      </c>
      <c r="E48" s="2332" t="str">
        <f>IF(H48="情况4","(销售额-原购置价)×税（费）率","销售额×税（费）率")</f>
        <v>销售额×税（费）率</v>
      </c>
      <c r="F48" s="2541">
        <f>IF(H48="情况1","免征",'数据-取费表'!B41)</f>
        <v>5.6000000000000001E-2</v>
      </c>
      <c r="G48" s="2542" t="s">
        <v>1338</v>
      </c>
      <c r="H48" s="2543" t="s">
        <v>3398</v>
      </c>
      <c r="I48" s="1806"/>
      <c r="J48" s="2516">
        <v>3</v>
      </c>
      <c r="K48" s="3542" t="s">
        <v>1339</v>
      </c>
      <c r="L48" s="3542"/>
      <c r="M48" s="3545">
        <f ca="1">H101</f>
        <v>74426</v>
      </c>
      <c r="N48" s="3545"/>
      <c r="O48" s="3545"/>
    </row>
    <row r="49" spans="1:35" ht="25.5" hidden="1" customHeight="1">
      <c r="A49" s="2331" t="s">
        <v>1340</v>
      </c>
      <c r="B49" s="3590" t="s">
        <v>1341</v>
      </c>
      <c r="C49" s="3590"/>
      <c r="D49" s="1590">
        <v>0</v>
      </c>
      <c r="E49" s="324" t="s">
        <v>1342</v>
      </c>
      <c r="F49" s="2422" t="s">
        <v>28</v>
      </c>
      <c r="G49" s="3573"/>
      <c r="H49" s="2308" t="s">
        <v>2133</v>
      </c>
      <c r="I49" s="2309"/>
      <c r="J49" s="2516">
        <v>4</v>
      </c>
      <c r="K49" s="3542" t="str">
        <f>IF(项目基本情况!E8="房地产抵押价值","房地产抵押价值","抵押担保权已注销时的房地产抵押价值")</f>
        <v>房地产抵押价值</v>
      </c>
      <c r="L49" s="3542"/>
      <c r="M49" s="3545">
        <f ca="1">IF(项目基本情况!E8="房地产抵押价值",H107,H109)</f>
        <v>74426</v>
      </c>
      <c r="N49" s="3545"/>
      <c r="O49" s="3545"/>
    </row>
    <row r="50" spans="1:35" ht="25.5" hidden="1" customHeight="1">
      <c r="A50" s="2544"/>
      <c r="B50" s="3590" t="s">
        <v>1343</v>
      </c>
      <c r="C50" s="3590"/>
      <c r="D50" s="2545"/>
      <c r="E50" s="332"/>
      <c r="F50" s="2422"/>
      <c r="G50" s="3574"/>
      <c r="H50" s="2310" t="s">
        <v>2134</v>
      </c>
      <c r="I50" s="2309"/>
      <c r="J50" s="3541" t="s">
        <v>1344</v>
      </c>
      <c r="K50" s="3541"/>
      <c r="L50" s="3541"/>
      <c r="M50" s="3541"/>
      <c r="N50" s="3541"/>
      <c r="O50" s="3541"/>
    </row>
    <row r="51" spans="1:35" ht="20.45" hidden="1" customHeight="1">
      <c r="A51" s="2546"/>
      <c r="B51" s="3590" t="s">
        <v>1345</v>
      </c>
      <c r="C51" s="3590"/>
      <c r="D51" s="1087"/>
      <c r="E51" s="327"/>
      <c r="F51" s="2422"/>
      <c r="G51" s="3575"/>
      <c r="H51" s="2310" t="s">
        <v>2135</v>
      </c>
      <c r="I51" s="2309"/>
      <c r="J51" s="2517" t="s">
        <v>1346</v>
      </c>
      <c r="K51" s="3542" t="s">
        <v>1347</v>
      </c>
      <c r="L51" s="3542"/>
      <c r="M51" s="2517" t="s">
        <v>1348</v>
      </c>
      <c r="N51" s="2517" t="s">
        <v>1349</v>
      </c>
      <c r="O51" s="2517" t="s">
        <v>1350</v>
      </c>
    </row>
    <row r="52" spans="1:35" ht="24" hidden="1" customHeight="1">
      <c r="A52" s="2333" t="s">
        <v>1351</v>
      </c>
      <c r="B52" s="3590" t="s">
        <v>1352</v>
      </c>
      <c r="C52" s="3590"/>
      <c r="D52" s="1087">
        <f ca="1">ROUND(D45*'数据-取费表'!B41/(1+'数据-取费表'!C42),0)</f>
        <v>3969</v>
      </c>
      <c r="E52" s="2332" t="s">
        <v>1353</v>
      </c>
      <c r="F52" s="2547">
        <f>'数据-取费表'!B41</f>
        <v>5.6000000000000001E-2</v>
      </c>
      <c r="G52" s="2548"/>
      <c r="H52" s="2537"/>
      <c r="I52" s="1807"/>
      <c r="J52" s="2516">
        <v>1</v>
      </c>
      <c r="K52" s="3567" t="s">
        <v>1354</v>
      </c>
      <c r="L52" s="3567"/>
      <c r="M52" s="2518">
        <f ca="1">D48</f>
        <v>3969</v>
      </c>
      <c r="N52" s="2516" t="str">
        <f>E48</f>
        <v>销售额×税（费）率</v>
      </c>
      <c r="O52" s="2519">
        <f>F48</f>
        <v>5.6000000000000001E-2</v>
      </c>
    </row>
    <row r="53" spans="1:35" ht="12" hidden="1" customHeight="1">
      <c r="A53" s="2333" t="s">
        <v>1355</v>
      </c>
      <c r="B53" s="3591" t="s">
        <v>2280</v>
      </c>
      <c r="C53" s="3592"/>
      <c r="D53" s="1087">
        <f ca="1">ROUND(D45*'数据-取费表'!B41/(1+'数据-取费表'!C42),0)</f>
        <v>3969</v>
      </c>
      <c r="E53" s="2332" t="s">
        <v>1353</v>
      </c>
      <c r="F53" s="2547">
        <f>'数据-取费表'!B41</f>
        <v>5.6000000000000001E-2</v>
      </c>
      <c r="G53" s="2548"/>
      <c r="H53" s="2537"/>
      <c r="I53" s="1807"/>
      <c r="J53" s="2516">
        <v>2</v>
      </c>
      <c r="K53" s="3567" t="s">
        <v>1356</v>
      </c>
      <c r="L53" s="3567"/>
      <c r="M53" s="2518">
        <f t="shared" ref="M53:O54" ca="1" si="0">D55</f>
        <v>37</v>
      </c>
      <c r="N53" s="2516" t="str">
        <f t="shared" si="0"/>
        <v>销售额×税（费）率</v>
      </c>
      <c r="O53" s="2519">
        <f t="shared" si="0"/>
        <v>5.0000000000000001E-4</v>
      </c>
    </row>
    <row r="54" spans="1:35" ht="12" hidden="1" customHeight="1">
      <c r="A54" s="2333" t="s">
        <v>1357</v>
      </c>
      <c r="B54" s="3591" t="s">
        <v>2281</v>
      </c>
      <c r="C54" s="3592"/>
      <c r="D54" s="1087">
        <f ca="1">C68</f>
        <v>3969</v>
      </c>
      <c r="E54" s="327" t="s">
        <v>1358</v>
      </c>
      <c r="F54" s="2547">
        <f>'数据-取费表'!B41</f>
        <v>5.6000000000000001E-2</v>
      </c>
      <c r="G54" s="2548"/>
      <c r="H54" s="2549"/>
      <c r="I54" s="1807"/>
      <c r="J54" s="2516">
        <v>3</v>
      </c>
      <c r="K54" s="3567" t="s">
        <v>1359</v>
      </c>
      <c r="L54" s="3567"/>
      <c r="M54" s="2518">
        <f t="shared" ca="1" si="0"/>
        <v>42125</v>
      </c>
      <c r="N54" s="2516" t="str">
        <f t="shared" si="0"/>
        <v>增值额×税（费）率</v>
      </c>
      <c r="O54" s="2520" t="str">
        <f t="shared" si="0"/>
        <v>——</v>
      </c>
    </row>
    <row r="55" spans="1:35" ht="24" hidden="1" customHeight="1">
      <c r="A55" s="3627" t="s">
        <v>1360</v>
      </c>
      <c r="B55" s="3605"/>
      <c r="C55" s="3605"/>
      <c r="D55" s="2322">
        <f ca="1">IF(H55="个人住宅",0,ROUND(D45*I55,0))</f>
        <v>37</v>
      </c>
      <c r="E55" s="2332" t="s">
        <v>1361</v>
      </c>
      <c r="F55" s="2547">
        <f>IF(H55="正常",I55,"免征")</f>
        <v>5.0000000000000001E-4</v>
      </c>
      <c r="G55" s="2548"/>
      <c r="H55" s="2543" t="s">
        <v>3399</v>
      </c>
      <c r="I55" s="165">
        <f>'数据-取费表'!B49</f>
        <v>5.0000000000000001E-4</v>
      </c>
      <c r="J55" s="2516" t="str">
        <f>IF(H59="非个人房产","",4)</f>
        <v/>
      </c>
      <c r="K55" s="3567" t="str">
        <f>IF(H59="非个人房产","——","个人所得税")</f>
        <v>——</v>
      </c>
      <c r="L55" s="3567"/>
      <c r="M55" s="2521" t="str">
        <f>D59</f>
        <v>——</v>
      </c>
      <c r="N55" s="2038" t="str">
        <f>E59</f>
        <v>——</v>
      </c>
      <c r="O55" s="2522" t="str">
        <f>F59</f>
        <v>——</v>
      </c>
    </row>
    <row r="56" spans="1:35" ht="24.75" hidden="1">
      <c r="A56" s="3627" t="s">
        <v>1362</v>
      </c>
      <c r="B56" s="3605"/>
      <c r="C56" s="3605"/>
      <c r="D56" s="2322">
        <f ca="1">IF(H56="个人住宅",D57,D58)</f>
        <v>42125</v>
      </c>
      <c r="E56" s="2332" t="s">
        <v>1363</v>
      </c>
      <c r="F56" s="2547" t="str">
        <f>IF(H56="正常",F58,"免征")</f>
        <v>——</v>
      </c>
      <c r="G56" s="2550" t="s">
        <v>1364</v>
      </c>
      <c r="H56" s="2551" t="s">
        <v>3399</v>
      </c>
      <c r="I56" s="1808"/>
      <c r="J56" s="2516" t="str">
        <f>IF(项目基本情况!K6="上海银行",IF(J55="",4,J55+1),"")</f>
        <v/>
      </c>
      <c r="K56" s="3548" t="str">
        <f>IF(项目基本情况!K6="上海银行","其他处置费用","")</f>
        <v/>
      </c>
      <c r="L56" s="3549"/>
      <c r="M56" s="2518" t="str">
        <f>IF(项目基本情况!K6="上海银行",M69,"")</f>
        <v/>
      </c>
      <c r="N56" s="3548" t="str">
        <f>IF(项目基本情况!K6="上海银行","包含处置中涉及的律师、诉讼、拍卖、评估等费用","")</f>
        <v/>
      </c>
      <c r="O56" s="3551"/>
    </row>
    <row r="57" spans="1:35" ht="12.75" hidden="1">
      <c r="A57" s="2333" t="s">
        <v>1340</v>
      </c>
      <c r="B57" s="3591" t="s">
        <v>1365</v>
      </c>
      <c r="C57" s="3592"/>
      <c r="D57" s="1590">
        <v>0</v>
      </c>
      <c r="E57" s="324" t="s">
        <v>1342</v>
      </c>
      <c r="F57" s="302"/>
      <c r="G57" s="2548"/>
      <c r="H57" s="2552"/>
      <c r="I57" s="1808"/>
      <c r="J57" s="3567">
        <f>IF(AND(J55="",J56=""),4,IF(项目基本情况!K6="上海银行",结果表!J56+1,结果表!J55+1))</f>
        <v>4</v>
      </c>
      <c r="K57" s="3567" t="s">
        <v>1366</v>
      </c>
      <c r="L57" s="2523" t="s">
        <v>1367</v>
      </c>
      <c r="M57" s="2524"/>
      <c r="N57" s="2525">
        <f ca="1">SUMIF(M52:M56,"&lt;9e307")</f>
        <v>46131</v>
      </c>
      <c r="O57" s="2526"/>
      <c r="P57" s="2683">
        <f ca="1">N57/M49</f>
        <v>0.61982371751807164</v>
      </c>
    </row>
    <row r="58" spans="1:35" ht="24.75" hidden="1">
      <c r="A58" s="2333" t="s">
        <v>1351</v>
      </c>
      <c r="B58" s="3591" t="s">
        <v>1368</v>
      </c>
      <c r="C58" s="3590"/>
      <c r="D58" s="2322">
        <f ca="1">IF(H58="转让取得",C81,C97)</f>
        <v>42125</v>
      </c>
      <c r="E58" s="2332" t="s">
        <v>1363</v>
      </c>
      <c r="F58" s="302" t="s">
        <v>28</v>
      </c>
      <c r="G58" s="2548"/>
      <c r="H58" s="2551" t="s">
        <v>3400</v>
      </c>
      <c r="I58" s="1808"/>
      <c r="J58" s="3567"/>
      <c r="K58" s="3567"/>
      <c r="L58" s="2523" t="s">
        <v>1369</v>
      </c>
      <c r="M58" s="2527"/>
      <c r="N58" s="2528" t="str">
        <f ca="1">NUMBERSTRING(INT(N57*10000),2)&amp;"元整"</f>
        <v>肆亿陆仟壹佰叁拾壹万元整</v>
      </c>
      <c r="O58" s="2529"/>
    </row>
    <row r="59" spans="1:35" ht="24.75" hidden="1" thickBot="1">
      <c r="A59" s="3571" t="s">
        <v>1370</v>
      </c>
      <c r="B59" s="3572"/>
      <c r="C59" s="3572"/>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1364</v>
      </c>
      <c r="H59" s="2312" t="s">
        <v>3401</v>
      </c>
      <c r="I59" s="2311" t="s">
        <v>2136</v>
      </c>
      <c r="J59" s="3569">
        <f>J57+1</f>
        <v>5</v>
      </c>
      <c r="K59" s="3567" t="s">
        <v>1371</v>
      </c>
      <c r="L59" s="2516" t="s">
        <v>1367</v>
      </c>
      <c r="M59" s="2530"/>
      <c r="N59" s="2531">
        <f ca="1">M49-N57</f>
        <v>28295</v>
      </c>
      <c r="O59" s="2532"/>
    </row>
    <row r="60" spans="1:35" ht="12" hidden="1" customHeight="1">
      <c r="A60" s="1809"/>
      <c r="B60" s="1747"/>
      <c r="C60" s="1747"/>
      <c r="D60" s="1747"/>
      <c r="E60" s="1578"/>
      <c r="F60" s="1808"/>
      <c r="G60" s="1808"/>
      <c r="H60" s="1810"/>
      <c r="I60" s="129"/>
      <c r="J60" s="3570"/>
      <c r="K60" s="3567"/>
      <c r="L60" s="2523" t="s">
        <v>1369</v>
      </c>
      <c r="M60" s="2527"/>
      <c r="N60" s="2528" t="str">
        <f ca="1">NUMBERSTRING(INT(N59*10000),2)&amp;"元整"</f>
        <v>贰亿捌仟贰佰玖拾伍万元整</v>
      </c>
      <c r="O60" s="2529"/>
    </row>
    <row r="61" spans="1:35" ht="13.5" hidden="1" thickBot="1">
      <c r="A61" s="3626" t="s">
        <v>1372</v>
      </c>
      <c r="B61" s="3626"/>
      <c r="C61" s="3626"/>
      <c r="D61" s="3626"/>
      <c r="E61" s="3626"/>
      <c r="F61" s="1808"/>
      <c r="G61" s="1808"/>
      <c r="H61" s="1810"/>
      <c r="I61" s="129"/>
      <c r="J61" s="2516">
        <f>J59+1</f>
        <v>6</v>
      </c>
      <c r="K61" s="3567" t="s">
        <v>1373</v>
      </c>
      <c r="L61" s="3567"/>
      <c r="M61" s="2533"/>
      <c r="N61" s="2534">
        <f ca="1">ROUND(N59*10000/'数据-汇总表'!E3,0)</f>
        <v>10402</v>
      </c>
      <c r="O61" s="2535"/>
    </row>
    <row r="62" spans="1:35" ht="12.75" hidden="1">
      <c r="A62" s="3586" t="s">
        <v>1374</v>
      </c>
      <c r="B62" s="3587"/>
      <c r="C62" s="2019"/>
      <c r="D62" s="2019" t="s">
        <v>1375</v>
      </c>
      <c r="E62" s="166" t="s">
        <v>1376</v>
      </c>
      <c r="F62" s="1808"/>
      <c r="G62" s="1808"/>
      <c r="H62" s="1810"/>
      <c r="I62" s="129"/>
    </row>
    <row r="63" spans="1:35" ht="12.75" hidden="1">
      <c r="A63" s="173" t="s">
        <v>330</v>
      </c>
      <c r="B63" s="167" t="s">
        <v>1377</v>
      </c>
      <c r="C63" s="2557">
        <f ca="1">ROUND((C64+C65)/(1+'数据-取费表'!C42),0)</f>
        <v>70882</v>
      </c>
      <c r="D63" s="167"/>
      <c r="E63" s="168"/>
      <c r="F63" s="1808"/>
      <c r="G63" s="1808"/>
      <c r="H63" s="1810"/>
      <c r="I63" s="129"/>
      <c r="J63" s="3550" t="s">
        <v>1378</v>
      </c>
      <c r="K63" s="1332" t="s">
        <v>1379</v>
      </c>
      <c r="L63" s="1332">
        <f ca="1">IF(M49&gt;10000,M49*0.5%,IF(AND(M49&gt;1000,M49&lt;=10000),M49*1%,IF(AND(M49&gt;100,M49&lt;=1000),M49*3%,IF(AND(M49&gt;10,M49&lt;=100),M49*5%,M49*8%))))</f>
        <v>372.13</v>
      </c>
      <c r="M63" s="302">
        <f ca="1">ROUND(L63,1)</f>
        <v>372.1</v>
      </c>
      <c r="N63" s="2536"/>
      <c r="Z63" s="1752"/>
      <c r="AI63" s="1753"/>
    </row>
    <row r="64" spans="1:35" ht="14.25" hidden="1" customHeight="1">
      <c r="A64" s="169" t="s">
        <v>325</v>
      </c>
      <c r="B64" s="170" t="s">
        <v>1380</v>
      </c>
      <c r="C64" s="2558">
        <f ca="1">D45</f>
        <v>74426</v>
      </c>
      <c r="D64" s="170" t="s">
        <v>26</v>
      </c>
      <c r="E64" s="172"/>
      <c r="F64" s="1808"/>
      <c r="G64" s="1808"/>
      <c r="H64" s="1810"/>
      <c r="I64" s="129"/>
      <c r="J64" s="3550"/>
      <c r="K64" s="1332" t="s">
        <v>1381</v>
      </c>
      <c r="L64" s="1332">
        <f ca="1">IF(M49&gt;2000,M49*0.5%,IF(AND(M49&gt;1000,M49&lt;=2000),M49*0.6%,IF(AND(M49&gt;500,M49&lt;=1000),M49*0.7%,IF(AND(M49&gt;200,M49&lt;=500),M49*0.8%,IF(AND(M49&gt;100,M49&lt;=200),M49*0.9%,IF(AND(M49&gt;50,M49&lt;=100),M49*1%,IF(AND(M49&gt;20,M49&lt;=50),M49*1.5%,IF(AND(M49&gt;10,M49&lt;=20),M49*2%,IF(AND(M49&gt;1,M49&lt;=10),M49*2.5%)))))))))</f>
        <v>372.13</v>
      </c>
      <c r="M64" s="302">
        <f t="shared" ref="M64:M65" ca="1" si="1">ROUND(L64,1)</f>
        <v>372.1</v>
      </c>
      <c r="N64" s="2537" t="s">
        <v>1382</v>
      </c>
      <c r="Z64" s="1752"/>
      <c r="AI64" s="1753"/>
    </row>
    <row r="65" spans="1:35" ht="14.25" hidden="1" customHeight="1">
      <c r="A65" s="169" t="s">
        <v>326</v>
      </c>
      <c r="B65" s="170" t="s">
        <v>1383</v>
      </c>
      <c r="C65" s="2559"/>
      <c r="D65" s="170"/>
      <c r="E65" s="172"/>
      <c r="F65" s="1808"/>
      <c r="G65" s="1808"/>
      <c r="H65" s="1810"/>
      <c r="I65" s="129"/>
      <c r="J65" s="3550"/>
      <c r="K65" s="1332" t="s">
        <v>1384</v>
      </c>
      <c r="L65" s="1332">
        <f ca="1">IF(M49&gt;1000,M49*0.1%,IF(AND(M49&gt;500,M49&lt;=1000),M49*0.5%,IF(AND(M49&gt;50,M49&lt;=500),M49*1%,IF(AND(M49&gt;1,M49&lt;=50),M49*1.5%))))</f>
        <v>74.426000000000002</v>
      </c>
      <c r="M65" s="302">
        <f t="shared" ca="1" si="1"/>
        <v>74.400000000000006</v>
      </c>
      <c r="N65" s="2537" t="s">
        <v>1382</v>
      </c>
      <c r="Z65" s="1752"/>
      <c r="AI65" s="1753"/>
    </row>
    <row r="66" spans="1:35" ht="14.25" hidden="1" customHeight="1">
      <c r="A66" s="173" t="s">
        <v>327</v>
      </c>
      <c r="B66" s="174" t="s">
        <v>1385</v>
      </c>
      <c r="C66" s="2560"/>
      <c r="D66" s="174" t="s">
        <v>26</v>
      </c>
      <c r="E66" s="1338" t="s">
        <v>671</v>
      </c>
      <c r="F66" s="1808"/>
      <c r="G66" s="1808"/>
      <c r="H66" s="1810"/>
      <c r="I66" s="129"/>
      <c r="J66" s="3550"/>
      <c r="K66" s="1332" t="s">
        <v>1386</v>
      </c>
      <c r="L66" s="1332">
        <f ca="1">M49*0.5%</f>
        <v>372.13</v>
      </c>
      <c r="M66" s="302">
        <f ca="1">IF(L66&gt;0.5,0.5,ROUND(L66,0))</f>
        <v>0.5</v>
      </c>
      <c r="N66" s="2537" t="s">
        <v>1387</v>
      </c>
      <c r="Z66" s="1752"/>
      <c r="AI66" s="1753"/>
    </row>
    <row r="67" spans="1:35" ht="14.25" hidden="1" customHeight="1">
      <c r="A67" s="173" t="s">
        <v>328</v>
      </c>
      <c r="B67" s="174" t="s">
        <v>1388</v>
      </c>
      <c r="C67" s="2561">
        <f ca="1">C63-C66</f>
        <v>70882</v>
      </c>
      <c r="D67" s="170" t="s">
        <v>26</v>
      </c>
      <c r="E67" s="172"/>
      <c r="F67" s="1808"/>
      <c r="G67" s="1808"/>
      <c r="H67" s="1810"/>
      <c r="I67" s="129"/>
      <c r="J67" s="3550"/>
      <c r="K67" s="1332" t="s">
        <v>1389</v>
      </c>
      <c r="L67" s="1332">
        <f ca="1">IF(M49&gt;=10000,(8.25+(M49-10000)*0.01%),IF(AND(M49&gt;=8000,M49&lt;10000),(7.85+(M49-8000)*0.02%),IF(AND(M49&gt;=5000,M49&lt;8000),(6.65+(M49-5000)*0.04%),IF(AND(M49&gt;=2000,M49&lt;5000),(4.25+(PM49-2000)*0.08%),IF(AND(M49&gt;=1000,M49&lt;2000),(2.75+(M49-1000)*0.15%),IF(AND(M49&gt;=100,M49&lt;1000),(0.5+(M49-100)*0.25%),IF(AND(M49&gt;0,M49&lt;100),M49*0.5%)))))))</f>
        <v>14.692600000000001</v>
      </c>
      <c r="M67" s="302">
        <f ca="1">ROUND(L67*0.9,1)</f>
        <v>13.2</v>
      </c>
      <c r="N67" s="2536"/>
      <c r="Z67" s="1752"/>
      <c r="AI67" s="1753"/>
    </row>
    <row r="68" spans="1:35" ht="14.25" hidden="1" customHeight="1" thickBot="1">
      <c r="A68" s="176" t="s">
        <v>329</v>
      </c>
      <c r="B68" s="177" t="s">
        <v>1390</v>
      </c>
      <c r="C68" s="2562">
        <f ca="1">IF(C67&lt;=0,0,ROUND(C67*D68,0))</f>
        <v>3969</v>
      </c>
      <c r="D68" s="2563">
        <f>'数据-取费表'!B41</f>
        <v>5.6000000000000001E-2</v>
      </c>
      <c r="E68" s="178"/>
      <c r="F68" s="1808"/>
      <c r="G68" s="1808"/>
      <c r="H68" s="1810"/>
      <c r="I68" s="129"/>
      <c r="J68" s="3550"/>
      <c r="K68" s="1332" t="s">
        <v>1391</v>
      </c>
      <c r="L68" s="1332">
        <f ca="1">IF(M49&gt;10000,M49*0.5%,IF(AND(M49&gt;5000,M49&lt;=10000),M49*1%,IF(AND(M49&gt;1000,M49&lt;=5000),M49*2%,IF(AND(M49&gt;200,M49&lt;=1000),M49*3%,M49*5%))))</f>
        <v>372.13</v>
      </c>
      <c r="M68" s="302">
        <f ca="1">ROUND(L68,1)</f>
        <v>372.1</v>
      </c>
      <c r="N68" s="2536"/>
      <c r="Z68" s="1752"/>
      <c r="AI68" s="1753"/>
    </row>
    <row r="69" spans="1:35" s="1772" customFormat="1" ht="16.5" hidden="1" customHeight="1">
      <c r="A69" s="1811"/>
      <c r="B69" s="1812"/>
      <c r="C69" s="1813"/>
      <c r="D69" s="1814"/>
      <c r="E69" s="1815"/>
      <c r="F69" s="1578"/>
      <c r="G69" s="1578"/>
      <c r="H69" s="1577"/>
      <c r="I69" s="1747"/>
      <c r="J69" s="3550"/>
      <c r="K69" s="1332" t="s">
        <v>1392</v>
      </c>
      <c r="L69" s="1332"/>
      <c r="M69" s="302">
        <f ca="1">ROUND(SUM(M63:M68),0)</f>
        <v>1204</v>
      </c>
      <c r="N69" s="2538">
        <f ca="1">M69/M49</f>
        <v>1.6177142396474352E-2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94" t="s">
        <v>1393</v>
      </c>
      <c r="B70" s="3595"/>
      <c r="C70" s="3595"/>
      <c r="D70" s="3595"/>
      <c r="E70" s="3595"/>
      <c r="F70" s="3595"/>
      <c r="G70" s="3595"/>
      <c r="H70" s="3595"/>
      <c r="I70" s="1816"/>
      <c r="J70" s="2684"/>
      <c r="K70" s="2684"/>
      <c r="L70" s="2684"/>
      <c r="M70" s="268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6" t="s">
        <v>1374</v>
      </c>
      <c r="B71" s="3587"/>
      <c r="C71" s="2019"/>
      <c r="D71" s="2019" t="s">
        <v>1375</v>
      </c>
      <c r="E71" s="179" t="s">
        <v>1376</v>
      </c>
      <c r="F71" s="180"/>
      <c r="G71" s="180"/>
      <c r="H71" s="181"/>
      <c r="I71" s="1820"/>
      <c r="J71" s="2684"/>
      <c r="K71" s="2684"/>
      <c r="L71" s="2684"/>
      <c r="M71" s="268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1">
        <f ca="1">ROUND(D45/(1+'数据-取费表'!C42),0)</f>
        <v>70882</v>
      </c>
      <c r="D72" s="170" t="s">
        <v>26</v>
      </c>
      <c r="E72" s="2329"/>
      <c r="F72" s="2328"/>
      <c r="G72" s="2328"/>
      <c r="H72" s="182"/>
      <c r="I72" s="1820"/>
      <c r="J72" s="2684"/>
      <c r="K72" s="2684"/>
      <c r="L72" s="2684"/>
      <c r="M72" s="268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1">
        <f ca="1">C74+C78</f>
        <v>425</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4"/>
      <c r="D75" s="170" t="s">
        <v>26</v>
      </c>
      <c r="E75" s="184" t="s">
        <v>1398</v>
      </c>
      <c r="F75" s="2565"/>
      <c r="G75" s="184" t="s">
        <v>1399</v>
      </c>
      <c r="H75" s="2566"/>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7">
        <v>0.05</v>
      </c>
      <c r="E76" s="3591" t="s">
        <v>1401</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68">
        <f>'数据-取费表'!B48+'数据-取费表'!B49</f>
        <v>3.0499999999999999E-2</v>
      </c>
      <c r="E77" s="2322" t="s">
        <v>1403</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69">
        <f ca="1">ROUND(D45*D78/(1+'数据-取费表'!C42),0)</f>
        <v>425</v>
      </c>
      <c r="D78" s="2570">
        <f>'数据-取费表'!B43</f>
        <v>6.000000000000001E-3</v>
      </c>
      <c r="E78" s="3583" t="s">
        <v>1405</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1">
        <f ca="1">C72-C73</f>
        <v>70457</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1">
        <f ca="1">IF(C79&lt;=0,0,C79/C73)</f>
        <v>165.78117647058824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2">
        <f ca="1">ROUND(IF(C79&lt;=0,0,IF(C80&gt;=200%,C79*60%-C73*35%,IF(C80&gt;=100%,C79*50%-C73*15%,IF(C80&gt;=50%,C79*40%-C73*5%,IF(C80&lt;50%,C79*30%,0))))),0)</f>
        <v>42125</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4" t="s">
        <v>1409</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6" t="s">
        <v>1374</v>
      </c>
      <c r="B84" s="3587"/>
      <c r="C84" s="2019"/>
      <c r="D84" s="2019"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1">
        <f ca="1">ROUND(D45/(1+'数据-取费表'!C42),0)</f>
        <v>70882</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1">
        <f ca="1">IF(H88="仅含出让金",C87+C90+C91+C92+C93+C94,C87+C91+C92+C93+C94)</f>
        <v>425</v>
      </c>
      <c r="D86" s="2574"/>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69">
        <f>C88+C89</f>
        <v>0</v>
      </c>
      <c r="D87" s="2570"/>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5"/>
      <c r="D88" s="2570"/>
      <c r="E88" s="193" t="s">
        <v>1412</v>
      </c>
      <c r="F88" s="2325"/>
      <c r="G88" s="194" t="s">
        <v>1413</v>
      </c>
      <c r="H88" s="1824"/>
      <c r="I88" s="1821"/>
      <c r="J88" s="2514" t="s">
        <v>2277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69">
        <f>ROUND(C88*D89,0)</f>
        <v>0</v>
      </c>
      <c r="D89" s="2570">
        <f>'数据-取费表'!B48+'数据-取费表'!B49</f>
        <v>3.0499999999999999E-2</v>
      </c>
      <c r="E89" s="193" t="s">
        <v>1414</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5"/>
      <c r="D90" s="2570"/>
      <c r="E90" s="193" t="str">
        <f>IF(H88="-","土地取得成本中已包含该笔费用"," ")</f>
        <v xml:space="preserve"> </v>
      </c>
      <c r="F90" s="2325"/>
      <c r="G90" s="3552" t="s">
        <v>2128</v>
      </c>
      <c r="H90" s="3553"/>
      <c r="I90" s="1821"/>
      <c r="J90" s="2514" t="s">
        <v>2278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69">
        <f>IF(H91="——",成本法!C33,I91)</f>
        <v>0</v>
      </c>
      <c r="D91" s="2570"/>
      <c r="E91" s="3583" t="s">
        <v>1418</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69">
        <f>ROUND((C87+C90+C91)*D92,0)</f>
        <v>0</v>
      </c>
      <c r="D92" s="2576"/>
      <c r="E92" s="3583" t="s">
        <v>1421</v>
      </c>
      <c r="F92" s="3584"/>
      <c r="G92" s="3584"/>
      <c r="H92" s="3585"/>
      <c r="I92" s="1821"/>
      <c r="J92" s="2515" t="s">
        <v>2279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69">
        <f ca="1">ROUND(D45*D93/(1+'数据-取费表'!C42),0)</f>
        <v>425</v>
      </c>
      <c r="D93" s="2570">
        <f>'数据-取费表'!B43</f>
        <v>6.000000000000001E-3</v>
      </c>
      <c r="E93" s="3583" t="s">
        <v>1405</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5">
        <f>ROUND((C87+C90+C91)*D94,0)</f>
        <v>0</v>
      </c>
      <c r="D94" s="2570">
        <v>0.2</v>
      </c>
      <c r="E94" s="3628" t="s">
        <v>1425</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1">
        <f ca="1">ROUND(C85-C86,0)</f>
        <v>70457</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1">
        <f ca="1">IF(C95&lt;=0,0,C95/C86)</f>
        <v>165.78117647058824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2">
        <f ca="1">ROUND(IF(C95&lt;=0,0,IF(C96&gt;=200%,C95*60%-C86*35%,IF(C96&gt;=100%,C95*50%-C86*15%,IF(C96&gt;=50%,C95*40%-C86*5%,IF(C96&lt;50%,C95*30%,0))))),0)</f>
        <v>42125</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33" t="s">
        <v>1427</v>
      </c>
      <c r="B100" s="3534"/>
      <c r="C100" s="3534"/>
      <c r="D100" s="3568"/>
      <c r="E100" s="3534" t="s">
        <v>1428</v>
      </c>
      <c r="F100" s="3534"/>
      <c r="G100" s="3534"/>
      <c r="H100" s="3568"/>
      <c r="I100" s="129"/>
    </row>
    <row r="101" spans="1:35" ht="18.75" customHeight="1">
      <c r="A101" s="3576" t="s">
        <v>1429</v>
      </c>
      <c r="B101" s="3577"/>
      <c r="C101" s="2578" t="str">
        <f>C4</f>
        <v>成本法</v>
      </c>
      <c r="D101" s="2579" t="str">
        <f>D4</f>
        <v>收益法</v>
      </c>
      <c r="E101" s="3546" t="s">
        <v>1430</v>
      </c>
      <c r="F101" s="3547"/>
      <c r="G101" s="1827" t="s">
        <v>1431</v>
      </c>
      <c r="H101" s="2588">
        <f ca="1">H118</f>
        <v>74426</v>
      </c>
      <c r="I101" s="129"/>
    </row>
    <row r="102" spans="1:35" ht="18.75" customHeight="1">
      <c r="A102" s="3578" t="s">
        <v>1432</v>
      </c>
      <c r="B102" s="2577" t="s">
        <v>1431</v>
      </c>
      <c r="C102" s="2578">
        <f ca="1">IF(D32="楼面单价",ROUND(C19,0),C19)</f>
        <v>35136</v>
      </c>
      <c r="D102" s="2579">
        <f ca="1">IF(D32="楼面单价",ROUND(D19,0),D19)</f>
        <v>100619</v>
      </c>
      <c r="E102" s="3546"/>
      <c r="F102" s="3547"/>
      <c r="G102" s="1827" t="s">
        <v>1433</v>
      </c>
      <c r="H102" s="2548">
        <f ca="1">I118</f>
        <v>27360</v>
      </c>
      <c r="I102" s="129"/>
    </row>
    <row r="103" spans="1:35" ht="42.75" customHeight="1">
      <c r="A103" s="3578"/>
      <c r="B103" s="2577" t="s">
        <v>1433</v>
      </c>
      <c r="C103" s="2580">
        <f ca="1">C20</f>
        <v>12917</v>
      </c>
      <c r="D103" s="2581">
        <f ca="1">D20</f>
        <v>36989</v>
      </c>
      <c r="E103" s="3539" t="s">
        <v>1434</v>
      </c>
      <c r="F103" s="3540"/>
      <c r="G103" s="1828" t="s">
        <v>1435</v>
      </c>
      <c r="H103" s="2588">
        <f>IF(D36="正常操作",H104+H105+H106,H105+H106)</f>
        <v>0</v>
      </c>
      <c r="I103" s="129"/>
    </row>
    <row r="104" spans="1:35" ht="18.75" customHeight="1">
      <c r="A104" s="3578" t="s">
        <v>1436</v>
      </c>
      <c r="B104" s="2582" t="s">
        <v>1431</v>
      </c>
      <c r="C104" s="2583">
        <f ca="1">H118</f>
        <v>74426</v>
      </c>
      <c r="D104" s="2584"/>
      <c r="E104" s="1674" t="s">
        <v>1437</v>
      </c>
      <c r="F104" s="1666"/>
      <c r="G104" s="1828" t="s">
        <v>1435</v>
      </c>
      <c r="H104" s="2589">
        <f>IF(D36="同一抵押权人同一抵押物续贷",C36&amp;"（续贷，未扣减，详见特别提示）",C36)</f>
        <v>0</v>
      </c>
      <c r="I104" s="129"/>
    </row>
    <row r="105" spans="1:35" ht="18.75" customHeight="1" thickBot="1">
      <c r="A105" s="3588"/>
      <c r="B105" s="2585" t="s">
        <v>1433</v>
      </c>
      <c r="C105" s="2586">
        <f ca="1">I118</f>
        <v>27360</v>
      </c>
      <c r="D105" s="2587"/>
      <c r="E105" s="1674" t="s">
        <v>1438</v>
      </c>
      <c r="F105" s="1666"/>
      <c r="G105" s="1828" t="s">
        <v>1435</v>
      </c>
      <c r="H105" s="2590">
        <f>C37</f>
        <v>0</v>
      </c>
      <c r="I105" s="129"/>
    </row>
    <row r="106" spans="1:35" ht="18.75" customHeight="1">
      <c r="A106" s="1747" t="s">
        <v>1439</v>
      </c>
      <c r="B106" s="1747"/>
      <c r="C106" s="1747"/>
      <c r="D106" s="1747"/>
      <c r="E106" s="1829" t="s">
        <v>1440</v>
      </c>
      <c r="F106" s="1666"/>
      <c r="G106" s="1828" t="s">
        <v>1435</v>
      </c>
      <c r="H106" s="2590">
        <f>C38</f>
        <v>0</v>
      </c>
      <c r="I106" s="129"/>
    </row>
    <row r="107" spans="1:35" ht="18.75" customHeight="1">
      <c r="A107" s="129"/>
      <c r="B107" s="129"/>
      <c r="C107" s="129"/>
      <c r="D107" s="129"/>
      <c r="E107" s="3579" t="str">
        <f>IF(项目基本情况!E8="已注销","——","3.房地产抵押价值")</f>
        <v>3.房地产抵押价值</v>
      </c>
      <c r="F107" s="3547"/>
      <c r="G107" s="1827" t="s">
        <v>1431</v>
      </c>
      <c r="H107" s="2588">
        <f ca="1">IF(E107="——","——",H101-H103)</f>
        <v>74426</v>
      </c>
      <c r="I107" s="129"/>
    </row>
    <row r="108" spans="1:35" ht="18.75" customHeight="1">
      <c r="A108" s="129"/>
      <c r="B108" s="129"/>
      <c r="C108" s="129"/>
      <c r="D108" s="129"/>
      <c r="E108" s="3579"/>
      <c r="F108" s="3547"/>
      <c r="G108" s="1827" t="s">
        <v>1433</v>
      </c>
      <c r="H108" s="2548">
        <f ca="1">IF(H107=H101,H102,ROUND(H107*10000/'数据-汇总表'!E3,0))</f>
        <v>27360</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1431</v>
      </c>
      <c r="H109" s="2591" t="str">
        <f>IF(E109="——","——",H101-H105-H106)</f>
        <v>——</v>
      </c>
      <c r="I109" s="129"/>
    </row>
    <row r="110" spans="1:35" ht="18.75" customHeight="1">
      <c r="A110" s="129"/>
      <c r="B110" s="129"/>
      <c r="C110" s="129"/>
      <c r="D110" s="129"/>
      <c r="E110" s="3579"/>
      <c r="F110" s="3547"/>
      <c r="G110" s="1827" t="s">
        <v>1433</v>
      </c>
      <c r="H110" s="2548"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1431</v>
      </c>
      <c r="H111" s="2588" t="str">
        <f>IF(E111="——","——",N59)</f>
        <v>——</v>
      </c>
      <c r="I111" s="129"/>
    </row>
    <row r="112" spans="1:35" ht="18.75" customHeight="1" thickBot="1">
      <c r="A112" s="129"/>
      <c r="B112" s="129"/>
      <c r="C112" s="129"/>
      <c r="D112" s="129"/>
      <c r="E112" s="3581"/>
      <c r="F112" s="3582"/>
      <c r="G112" s="1830" t="s">
        <v>1433</v>
      </c>
      <c r="H112" s="2592" t="str">
        <f>IF(E111="——","——",N61)</f>
        <v>——</v>
      </c>
      <c r="I112" s="129"/>
    </row>
    <row r="113" spans="1:27" ht="18.75" customHeight="1">
      <c r="A113" s="129"/>
      <c r="B113" s="129"/>
      <c r="C113" s="129"/>
      <c r="D113" s="129"/>
      <c r="E113" s="3589" t="s">
        <v>1439</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1441</v>
      </c>
      <c r="B115" s="3598"/>
      <c r="C115" s="3598"/>
      <c r="D115" s="3598"/>
      <c r="E115" s="3598"/>
      <c r="F115" s="3598"/>
      <c r="G115" s="3598"/>
      <c r="H115" s="3598"/>
      <c r="I115" s="3599"/>
    </row>
    <row r="116" spans="1:27" ht="27" customHeight="1">
      <c r="A116" s="3554" t="s">
        <v>1442</v>
      </c>
      <c r="B116" s="3558" t="s">
        <v>1443</v>
      </c>
      <c r="C116" s="3558" t="s">
        <v>1444</v>
      </c>
      <c r="D116" s="3564" t="s">
        <v>1445</v>
      </c>
      <c r="E116" s="3565"/>
      <c r="F116" s="3596" t="s">
        <v>1446</v>
      </c>
      <c r="G116" s="3596"/>
      <c r="H116" s="3554" t="s">
        <v>1447</v>
      </c>
      <c r="I116" s="3554"/>
    </row>
    <row r="117" spans="1:27" ht="18.75" customHeight="1">
      <c r="A117" s="3554"/>
      <c r="B117" s="3559"/>
      <c r="C117" s="3559"/>
      <c r="D117" s="2327" t="s">
        <v>1448</v>
      </c>
      <c r="E117" s="2327" t="s">
        <v>1449</v>
      </c>
      <c r="F117" s="2327" t="s">
        <v>1448</v>
      </c>
      <c r="G117" s="2327" t="s">
        <v>1450</v>
      </c>
      <c r="H117" s="2327" t="s">
        <v>1448</v>
      </c>
      <c r="I117" s="2327" t="s">
        <v>1450</v>
      </c>
    </row>
    <row r="118" spans="1:27" ht="24.75" customHeight="1">
      <c r="A118" s="2593" t="str">
        <f>项目基本情况!S2</f>
        <v>北京市朝阳区郎家园6号10幢等17幢房地产</v>
      </c>
      <c r="B118" s="2327">
        <f>M18</f>
        <v>27202.300000000003</v>
      </c>
      <c r="C118" s="2327">
        <f>M19</f>
        <v>18455.759999999998</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74426</v>
      </c>
      <c r="I118" s="2327">
        <f ca="1">ROUND(IF(D32="楼面单价",C32,H118*10000/B118),0)</f>
        <v>27360</v>
      </c>
    </row>
    <row r="119" spans="1:27" ht="18.75" customHeight="1">
      <c r="A119" s="3554" t="s">
        <v>1451</v>
      </c>
      <c r="B119" s="3554"/>
      <c r="C119" s="3554"/>
      <c r="D119" s="3560" t="e">
        <f ca="1">NUMBERSTRING(INT(D118*10000),2)&amp;"元整"</f>
        <v>#REF!</v>
      </c>
      <c r="E119" s="3561"/>
      <c r="F119" s="3560" t="e">
        <f ca="1">NUMBERSTRING(INT(F118*10000),2)&amp;"元整"</f>
        <v>#REF!</v>
      </c>
      <c r="G119" s="3561"/>
      <c r="H119" s="3560" t="str">
        <f ca="1">NUMBERSTRING(INT(H118*10000),2)&amp;"元整"</f>
        <v>柒亿肆仟肆佰贰拾陆万元整</v>
      </c>
      <c r="I119" s="3561"/>
    </row>
    <row r="120" spans="1:27" ht="18.75" customHeight="1">
      <c r="A120" s="3555" t="str">
        <f>IF(项目基本情况!B9="房地产市场价值","",MID(E103,3,LEN(E103)-2))</f>
        <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60" t="s">
        <v>1451</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
      </c>
      <c r="B122" s="3566"/>
      <c r="C122" s="3566"/>
      <c r="D122" s="3555">
        <f ca="1">H107</f>
        <v>74426</v>
      </c>
      <c r="E122" s="3556"/>
      <c r="F122" s="3556"/>
      <c r="G122" s="3556"/>
      <c r="H122" s="3556"/>
      <c r="I122" s="3557"/>
      <c r="AA122" s="725"/>
    </row>
    <row r="123" spans="1:27" ht="18.75" customHeight="1">
      <c r="A123" s="3554" t="s">
        <v>1451</v>
      </c>
      <c r="B123" s="3554"/>
      <c r="C123" s="3554"/>
      <c r="D123" s="3560" t="str">
        <f ca="1">NUMBERSTRING(INT(D122*10000),2)&amp;"元整"</f>
        <v>柒亿肆仟肆佰贰拾陆万元整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1451</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1451</v>
      </c>
      <c r="B127" s="3554"/>
      <c r="C127" s="3554"/>
      <c r="D127" s="3560" t="e">
        <f>NUMBERSTRING(INT(D126*10000),2)&amp;"元整"</f>
        <v>#VALUE!</v>
      </c>
      <c r="E127" s="3562"/>
      <c r="F127" s="3562"/>
      <c r="G127" s="3562"/>
      <c r="H127" s="3562"/>
      <c r="I127" s="3561"/>
      <c r="AA127" s="725"/>
    </row>
    <row r="128" spans="1:27" ht="21.75" customHeight="1">
      <c r="A128" s="3563" t="s">
        <v>1452</v>
      </c>
      <c r="B128" s="3563"/>
      <c r="C128" s="3563"/>
      <c r="D128" s="3563"/>
      <c r="E128" s="3563"/>
      <c r="F128" s="3563"/>
      <c r="G128" s="3563"/>
      <c r="H128" s="3563"/>
      <c r="I128" s="3563"/>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35136</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12917</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19861</v>
      </c>
      <c r="D5" s="211" t="s">
        <v>1468</v>
      </c>
      <c r="E5" s="212" t="s">
        <v>1469</v>
      </c>
      <c r="F5" s="212" t="s">
        <v>1470</v>
      </c>
      <c r="G5" s="213"/>
    </row>
    <row r="6" spans="1:9" s="214" customFormat="1" ht="13.5" customHeight="1">
      <c r="A6" s="778" t="s">
        <v>1471</v>
      </c>
      <c r="B6" s="215" t="s">
        <v>1472</v>
      </c>
      <c r="C6" s="216">
        <f>基准地价修正!B2</f>
        <v>18745</v>
      </c>
      <c r="D6" s="217"/>
      <c r="E6" s="218"/>
      <c r="F6" s="218"/>
      <c r="G6" s="219"/>
    </row>
    <row r="7" spans="1:9" s="214" customFormat="1" ht="13.5" customHeight="1">
      <c r="A7" s="778" t="s">
        <v>1473</v>
      </c>
      <c r="B7" s="215" t="s">
        <v>1474</v>
      </c>
      <c r="C7" s="220">
        <f>ROUND(C6*F7,0)</f>
        <v>572</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544</v>
      </c>
      <c r="D8" s="222"/>
      <c r="E8" s="220"/>
      <c r="F8" s="221"/>
      <c r="G8" s="1856" t="s">
        <v>3403</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544</v>
      </c>
      <c r="D10" s="845">
        <f ca="1">IF(B1="",'数据-汇总表'!E6,IF(INDIRECT("'数据-取费表'!c"&amp;$G$1)="住宅",INDIRECT("'数据-取费表'!s"&amp;$G$1),INDIRECT("'数据-取费表'!k"&amp;$G$1)+INDIRECT("'数据-取费表'!s"&amp;$G$1)))</f>
        <v>27202.300000000003</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27202.300000000003</v>
      </c>
      <c r="E19" s="211">
        <f>'数据-取费表'!B31</f>
        <v>200</v>
      </c>
      <c r="F19" s="231"/>
      <c r="G19" s="1856" t="s">
        <v>3404</v>
      </c>
    </row>
    <row r="20" spans="1:7" s="214" customFormat="1" ht="13.5" customHeight="1">
      <c r="A20" s="255" t="s">
        <v>1492</v>
      </c>
      <c r="B20" s="210" t="s">
        <v>1493</v>
      </c>
      <c r="C20" s="232">
        <f ca="1">ROUND((C5+C19)*F20,0)</f>
        <v>397</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1047</v>
      </c>
      <c r="D22" s="235">
        <f ca="1">C26</f>
        <v>5.0000000000000001E-4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1037</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10</v>
      </c>
      <c r="D25" s="238"/>
      <c r="E25" s="241"/>
      <c r="F25" s="239"/>
      <c r="G25" s="242" t="s">
        <v>1509</v>
      </c>
    </row>
    <row r="26" spans="1:7" s="214" customFormat="1">
      <c r="A26" s="780" t="s">
        <v>350</v>
      </c>
      <c r="B26" s="215" t="s">
        <v>1510</v>
      </c>
      <c r="C26" s="238">
        <f ca="1">ROUND(IF('数据-取费表'!B22&lt;=1,F21*F22*'数据-取费表'!B23/2,F21*(POWER((1+F22),'数据-取费表'!B23/2)-1)),4)</f>
        <v>5.0000000000000001E-4</v>
      </c>
      <c r="D26" s="238"/>
      <c r="E26" s="241"/>
      <c r="F26" s="239"/>
      <c r="G26" s="243"/>
    </row>
    <row r="27" spans="1:7" s="214" customFormat="1" ht="24.75">
      <c r="A27" s="255" t="s">
        <v>1511</v>
      </c>
      <c r="B27" s="244" t="s">
        <v>1512</v>
      </c>
      <c r="C27" s="245">
        <f ca="1">C28</f>
        <v>3039</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3039</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26369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9641</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8705</v>
      </c>
      <c r="D34" s="217"/>
      <c r="E34" s="220"/>
      <c r="F34" s="257">
        <f ca="1">IF('数据-取费表'!B24=0,1,IF(B1="",'数据-取费表'!N16,INDIRECT("'数据-取费表'!n"&amp;$G$1)))</f>
        <v>1</v>
      </c>
      <c r="G34" s="219" t="s">
        <v>1525</v>
      </c>
    </row>
    <row r="35" spans="1:7" ht="13.5" customHeight="1">
      <c r="A35" s="780" t="s">
        <v>351</v>
      </c>
      <c r="B35" s="215" t="s">
        <v>1526</v>
      </c>
      <c r="C35" s="220">
        <f ca="1">ROUND(C34*F35,0)</f>
        <v>261</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544</v>
      </c>
      <c r="D37" s="217">
        <f ca="1">D19</f>
        <v>27202.300000000003</v>
      </c>
      <c r="E37" s="249">
        <f>'数据-取费表'!B35</f>
        <v>200</v>
      </c>
      <c r="F37" s="259"/>
      <c r="G37" s="261" t="s">
        <v>1531</v>
      </c>
    </row>
    <row r="38" spans="1:7" ht="13.5" customHeight="1">
      <c r="A38" s="780" t="s">
        <v>354</v>
      </c>
      <c r="B38" s="215" t="s">
        <v>1532</v>
      </c>
      <c r="C38" s="220">
        <f ca="1">ROUND(C34*F38,0)</f>
        <v>131</v>
      </c>
      <c r="D38" s="220"/>
      <c r="E38" s="220"/>
      <c r="F38" s="259">
        <f>'数据-取费表'!B36</f>
        <v>1.4999999999999999E-2</v>
      </c>
      <c r="G38" s="219" t="s">
        <v>1527</v>
      </c>
    </row>
    <row r="39" spans="1:7" s="214" customFormat="1" ht="13.5" customHeight="1">
      <c r="A39" s="255" t="s">
        <v>1533</v>
      </c>
      <c r="B39" s="210" t="s">
        <v>1534</v>
      </c>
      <c r="C39" s="232">
        <f ca="1">ROUND(C33*F20,0)</f>
        <v>193</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253</v>
      </c>
      <c r="D41" s="235">
        <f ca="1">C44</f>
        <v>5.0000000000000001E-4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248</v>
      </c>
      <c r="D42" s="238"/>
      <c r="E42" s="238"/>
      <c r="F42" s="239"/>
      <c r="G42" s="3633" t="s">
        <v>1543</v>
      </c>
    </row>
    <row r="43" spans="1:7" ht="13.5" customHeight="1">
      <c r="A43" s="780" t="s">
        <v>347</v>
      </c>
      <c r="B43" s="215" t="s">
        <v>1544</v>
      </c>
      <c r="C43" s="238">
        <f ca="1">ROUND(IF('数据-取费表'!B22&lt;=1,C39*F22*'数据-取费表'!B21/2,C39*(POWER((1+F22),'数据-取费表'!B21/2)-1)),0)</f>
        <v>5</v>
      </c>
      <c r="D43" s="238"/>
      <c r="E43" s="238"/>
      <c r="F43" s="239"/>
      <c r="G43" s="3634"/>
    </row>
    <row r="44" spans="1:7" ht="13.5" customHeight="1">
      <c r="A44" s="780" t="s">
        <v>348</v>
      </c>
      <c r="B44" s="215" t="s">
        <v>1545</v>
      </c>
      <c r="C44" s="238">
        <f ca="1">ROUND(IF('数据-取费表'!B22&lt;=1,C40*F22*'数据-取费表'!B21/2,C40*(POWER((1+F22),'数据-取费表'!B21/2)-1)),4)</f>
        <v>5.0000000000000001E-4</v>
      </c>
      <c r="D44" s="238"/>
      <c r="E44" s="238"/>
      <c r="F44" s="239"/>
      <c r="G44" s="3635"/>
    </row>
    <row r="45" spans="1:7" s="214" customFormat="1" ht="13.5" customHeight="1">
      <c r="A45" s="255" t="s">
        <v>1546</v>
      </c>
      <c r="B45" s="244" t="s">
        <v>1512</v>
      </c>
      <c r="C45" s="245">
        <f ca="1">C46</f>
        <v>1475</v>
      </c>
      <c r="D45" s="235">
        <f ca="1">C47</f>
        <v>3.0000000000000001E-3</v>
      </c>
      <c r="E45" s="236" t="s">
        <v>1538</v>
      </c>
      <c r="F45" s="246">
        <f ca="1">F27</f>
        <v>0.15</v>
      </c>
      <c r="G45" s="247" t="s">
        <v>1547</v>
      </c>
    </row>
    <row r="46" spans="1:7" s="214" customFormat="1" ht="13.5" customHeight="1">
      <c r="A46" s="780" t="s">
        <v>346</v>
      </c>
      <c r="B46" s="248" t="s">
        <v>1548</v>
      </c>
      <c r="C46" s="249">
        <f ca="1">ROUND((C33+C39)*F27,0)</f>
        <v>1475</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12524</v>
      </c>
      <c r="D49" s="232"/>
      <c r="E49" s="232"/>
      <c r="F49" s="264"/>
      <c r="G49" s="234" t="s">
        <v>1553</v>
      </c>
    </row>
    <row r="50" spans="1:7" s="258" customFormat="1" ht="24">
      <c r="A50" s="255" t="s">
        <v>1554</v>
      </c>
      <c r="B50" s="210" t="s">
        <v>1555</v>
      </c>
      <c r="C50" s="232"/>
      <c r="D50" s="232"/>
      <c r="E50" s="232"/>
      <c r="F50" s="264">
        <f>IF('数据-取费表'!B24=0,'数据-取费表'!N16,1)</f>
        <v>0.7</v>
      </c>
      <c r="G50" s="247" t="s">
        <v>1556</v>
      </c>
    </row>
    <row r="51" spans="1:7" ht="16.5" customHeight="1">
      <c r="A51" s="255" t="s">
        <v>1557</v>
      </c>
      <c r="B51" s="210" t="s">
        <v>1558</v>
      </c>
      <c r="C51" s="232">
        <f ca="1">ROUND(C49*F50,0)</f>
        <v>8767</v>
      </c>
      <c r="D51" s="232"/>
      <c r="E51" s="232"/>
      <c r="F51" s="264"/>
      <c r="G51" s="234" t="s">
        <v>1559</v>
      </c>
    </row>
    <row r="52" spans="1:7" s="208" customFormat="1" ht="16.5" thickBot="1">
      <c r="A52" s="265" t="s">
        <v>1560</v>
      </c>
      <c r="B52" s="266"/>
      <c r="C52" s="267">
        <f ca="1">C31+C51</f>
        <v>35136</v>
      </c>
      <c r="D52" s="266"/>
      <c r="E52" s="266"/>
      <c r="F52" s="266"/>
      <c r="G52" s="268"/>
    </row>
    <row r="55" spans="1:7" ht="15">
      <c r="B55" s="270" t="s">
        <v>1561</v>
      </c>
      <c r="C55" s="271"/>
    </row>
    <row r="56" spans="1:7">
      <c r="B56" s="273" t="s">
        <v>802</v>
      </c>
      <c r="C56" s="275">
        <f ca="1">1-C57</f>
        <v>0.75</v>
      </c>
    </row>
    <row r="57" spans="1:7">
      <c r="B57" s="273" t="s">
        <v>803</v>
      </c>
      <c r="C57" s="274">
        <f ca="1">ROUND(C51/C52,3)</f>
        <v>0.25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北京市朝阳区郎家园6号10幢等17幢房地产市场价值预评估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7">
        <f ca="1">ROUND(IF(D2="——",C52/10000,C52/10000-E2),4)</f>
        <v>9488.7358999999997</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3488</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5440460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5440460</v>
      </c>
      <c r="D8" s="222"/>
      <c r="E8" s="220"/>
      <c r="F8" s="221"/>
      <c r="G8" s="1856" t="s">
        <v>3403</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5440460</v>
      </c>
      <c r="D10" s="845">
        <f ca="1">IF(B1="",'数据-汇总表'!E6,IF(INDIRECT("'数据-取费表'!c"&amp;$G$1)="住宅",INDIRECT("'数据-取费表'!s"&amp;$G$1),INDIRECT("'数据-取费表'!k"&amp;$G$1)+INDIRECT("'数据-取费表'!s"&amp;$G$1)))</f>
        <v>27202.300000000003</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27202.300000000003</v>
      </c>
      <c r="E19" s="211">
        <f>'数据-取费表'!B31</f>
        <v>200</v>
      </c>
      <c r="F19" s="231"/>
      <c r="G19" s="1856" t="s">
        <v>3404</v>
      </c>
    </row>
    <row r="20" spans="1:7" s="214" customFormat="1" ht="13.5" customHeight="1">
      <c r="A20" s="255" t="s">
        <v>1573</v>
      </c>
      <c r="B20" s="210" t="s">
        <v>1574</v>
      </c>
      <c r="C20" s="232">
        <f ca="1">ROUND((C5+C19)*F20,0)</f>
        <v>108809</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286761</v>
      </c>
      <c r="D22" s="235">
        <f ca="1">C26</f>
        <v>5.0000000000000001E-4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283958</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2803</v>
      </c>
      <c r="D25" s="238"/>
      <c r="E25" s="241"/>
      <c r="F25" s="239"/>
      <c r="G25" s="242" t="s">
        <v>1587</v>
      </c>
    </row>
    <row r="26" spans="1:7" s="214" customFormat="1">
      <c r="A26" s="780" t="s">
        <v>350</v>
      </c>
      <c r="B26" s="215" t="s">
        <v>1510</v>
      </c>
      <c r="C26" s="238">
        <f ca="1">ROUND(IF('数据-取费表'!B22&lt;=1,F21*F22*'数据-取费表'!B22/2,F21*(POWER((1+F22),'数据-取费表'!B22/2)-1)),4)</f>
        <v>5.0000000000000001E-4</v>
      </c>
      <c r="D26" s="238"/>
      <c r="E26" s="241"/>
      <c r="F26" s="239"/>
      <c r="G26" s="243"/>
    </row>
    <row r="27" spans="1:7" s="214" customFormat="1" ht="24.75">
      <c r="A27" s="255" t="s">
        <v>1511</v>
      </c>
      <c r="B27" s="244" t="s">
        <v>1512</v>
      </c>
      <c r="C27" s="245">
        <f ca="1">C28</f>
        <v>832390</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832390</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7223159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96404951</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87047360</v>
      </c>
      <c r="D34" s="217"/>
      <c r="E34" s="220"/>
      <c r="F34" s="257"/>
      <c r="G34" s="219"/>
    </row>
    <row r="35" spans="1:7" ht="13.5" customHeight="1">
      <c r="A35" s="780" t="s">
        <v>351</v>
      </c>
      <c r="B35" s="215" t="s">
        <v>1526</v>
      </c>
      <c r="C35" s="220">
        <f ca="1">ROUND(C34*F35,0)</f>
        <v>2611421</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5440460</v>
      </c>
      <c r="D37" s="217">
        <f ca="1">D19</f>
        <v>27202.300000000003</v>
      </c>
      <c r="E37" s="249">
        <f>'数据-取费表'!B35</f>
        <v>200</v>
      </c>
      <c r="F37" s="259"/>
      <c r="G37" s="261"/>
    </row>
    <row r="38" spans="1:7" ht="13.5" customHeight="1">
      <c r="A38" s="780" t="s">
        <v>354</v>
      </c>
      <c r="B38" s="215" t="s">
        <v>1532</v>
      </c>
      <c r="C38" s="220">
        <f ca="1">ROUND(C34*F38,0)</f>
        <v>1305710</v>
      </c>
      <c r="D38" s="220"/>
      <c r="E38" s="220"/>
      <c r="F38" s="259">
        <f>'数据-取费表'!B36</f>
        <v>1.4999999999999999E-2</v>
      </c>
      <c r="G38" s="219" t="s">
        <v>1527</v>
      </c>
    </row>
    <row r="39" spans="1:7" s="214" customFormat="1" ht="13.5" customHeight="1">
      <c r="A39" s="255" t="s">
        <v>1533</v>
      </c>
      <c r="B39" s="210" t="s">
        <v>1534</v>
      </c>
      <c r="C39" s="232">
        <f ca="1">ROUND(C33*F20,0)</f>
        <v>1928099</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2533549</v>
      </c>
      <c r="D41" s="235">
        <f ca="1">C44</f>
        <v>5.0000000000000001E-4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2483872</v>
      </c>
      <c r="D42" s="238"/>
      <c r="E42" s="238"/>
      <c r="F42" s="239"/>
      <c r="G42" s="3633" t="s">
        <v>1590</v>
      </c>
    </row>
    <row r="43" spans="1:7" ht="13.5" customHeight="1">
      <c r="A43" s="780" t="s">
        <v>347</v>
      </c>
      <c r="B43" s="215" t="s">
        <v>1544</v>
      </c>
      <c r="C43" s="238">
        <f ca="1">ROUND(IF('数据-取费表'!B22&lt;=1,C39*F22*'数据-取费表'!B20/2,C39*(POWER((1+F22),'数据-取费表'!B20/2)-1)),0)</f>
        <v>49677</v>
      </c>
      <c r="D43" s="238"/>
      <c r="E43" s="238"/>
      <c r="F43" s="239"/>
      <c r="G43" s="3634"/>
    </row>
    <row r="44" spans="1:7" ht="13.5" customHeight="1">
      <c r="A44" s="780" t="s">
        <v>348</v>
      </c>
      <c r="B44" s="215" t="s">
        <v>1545</v>
      </c>
      <c r="C44" s="238">
        <f ca="1">ROUND(IF('数据-取费表'!B22&lt;=1,C40*F22*'数据-取费表'!B20/2,C40*(POWER((1+F22),'数据-取费表'!B20/2)-1)),4)</f>
        <v>5.0000000000000001E-4</v>
      </c>
      <c r="D44" s="238"/>
      <c r="E44" s="238"/>
      <c r="F44" s="239"/>
      <c r="G44" s="3635"/>
    </row>
    <row r="45" spans="1:7" s="214" customFormat="1" ht="13.5" customHeight="1">
      <c r="A45" s="255" t="s">
        <v>1546</v>
      </c>
      <c r="B45" s="244" t="s">
        <v>1512</v>
      </c>
      <c r="C45" s="245">
        <f ca="1">C46</f>
        <v>14749958</v>
      </c>
      <c r="D45" s="235">
        <f ca="1">C47</f>
        <v>3.0000000000000001E-3</v>
      </c>
      <c r="E45" s="236" t="s">
        <v>1538</v>
      </c>
      <c r="F45" s="246">
        <f ca="1">F27</f>
        <v>0.15</v>
      </c>
      <c r="G45" s="247" t="s">
        <v>1547</v>
      </c>
    </row>
    <row r="46" spans="1:7" s="214" customFormat="1" ht="13.5" customHeight="1">
      <c r="A46" s="780" t="s">
        <v>346</v>
      </c>
      <c r="B46" s="248" t="s">
        <v>1548</v>
      </c>
      <c r="C46" s="249">
        <f ca="1">ROUND((C33+C39)*F27,0)</f>
        <v>14749958</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125234572</v>
      </c>
      <c r="D49" s="232"/>
      <c r="E49" s="232"/>
      <c r="F49" s="264"/>
      <c r="G49" s="234" t="s">
        <v>1553</v>
      </c>
    </row>
    <row r="50" spans="1:7" s="258" customFormat="1">
      <c r="A50" s="255" t="s">
        <v>1554</v>
      </c>
      <c r="B50" s="210" t="s">
        <v>1555</v>
      </c>
      <c r="C50" s="232"/>
      <c r="D50" s="232"/>
      <c r="E50" s="232"/>
      <c r="F50" s="264">
        <f>IF('数据-取费表'!B24=0,'数据-取费表'!N16,1)</f>
        <v>0.7</v>
      </c>
      <c r="G50" s="247"/>
    </row>
    <row r="51" spans="1:7" ht="16.5" customHeight="1">
      <c r="A51" s="255" t="s">
        <v>1557</v>
      </c>
      <c r="B51" s="210" t="s">
        <v>1592</v>
      </c>
      <c r="C51" s="232">
        <f ca="1">ROUND(C49*F50,0)</f>
        <v>87664200</v>
      </c>
      <c r="D51" s="232"/>
      <c r="E51" s="232"/>
      <c r="F51" s="264"/>
      <c r="G51" s="234" t="s">
        <v>1559</v>
      </c>
    </row>
    <row r="52" spans="1:7" s="208" customFormat="1" ht="16.5" thickBot="1">
      <c r="A52" s="265" t="s">
        <v>1560</v>
      </c>
      <c r="B52" s="266"/>
      <c r="C52" s="267">
        <f ca="1">C31+C51</f>
        <v>94887359</v>
      </c>
      <c r="D52" s="266"/>
      <c r="E52" s="266"/>
      <c r="F52" s="266"/>
      <c r="G52" s="268"/>
    </row>
    <row r="55" spans="1:7" ht="15">
      <c r="B55" s="270" t="s">
        <v>1561</v>
      </c>
      <c r="C55" s="271"/>
    </row>
    <row r="56" spans="1:7">
      <c r="B56" s="273" t="s">
        <v>802</v>
      </c>
      <c r="C56" s="275">
        <f ca="1">1-C57</f>
        <v>7.5999999999999956E-2</v>
      </c>
    </row>
    <row r="57" spans="1:7">
      <c r="B57" s="273" t="s">
        <v>803</v>
      </c>
      <c r="C57" s="274">
        <f ca="1">ROUND(C51/C52,3)</f>
        <v>0.92400000000000004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799"/>
      <c r="F1" s="2799"/>
      <c r="G1" s="2664"/>
      <c r="H1" s="2799"/>
      <c r="I1" s="2799"/>
      <c r="J1" s="2799"/>
      <c r="K1" s="2800">
        <f>MATCH(C1,'数据-取费表'!A6:A16,0)+5</f>
        <v>7</v>
      </c>
    </row>
    <row r="2" spans="1:33" ht="18" customHeight="1">
      <c r="A2" s="201" t="s">
        <v>1461</v>
      </c>
      <c r="B2" s="204">
        <f ca="1">C32</f>
        <v>0</v>
      </c>
      <c r="C2" s="276" t="s">
        <v>1594</v>
      </c>
      <c r="D2" s="276"/>
      <c r="E2" s="2799"/>
      <c r="F2" s="2799"/>
      <c r="G2" s="2799"/>
      <c r="H2" s="2799"/>
      <c r="I2" s="2799"/>
      <c r="J2" s="2799"/>
      <c r="K2" s="2799"/>
    </row>
    <row r="3" spans="1:33" ht="18" customHeight="1" thickBot="1">
      <c r="A3" s="203" t="s">
        <v>1463</v>
      </c>
      <c r="B3" s="204">
        <f ca="1">ROUND(B2*10000/IF(C1="",'数据-汇总表'!E3,INDIRECT("'数据-取费表'!K"&amp;$K$1)),0)</f>
        <v>0</v>
      </c>
      <c r="C3" s="276" t="s">
        <v>1595</v>
      </c>
      <c r="D3" s="276"/>
      <c r="E3" s="2799"/>
      <c r="F3" s="2799"/>
      <c r="G3" s="2799"/>
      <c r="H3" s="2799"/>
      <c r="I3" s="2799"/>
      <c r="J3" s="2799"/>
      <c r="K3" s="2799"/>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27202.300000000003</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27202.300000000003</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544</v>
      </c>
      <c r="D20" s="846">
        <f ca="1">IF(C1="",'数据-汇总表'!E6,IF(INDIRECT("'数据-取费表'!c"&amp;$K$1)="住宅",INDIRECT("'数据-取费表'!s"&amp;$K$1),INDIRECT("'数据-取费表'!k"&amp;$K$1)+INDIRECT("'数据-取费表'!s"&amp;$K$1)))</f>
        <v>27202.300000000003</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4" sqref="D3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1925</v>
      </c>
      <c r="B1" s="197"/>
      <c r="C1" s="201" t="s">
        <v>1926</v>
      </c>
      <c r="D1" s="342">
        <f>SUM(D33:D34,D37:D42)</f>
        <v>27202.300000000003</v>
      </c>
      <c r="E1" s="1993"/>
      <c r="F1" s="1993"/>
      <c r="G1" s="1993"/>
      <c r="H1" s="1993"/>
      <c r="I1" s="1993"/>
      <c r="J1" s="1993"/>
      <c r="K1" s="1119"/>
      <c r="L1" s="1994" t="s">
        <v>1927</v>
      </c>
      <c r="M1" s="863">
        <f>SUMPRODUCT((区片价!B5:B9=I2)*(区片价!C3:G3=E2)*(区片价!C5:G9))</f>
        <v>0</v>
      </c>
      <c r="N1" s="866">
        <f>SUMPRODUCT((因素修正幅度!B5:B9=I2)*(因素修正幅度!C3:G3=E2)*(因素修正幅度!C5:G9))</f>
        <v>0</v>
      </c>
      <c r="O1" s="1995"/>
      <c r="P1" s="1995"/>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18745</v>
      </c>
      <c r="C2" s="1997" t="s">
        <v>1934</v>
      </c>
      <c r="D2" s="1998" t="s">
        <v>1935</v>
      </c>
      <c r="E2" s="3415" t="s">
        <v>3</v>
      </c>
      <c r="F2" s="1998" t="s">
        <v>1936</v>
      </c>
      <c r="G2" s="1999" t="str">
        <f>IF(E2="商业",项目基本情况!B37,IF(E2="办公",项目基本情况!C37,IF(E2="住宅",项目基本情况!D37,IF(E2="工业",项目基本情况!E37,项目基本情况!F37))))</f>
        <v>三级</v>
      </c>
      <c r="H2" s="1998" t="s">
        <v>1937</v>
      </c>
      <c r="I2" s="1999" t="str">
        <f>IF(E2="商业",项目基本情况!B38,IF(E2="办公",项目基本情况!C38,IF(E2="住宅",项目基本情况!D38,IF(E2="工业",项目基本情况!E38,项目基本情况!F38))))</f>
        <v>Ⅲ—08</v>
      </c>
      <c r="J2" s="2000"/>
      <c r="K2" s="1119"/>
      <c r="L2" s="2001" t="s">
        <v>1938</v>
      </c>
      <c r="M2" s="864">
        <f>SUMPRODUCT((区片价!B10:B29=I2)*(区片价!C3:G3=E2)*(区片价!C10:G29))</f>
        <v>0</v>
      </c>
      <c r="N2" s="866">
        <f>SUMPRODUCT((因素修正幅度!B10:B29=I2)*(因素修正幅度!C3:G3=E2)*(因素修正幅度!C10:G29))</f>
        <v>0</v>
      </c>
      <c r="O2" s="1119"/>
      <c r="P2" s="1119"/>
      <c r="Q2" s="1119"/>
      <c r="R2" s="1212">
        <v>1</v>
      </c>
      <c r="S2" s="3354">
        <f>ROUND(SUMPRODUCT((B106:B110=R2)*(C105:N105=G2)*(C106:N110)),4)</f>
        <v>1.5019</v>
      </c>
      <c r="T2" s="3354">
        <f t="shared" ref="T2:T16" si="0">ROUND($C$5*$C$22*$C$23*$C$24*S2*$C$28,0)</f>
        <v>10282</v>
      </c>
      <c r="U2" s="1213"/>
      <c r="V2" s="3354">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6891</v>
      </c>
      <c r="C3" s="1997" t="s">
        <v>1940</v>
      </c>
      <c r="D3" s="1998" t="s">
        <v>1941</v>
      </c>
      <c r="E3" s="3413" t="s">
        <v>2472</v>
      </c>
      <c r="F3" s="2002" t="s">
        <v>3490</v>
      </c>
      <c r="G3" s="752">
        <f>IF(F3="宗地容积率",'数据-汇总表'!I4,IF(F3="估价对象容积率",'数据-汇总表'!I6,'数据-汇总表'!I7))</f>
        <v>1.47</v>
      </c>
      <c r="H3" s="170" t="s">
        <v>1942</v>
      </c>
      <c r="I3" s="775"/>
      <c r="J3" s="2000" t="s">
        <v>1943</v>
      </c>
      <c r="K3" s="1119"/>
      <c r="L3" s="2001" t="s">
        <v>1944</v>
      </c>
      <c r="M3" s="864">
        <f>SUMPRODUCT((区片价!B30:B54=I2)*(区片价!C3:G3=E2)*(区片价!C30:G54))</f>
        <v>8160</v>
      </c>
      <c r="N3" s="866">
        <f>SUMPRODUCT((因素修正幅度!B30:B54=I2)*(因素修正幅度!C3:G3=E2)*(因素修正幅度!C30:G54))</f>
        <v>0.1</v>
      </c>
      <c r="O3" s="1119"/>
      <c r="P3" s="1119"/>
      <c r="Q3" s="1119"/>
      <c r="R3" s="1212">
        <v>2</v>
      </c>
      <c r="S3" s="3354">
        <f>ROUND(SUMPRODUCT((B106:B110=R3)*(C105:N105=G2)*(C106:N110)),4)</f>
        <v>1.1838</v>
      </c>
      <c r="T3" s="3354">
        <f t="shared" si="0"/>
        <v>8105</v>
      </c>
      <c r="U3" s="1213"/>
      <c r="V3" s="3354">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1" t="s">
        <v>1945</v>
      </c>
      <c r="M4" s="864">
        <f>SUMPRODUCT((区片价!B55:B86=I2)*(区片价!C3:G3=E2)*(区片价!C55:G86))</f>
        <v>0</v>
      </c>
      <c r="N4" s="866">
        <f>SUMPRODUCT((因素修正幅度!B55:B86=I2)*(因素修正幅度!C3:G3=E2)*(因素修正幅度!C55:G86))</f>
        <v>0</v>
      </c>
      <c r="O4" s="1119"/>
      <c r="P4" s="1119"/>
      <c r="Q4" s="1119"/>
      <c r="R4" s="1212">
        <v>3</v>
      </c>
      <c r="S4" s="3354">
        <f>ROUND(SUMPRODUCT((B106:B110=R4)*(C105:N105=G2)*(C106:N110)),4)</f>
        <v>1.0004999999999999</v>
      </c>
      <c r="T4" s="3354">
        <f t="shared" si="0"/>
        <v>6850</v>
      </c>
      <c r="U4" s="1213"/>
      <c r="V4" s="3354">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1946</v>
      </c>
      <c r="C5" s="753">
        <f>ROUND(IF(E2="商业",C6*C7*C17+C20,(IF(E2="住宅",C6*C13*C17+C20,IF(E2="办公",C6*C12*C17+C20,C6+C20)))),0)</f>
        <v>8160</v>
      </c>
      <c r="D5" s="1339">
        <f>ROUND(C6*C17+C20,0)</f>
        <v>8160</v>
      </c>
      <c r="E5" s="1339"/>
      <c r="F5" s="2005"/>
      <c r="G5" s="2006"/>
      <c r="H5" s="2006"/>
      <c r="I5" s="2006"/>
      <c r="J5" s="2007"/>
      <c r="K5" s="2008"/>
      <c r="L5" s="2001" t="s">
        <v>1947</v>
      </c>
      <c r="M5" s="864">
        <f>SUMPRODUCT((区片价!B87:B126=I2)*(区片价!C3:G3=E2)*(区片价!C87:G126))</f>
        <v>0</v>
      </c>
      <c r="N5" s="866">
        <f>SUMPRODUCT((因素修正幅度!B87:B126=I2)*(因素修正幅度!C3:G3=E2)*(因素修正幅度!C87:G126))</f>
        <v>0</v>
      </c>
      <c r="O5" s="1119"/>
      <c r="P5" s="1119"/>
      <c r="Q5" s="1119"/>
      <c r="R5" s="1212">
        <v>4</v>
      </c>
      <c r="S5" s="3354">
        <f>ROUND(SUMPRODUCT((B106:B110=R5)*(C105:N105=G2)*(C106:N110)),4)</f>
        <v>0.88239999999999996</v>
      </c>
      <c r="T5" s="3354">
        <f t="shared" si="0"/>
        <v>6041</v>
      </c>
      <c r="U5" s="1213"/>
      <c r="V5" s="3354">
        <f t="shared" si="1"/>
        <v>0</v>
      </c>
      <c r="W5" s="1216"/>
      <c r="X5" s="1216"/>
      <c r="Y5" s="1216"/>
      <c r="Z5" s="1216"/>
      <c r="AA5" s="1216"/>
      <c r="AB5" s="1216"/>
      <c r="AC5" s="2009"/>
      <c r="AD5" s="2010"/>
      <c r="AE5" s="2010"/>
      <c r="AF5" s="2010"/>
      <c r="AG5" s="2010"/>
      <c r="AH5" s="2010"/>
      <c r="AI5" s="2010"/>
      <c r="AJ5" s="2011"/>
    </row>
    <row r="6" spans="1:36" ht="15.75" thickBot="1">
      <c r="A6" s="2013" t="s">
        <v>1948</v>
      </c>
      <c r="B6" s="2014" t="s">
        <v>1949</v>
      </c>
      <c r="C6" s="754">
        <f>SUMIF(L1:L12,G2,M1:M12)</f>
        <v>8160</v>
      </c>
      <c r="D6" s="2015"/>
      <c r="E6" s="2016"/>
      <c r="F6" s="2016"/>
      <c r="G6" s="2017"/>
      <c r="H6" s="2017"/>
      <c r="I6" s="2017"/>
      <c r="J6" s="2018"/>
      <c r="K6" s="1384"/>
      <c r="L6" s="2001" t="s">
        <v>1950</v>
      </c>
      <c r="M6" s="864">
        <f>SUMPRODUCT((区片价!B127:B189=I2)*(区片价!C3:G3=E2)*(区片价!C127:G189))</f>
        <v>0</v>
      </c>
      <c r="N6" s="866">
        <f>SUMPRODUCT((因素修正幅度!B127:B189=I2)*(因素修正幅度!C3:G3=E2)*(因素修正幅度!C127:G189))</f>
        <v>0</v>
      </c>
      <c r="O6" s="1119"/>
      <c r="P6" s="1119"/>
      <c r="Q6" s="1119"/>
      <c r="R6" s="1212">
        <v>5</v>
      </c>
      <c r="S6" s="3354">
        <f>ROUND(SUMPRODUCT((B106:B110=R6)*(C105:N105=G2)*(C106:N110)),4)</f>
        <v>0.84799999999999998</v>
      </c>
      <c r="T6" s="3354">
        <f t="shared" si="0"/>
        <v>5806</v>
      </c>
      <c r="U6" s="1213"/>
      <c r="V6" s="3354">
        <f t="shared" si="1"/>
        <v>0</v>
      </c>
      <c r="W6" s="1216"/>
      <c r="X6" s="1216"/>
      <c r="Y6" s="1216"/>
      <c r="Z6" s="1216"/>
      <c r="AA6" s="1216"/>
      <c r="AB6" s="1216"/>
      <c r="AC6" s="2009"/>
      <c r="AD6" s="2010"/>
      <c r="AE6" s="2010"/>
      <c r="AF6" s="2010"/>
      <c r="AG6" s="2010"/>
      <c r="AH6" s="2010"/>
      <c r="AI6" s="2010"/>
      <c r="AJ6" s="2011"/>
    </row>
    <row r="7" spans="1:36" ht="24.75" thickBot="1">
      <c r="A7" s="3297" t="s">
        <v>3232</v>
      </c>
      <c r="B7" s="2019" t="s">
        <v>1951</v>
      </c>
      <c r="C7" s="755">
        <f>IF(C8="不临65条商业街",1,ROUND(1+(1.6*E8+1.2*E9+0.8*E10+0.4*E11)*C9,4))</f>
        <v>1</v>
      </c>
      <c r="D7" s="2020" t="s">
        <v>1952</v>
      </c>
      <c r="E7" s="776"/>
      <c r="F7" s="2021"/>
      <c r="G7" s="2022"/>
      <c r="H7" s="2022"/>
      <c r="I7" s="2022"/>
      <c r="J7" s="2023"/>
      <c r="K7" s="1384"/>
      <c r="L7" s="2001" t="s">
        <v>1953</v>
      </c>
      <c r="M7" s="864">
        <f>SUMPRODUCT((区片价!B190:B233=I2)*(区片价!C3:G3=E2)*(区片价!C190:G233))</f>
        <v>0</v>
      </c>
      <c r="N7" s="866">
        <f>SUMPRODUCT((因素修正幅度!B190:B233=I2)*(因素修正幅度!C3:G3=E2)*(因素修正幅度!C190:G233))</f>
        <v>0</v>
      </c>
      <c r="O7" s="1119"/>
      <c r="P7" s="1119"/>
      <c r="Q7" s="1119"/>
      <c r="R7" s="1212">
        <v>6</v>
      </c>
      <c r="S7" s="3412"/>
      <c r="T7" s="3354">
        <f t="shared" si="0"/>
        <v>0</v>
      </c>
      <c r="U7" s="1213"/>
      <c r="V7" s="3354">
        <f t="shared" si="1"/>
        <v>0</v>
      </c>
      <c r="W7" s="1358" t="s">
        <v>1954</v>
      </c>
      <c r="X7" s="1214" t="str">
        <f>G2</f>
        <v>三级</v>
      </c>
      <c r="Y7" s="1214" t="s">
        <v>1955</v>
      </c>
      <c r="Z7" s="1215">
        <f>G3</f>
        <v>1.47</v>
      </c>
      <c r="AA7" s="1216"/>
      <c r="AB7" s="1216"/>
      <c r="AC7" s="1217"/>
      <c r="AD7" s="1218"/>
      <c r="AE7" s="1218"/>
      <c r="AF7" s="1218"/>
      <c r="AG7" s="1218"/>
      <c r="AH7" s="1218"/>
      <c r="AI7" s="1218"/>
      <c r="AJ7" s="1219"/>
    </row>
    <row r="8" spans="1:36" ht="25.5">
      <c r="A8" s="3292"/>
      <c r="B8" s="170" t="s">
        <v>1956</v>
      </c>
      <c r="C8" s="2024" t="s">
        <v>3491</v>
      </c>
      <c r="D8" s="756" t="s">
        <v>112</v>
      </c>
      <c r="E8" s="757" t="e">
        <f>ROUND(C11/E7,4)</f>
        <v>#DIV/0!</v>
      </c>
      <c r="F8" s="2025" t="s">
        <v>1957</v>
      </c>
      <c r="G8" s="2026"/>
      <c r="H8" s="2026"/>
      <c r="I8" s="2026"/>
      <c r="J8" s="2027"/>
      <c r="K8" s="1119"/>
      <c r="L8" s="2001" t="s">
        <v>1958</v>
      </c>
      <c r="M8" s="864">
        <f>SUMPRODUCT((区片价!B234:B276=I2)*(区片价!C3:G3=E2)*(区片价!C234:G276))</f>
        <v>0</v>
      </c>
      <c r="N8" s="866">
        <f>SUMPRODUCT((因素修正幅度!B234:B276=I2)*(因素修正幅度!C3:G3=E2)*(因素修正幅度!C234:G276))</f>
        <v>0</v>
      </c>
      <c r="O8" s="1119"/>
      <c r="P8" s="1119"/>
      <c r="Q8" s="1119"/>
      <c r="R8" s="1212">
        <v>7</v>
      </c>
      <c r="S8" s="1213"/>
      <c r="T8" s="3354">
        <f t="shared" si="0"/>
        <v>0</v>
      </c>
      <c r="U8" s="1213"/>
      <c r="V8" s="3354">
        <f t="shared" si="1"/>
        <v>0</v>
      </c>
      <c r="W8" s="3742" t="s">
        <v>1959</v>
      </c>
      <c r="X8" s="374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2"/>
      <c r="B9" s="170" t="s">
        <v>1972</v>
      </c>
      <c r="C9" s="758">
        <f>SUMIF(修正!C71:C138,C8,修正!E71:E138)</f>
        <v>0</v>
      </c>
      <c r="D9" s="171" t="s">
        <v>113</v>
      </c>
      <c r="E9" s="171" t="e">
        <f>ROUND(C11/E7,4)</f>
        <v>#DIV/0!</v>
      </c>
      <c r="F9" s="2025" t="s">
        <v>1973</v>
      </c>
      <c r="G9" s="2026"/>
      <c r="H9" s="2026"/>
      <c r="I9" s="2026"/>
      <c r="J9" s="2027"/>
      <c r="K9" s="1119"/>
      <c r="L9" s="2001" t="s">
        <v>1974</v>
      </c>
      <c r="M9" s="864">
        <f>SUMPRODUCT((区片价!B277:B326=I2)*(区片价!C3:G3=E2)*(区片价!C277:G326))</f>
        <v>0</v>
      </c>
      <c r="N9" s="866">
        <f>SUMPRODUCT((因素修正幅度!B277:B326=I2)*(因素修正幅度!C3:G3=E2)*(因素修正幅度!C277:G326))</f>
        <v>0</v>
      </c>
      <c r="O9" s="1119"/>
      <c r="P9" s="1119"/>
      <c r="Q9" s="1119"/>
      <c r="R9" s="1212">
        <v>8</v>
      </c>
      <c r="S9" s="1213"/>
      <c r="T9" s="3354">
        <f t="shared" si="0"/>
        <v>0</v>
      </c>
      <c r="U9" s="1213"/>
      <c r="V9" s="3354">
        <f t="shared" si="1"/>
        <v>0</v>
      </c>
      <c r="W9" s="3744"/>
      <c r="X9" s="3355" t="s">
        <v>3263</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1975</v>
      </c>
      <c r="C10" s="171">
        <f>SUMIF(修正!C71:C138,C8,修正!F71:F138)</f>
        <v>0</v>
      </c>
      <c r="D10" s="171" t="s">
        <v>114</v>
      </c>
      <c r="E10" s="171" t="e">
        <f>ROUND(C11/E7,4)</f>
        <v>#DIV/0!</v>
      </c>
      <c r="F10" s="2025" t="s">
        <v>1976</v>
      </c>
      <c r="G10" s="2026"/>
      <c r="H10" s="2026"/>
      <c r="I10" s="2026"/>
      <c r="J10" s="2027"/>
      <c r="K10" s="1119"/>
      <c r="L10" s="2001"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4">
        <f t="shared" si="0"/>
        <v>0</v>
      </c>
      <c r="U10" s="1213"/>
      <c r="V10" s="3354">
        <f t="shared" si="1"/>
        <v>0</v>
      </c>
      <c r="W10" s="3744"/>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1978</v>
      </c>
      <c r="C11" s="759">
        <f>C10/4</f>
        <v>0</v>
      </c>
      <c r="D11" s="759" t="s">
        <v>115</v>
      </c>
      <c r="E11" s="759" t="e">
        <f>ROUND(C11/E7,4)</f>
        <v>#DIV/0!</v>
      </c>
      <c r="F11" s="2029" t="s">
        <v>1979</v>
      </c>
      <c r="G11" s="2030"/>
      <c r="H11" s="2030"/>
      <c r="I11" s="2030"/>
      <c r="J11" s="2031"/>
      <c r="K11" s="1119"/>
      <c r="L11" s="2001"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4">
        <f t="shared" si="0"/>
        <v>0</v>
      </c>
      <c r="U11" s="1213"/>
      <c r="V11" s="3354">
        <f t="shared" si="1"/>
        <v>0</v>
      </c>
      <c r="W11" s="1216"/>
      <c r="X11" s="1216"/>
      <c r="Y11" s="1216"/>
      <c r="Z11" s="1216"/>
      <c r="AA11" s="1216"/>
      <c r="AB11" s="1216"/>
      <c r="AC11" s="1217"/>
      <c r="AD11" s="2782"/>
      <c r="AE11" s="2782"/>
      <c r="AF11" s="2782"/>
      <c r="AG11" s="2782"/>
      <c r="AH11" s="2782"/>
      <c r="AI11" s="2782"/>
      <c r="AJ11" s="2783"/>
    </row>
    <row r="12" spans="1:36" ht="25.5" thickBot="1">
      <c r="A12" s="3297" t="s">
        <v>3233</v>
      </c>
      <c r="B12" s="3298" t="s">
        <v>3234</v>
      </c>
      <c r="C12" s="3299">
        <v>1</v>
      </c>
      <c r="D12" s="3300" t="s">
        <v>3235</v>
      </c>
      <c r="E12" s="3301" t="s">
        <v>3236</v>
      </c>
      <c r="F12" s="3302"/>
      <c r="G12" s="3303"/>
      <c r="H12" s="3303"/>
      <c r="I12" s="3303"/>
      <c r="J12" s="3304"/>
      <c r="K12" s="1119"/>
      <c r="L12" s="2037"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4">
        <f t="shared" si="0"/>
        <v>0</v>
      </c>
      <c r="U12" s="1213"/>
      <c r="V12" s="3354">
        <f t="shared" si="1"/>
        <v>0</v>
      </c>
      <c r="W12" s="1216"/>
      <c r="X12" s="1216"/>
      <c r="Y12" s="1216"/>
      <c r="Z12" s="1216"/>
      <c r="AA12" s="1216"/>
      <c r="AB12" s="1216"/>
      <c r="AC12" s="1217"/>
      <c r="AD12" s="2782"/>
      <c r="AE12" s="2782"/>
      <c r="AF12" s="2782"/>
      <c r="AG12" s="2782"/>
      <c r="AH12" s="2782"/>
      <c r="AI12" s="2782"/>
      <c r="AJ12" s="2783"/>
    </row>
    <row r="13" spans="1:36" ht="15.75" thickBot="1">
      <c r="A13" s="3297" t="s">
        <v>3237</v>
      </c>
      <c r="B13" s="2032" t="s">
        <v>1981</v>
      </c>
      <c r="C13" s="755">
        <f>ROUND(C16*D16*E16*F16*G16*H16*I16*J16,4)</f>
        <v>0</v>
      </c>
      <c r="D13" s="2033" t="s">
        <v>1982</v>
      </c>
      <c r="E13" s="2034"/>
      <c r="F13" s="2034"/>
      <c r="G13" s="2035"/>
      <c r="H13" s="2035"/>
      <c r="I13" s="2035"/>
      <c r="J13" s="2036"/>
      <c r="K13" s="1119"/>
      <c r="L13" s="3293"/>
      <c r="M13" s="3294"/>
      <c r="N13" s="3295"/>
      <c r="O13" s="1119"/>
      <c r="P13" s="1119"/>
      <c r="Q13" s="1119"/>
      <c r="R13" s="1212">
        <v>12</v>
      </c>
      <c r="S13" s="1213"/>
      <c r="T13" s="3354">
        <f t="shared" si="0"/>
        <v>0</v>
      </c>
      <c r="U13" s="1213"/>
      <c r="V13" s="3354">
        <f t="shared" si="1"/>
        <v>0</v>
      </c>
      <c r="W13" s="1216"/>
      <c r="X13" s="1216"/>
      <c r="Y13" s="1216"/>
      <c r="Z13" s="1216"/>
      <c r="AA13" s="1216"/>
      <c r="AB13" s="1216"/>
      <c r="AC13" s="1217"/>
      <c r="AD13" s="2782"/>
      <c r="AE13" s="2782"/>
      <c r="AF13" s="2782"/>
      <c r="AG13" s="2782"/>
      <c r="AH13" s="2782"/>
      <c r="AI13" s="2782"/>
      <c r="AJ13" s="2783"/>
    </row>
    <row r="14" spans="1:36" ht="15">
      <c r="A14" s="3291"/>
      <c r="B14" s="2038" t="s">
        <v>1984</v>
      </c>
      <c r="C14" s="2039" t="s">
        <v>1985</v>
      </c>
      <c r="D14" s="1350" t="s">
        <v>1986</v>
      </c>
      <c r="E14" s="27" t="s">
        <v>1987</v>
      </c>
      <c r="F14" s="3305" t="s">
        <v>3238</v>
      </c>
      <c r="G14" s="3305" t="s">
        <v>3238</v>
      </c>
      <c r="H14" s="3305" t="s">
        <v>3238</v>
      </c>
      <c r="I14" s="3305" t="s">
        <v>3238</v>
      </c>
      <c r="J14" s="3305" t="s">
        <v>3238</v>
      </c>
      <c r="K14" s="1119"/>
      <c r="L14" s="1119"/>
      <c r="M14" s="1119"/>
      <c r="N14" s="1119"/>
      <c r="O14" s="1119"/>
      <c r="P14" s="1119"/>
      <c r="Q14" s="1119"/>
      <c r="R14" s="1212">
        <v>13</v>
      </c>
      <c r="S14" s="1213"/>
      <c r="T14" s="3354">
        <f t="shared" si="0"/>
        <v>0</v>
      </c>
      <c r="U14" s="1213"/>
      <c r="V14" s="3354">
        <f t="shared" si="1"/>
        <v>0</v>
      </c>
      <c r="W14" s="1216"/>
      <c r="X14" s="1216"/>
      <c r="Y14" s="1216"/>
      <c r="Z14" s="1216"/>
      <c r="AA14" s="1216"/>
      <c r="AB14" s="1216"/>
      <c r="AC14" s="1217"/>
      <c r="AD14" s="2782"/>
      <c r="AE14" s="2782"/>
      <c r="AF14" s="2782"/>
      <c r="AG14" s="2782"/>
      <c r="AH14" s="2782"/>
      <c r="AI14" s="2782"/>
      <c r="AJ14" s="2783"/>
    </row>
    <row r="15" spans="1:36" ht="15">
      <c r="A15" s="3291"/>
      <c r="B15" s="2040"/>
      <c r="C15" s="2041"/>
      <c r="D15" s="2042"/>
      <c r="E15" s="2043"/>
      <c r="F15" s="3306" t="s">
        <v>3239</v>
      </c>
      <c r="G15" s="3307"/>
      <c r="H15" s="3308"/>
      <c r="I15" s="3309"/>
      <c r="J15" s="3310"/>
      <c r="K15" s="1119"/>
      <c r="L15" s="1119"/>
      <c r="M15" s="1119"/>
      <c r="N15" s="1119"/>
      <c r="O15" s="1119"/>
      <c r="P15" s="1119"/>
      <c r="Q15" s="1119"/>
      <c r="R15" s="1212">
        <v>14</v>
      </c>
      <c r="S15" s="1213"/>
      <c r="T15" s="3354">
        <f t="shared" si="0"/>
        <v>0</v>
      </c>
      <c r="U15" s="1213"/>
      <c r="V15" s="3354">
        <f t="shared" si="1"/>
        <v>0</v>
      </c>
      <c r="W15" s="1216"/>
      <c r="X15" s="1216"/>
      <c r="Y15" s="1216"/>
      <c r="Z15" s="1216"/>
      <c r="AA15" s="1216"/>
      <c r="AB15" s="1216"/>
      <c r="AC15" s="1217"/>
      <c r="AD15" s="2782"/>
      <c r="AE15" s="2782"/>
      <c r="AF15" s="2782"/>
      <c r="AG15" s="2782"/>
      <c r="AH15" s="2782"/>
      <c r="AI15" s="2782"/>
      <c r="AJ15" s="2783"/>
    </row>
    <row r="16" spans="1:36" ht="15.75" thickBot="1">
      <c r="A16" s="3291"/>
      <c r="B16" s="3313" t="s">
        <v>1988</v>
      </c>
      <c r="C16" s="3311"/>
      <c r="D16" s="3311"/>
      <c r="E16" s="3311"/>
      <c r="F16" s="3311">
        <v>1</v>
      </c>
      <c r="G16" s="3311">
        <v>1</v>
      </c>
      <c r="H16" s="3311">
        <v>1</v>
      </c>
      <c r="I16" s="3311">
        <v>1</v>
      </c>
      <c r="J16" s="3312">
        <v>1</v>
      </c>
      <c r="K16" s="1119"/>
      <c r="L16" s="1995"/>
      <c r="M16" s="1995"/>
      <c r="N16" s="1995"/>
      <c r="O16" s="1995"/>
      <c r="P16" s="1995"/>
      <c r="Q16" s="1119"/>
      <c r="R16" s="1212">
        <v>15</v>
      </c>
      <c r="S16" s="1213"/>
      <c r="T16" s="3354">
        <f t="shared" si="0"/>
        <v>0</v>
      </c>
      <c r="U16" s="1213"/>
      <c r="V16" s="3354">
        <f t="shared" si="1"/>
        <v>0</v>
      </c>
      <c r="W16" s="1216"/>
      <c r="X16" s="1216"/>
      <c r="Y16" s="1216"/>
      <c r="Z16" s="1216"/>
      <c r="AA16" s="1216"/>
      <c r="AB16" s="1216"/>
      <c r="AC16" s="1217"/>
      <c r="AD16" s="2782"/>
      <c r="AE16" s="2782"/>
      <c r="AF16" s="2782"/>
      <c r="AG16" s="2782"/>
      <c r="AH16" s="2782"/>
      <c r="AI16" s="2782"/>
      <c r="AJ16" s="2783"/>
    </row>
    <row r="17" spans="1:37">
      <c r="A17" s="3323" t="s">
        <v>3240</v>
      </c>
      <c r="B17" s="3314" t="s">
        <v>3241</v>
      </c>
      <c r="C17" s="3324">
        <f>ROUND(IF(OR(E2="工业",E2="公共服务"),1,IF(AND(E18=0,E19=0),1,IF(AND(E18=J24,E19=G19),0.8,IF(E19=0,1+E17*(-0.2),1+E17*G17*(-0.2))))),4)</f>
        <v>1</v>
      </c>
      <c r="D17" s="3315" t="s">
        <v>3242</v>
      </c>
      <c r="E17" s="3324">
        <f>ROUND(G18/I18,2)</f>
        <v>0</v>
      </c>
      <c r="F17" s="3315" t="s">
        <v>3245</v>
      </c>
      <c r="G17" s="3324" t="e">
        <f>ROUND(E19/G19,2)</f>
        <v>#DIV/0!</v>
      </c>
      <c r="H17" s="3324"/>
      <c r="I17" s="3324"/>
      <c r="J17" s="3325"/>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6"/>
      <c r="B18" s="3003"/>
      <c r="C18" s="3321"/>
      <c r="D18" s="3316" t="s">
        <v>3243</v>
      </c>
      <c r="E18" s="3322"/>
      <c r="F18" s="3317" t="s">
        <v>3246</v>
      </c>
      <c r="G18" s="3321">
        <f>ROUND(1-(1/(POWER(1+G24,E18))),4)</f>
        <v>0</v>
      </c>
      <c r="H18" s="3317" t="s">
        <v>3248</v>
      </c>
      <c r="I18" s="3321">
        <f>ROUND(1-(1/(POWER(1+G24,J24))),4)</f>
        <v>0.91279999999999994</v>
      </c>
      <c r="J18" s="3327"/>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1"/>
    </row>
    <row r="19" spans="1:37" s="2012" customFormat="1" ht="15" thickBot="1">
      <c r="A19" s="3328"/>
      <c r="B19" s="3329"/>
      <c r="C19" s="3330"/>
      <c r="D19" s="3330" t="s">
        <v>3244</v>
      </c>
      <c r="E19" s="3331"/>
      <c r="F19" s="3332" t="s">
        <v>3247</v>
      </c>
      <c r="G19" s="3331"/>
      <c r="H19" s="3330"/>
      <c r="I19" s="3330"/>
      <c r="J19" s="3333"/>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4"/>
      <c r="AH19" s="2139"/>
      <c r="AI19" s="2785"/>
      <c r="AJ19" s="2785"/>
      <c r="AK19" s="2055"/>
    </row>
    <row r="20" spans="1:37" s="2012" customFormat="1" ht="14.25">
      <c r="A20" s="3749" t="s">
        <v>3249</v>
      </c>
      <c r="B20" s="167" t="s">
        <v>1993</v>
      </c>
      <c r="C20" s="3318">
        <f>ROUND(IF(F21="与级别开发程度一致",0,(G21-E21)/C21),0)</f>
        <v>0</v>
      </c>
      <c r="D20" s="3334" t="s">
        <v>1997</v>
      </c>
      <c r="E20" s="3335"/>
      <c r="F20" s="3755" t="s">
        <v>1994</v>
      </c>
      <c r="G20" s="3756"/>
      <c r="H20" s="3319" t="s">
        <v>3377</v>
      </c>
      <c r="I20" s="3319" t="s">
        <v>3378</v>
      </c>
      <c r="J20" s="3320" t="s">
        <v>3379</v>
      </c>
      <c r="K20" s="2045" t="s">
        <v>3380</v>
      </c>
      <c r="L20" s="2045" t="s">
        <v>3381</v>
      </c>
      <c r="M20" s="2045" t="s">
        <v>3492</v>
      </c>
      <c r="N20" s="2045" t="s">
        <v>3493</v>
      </c>
      <c r="O20" s="2046" t="s">
        <v>3382</v>
      </c>
      <c r="P20" s="1995"/>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2" customFormat="1" ht="26.25" thickBot="1">
      <c r="A21" s="3750"/>
      <c r="B21" s="2162" t="s">
        <v>1996</v>
      </c>
      <c r="C21" s="2163">
        <f>IF(E3="M4科研用地",SUMPRODUCT((修正!A2:A7=E3)*(修正!B1:M1=G2)*(修正!B2:M7)),SUMPRODUCT((修正!A2:A7=E2)*(修正!B1:M1=G2)*(修正!B2:M7)))</f>
        <v>1.5</v>
      </c>
      <c r="D21" s="187" t="str">
        <f>IF(OR(G2="八级",G2="九级",G2="十级",G2="十一级",G2="十二级"),"五通一平","七通一平")</f>
        <v>七通一平</v>
      </c>
      <c r="E21" s="2153">
        <f>SUMPRODUCT((修正!B1:M1=G2)*(修正!B17:M17))</f>
        <v>315</v>
      </c>
      <c r="F21" s="2154" t="s">
        <v>3494</v>
      </c>
      <c r="G21" s="2155">
        <f>SUM(H21:O21)</f>
        <v>315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50</v>
      </c>
      <c r="N21" s="2163">
        <f>SUMPRODUCT((七通一平=N20)*(修正!B1:M1=G2)*(修正!B8:M16))</f>
        <v>40</v>
      </c>
      <c r="O21" s="2165">
        <f>SUMPRODUCT((七通一平=O20)*(修正!B1:M1=G2)*(修正!B8:M16))</f>
        <v>15</v>
      </c>
      <c r="P21" s="1995"/>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2" customFormat="1" ht="15.75" thickBot="1">
      <c r="A22" s="2156" t="s">
        <v>363</v>
      </c>
      <c r="B22" s="2157" t="s">
        <v>1999</v>
      </c>
      <c r="C22" s="2158">
        <f>SUMIF(修正!C20:C51,E3,修正!E20:E51)</f>
        <v>1</v>
      </c>
      <c r="D22" s="2159"/>
      <c r="E22" s="2160"/>
      <c r="F22" s="2160"/>
      <c r="G22" s="2160"/>
      <c r="H22" s="2160"/>
      <c r="I22" s="2160"/>
      <c r="J22" s="2161"/>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48" t="s">
        <v>364</v>
      </c>
      <c r="B23" s="2049"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2" t="s">
        <v>2001</v>
      </c>
      <c r="E23" s="761">
        <v>44197</v>
      </c>
      <c r="F23" s="2052" t="s">
        <v>2002</v>
      </c>
      <c r="G23" s="762">
        <f>'数据-取费表'!B2</f>
        <v>45160</v>
      </c>
      <c r="H23" s="3336" t="s">
        <v>3251</v>
      </c>
      <c r="I23" s="3337" t="str">
        <f>IF(H23="季度增幅（自定义）",SUMIF(N25:N28,E2,O25:O28),"")</f>
        <v/>
      </c>
      <c r="J23" s="3439" t="s">
        <v>3250</v>
      </c>
      <c r="K23" s="1125"/>
      <c r="L23" s="2053" t="s">
        <v>2003</v>
      </c>
      <c r="M23" s="1328">
        <f>ROUND(SUMIF(地价!B2:G2,E2,地价!B16:G16),0)</f>
        <v>318</v>
      </c>
      <c r="N23" s="2054" t="s">
        <v>2004</v>
      </c>
      <c r="O23" s="763">
        <f>ROUNDDOWN(DATEDIF(E23,G23,"M")/3,0)</f>
        <v>10</v>
      </c>
      <c r="P23" s="1122"/>
      <c r="Q23" s="2781"/>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2005</v>
      </c>
      <c r="C24" s="764">
        <f>ROUND(POWER(1+G24,J24-I24)*(POWER(1+G24,I24)-1)/(POWER(1+G24,J24)-1),4)</f>
        <v>0.74919999999999998</v>
      </c>
      <c r="D24" s="2058" t="s">
        <v>2006</v>
      </c>
      <c r="E24" s="1335">
        <f>存贷款利率!E24/100</f>
        <v>4.3499999999999997E-2</v>
      </c>
      <c r="F24" s="2058" t="s">
        <v>1998</v>
      </c>
      <c r="G24" s="768">
        <f>SUMIF(M30:Q30,E2,M33:Q33)</f>
        <v>0.05</v>
      </c>
      <c r="H24" s="2058" t="s">
        <v>2007</v>
      </c>
      <c r="I24" s="769">
        <f>SUMIF('数据-取费表'!C6:C15,E2,'数据-取费表'!F6:F15)/COUNTIF('数据-取费表'!C6:C15,E2)</f>
        <v>23.6</v>
      </c>
      <c r="J24" s="770">
        <f>IF(E2="住宅",70,IF(E2="商业",40,50))</f>
        <v>50</v>
      </c>
      <c r="K24" s="1125"/>
      <c r="L24" s="2059" t="s">
        <v>2008</v>
      </c>
      <c r="M24" s="1329">
        <f>ROUND(SUMPRODUCT((地价!A4:A16=YEAR(G23)&amp;"-"&amp;ROUNDUP(MONTH(G23)/3,0))*(地价!B2:G2=E2)*(地价!B4:G16)),0)</f>
        <v>0</v>
      </c>
      <c r="N24" s="2060" t="s">
        <v>2009</v>
      </c>
      <c r="O24" s="2061" t="s">
        <v>2010</v>
      </c>
      <c r="P24" s="2062" t="s">
        <v>2011</v>
      </c>
      <c r="Q24" s="1995"/>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3" t="s">
        <v>366</v>
      </c>
      <c r="B25" s="2064" t="s">
        <v>3330</v>
      </c>
      <c r="C25" s="771">
        <f>IF(B25="容积率修正",IF(G3&lt;10,D26,J26),C27)</f>
        <v>1.0065</v>
      </c>
      <c r="D25" s="2065"/>
      <c r="E25" s="2065"/>
      <c r="F25" s="2065"/>
      <c r="G25" s="2065"/>
      <c r="H25" s="2065"/>
      <c r="I25" s="2065"/>
      <c r="J25" s="2066"/>
      <c r="K25" s="1125"/>
      <c r="L25" s="2781"/>
      <c r="M25" s="2781"/>
      <c r="N25" s="2067" t="s">
        <v>2012</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2013</v>
      </c>
      <c r="B26" s="2068" t="s">
        <v>2014</v>
      </c>
      <c r="C26" s="3338" t="s">
        <v>3252</v>
      </c>
      <c r="D26" s="1352">
        <f>IF(E26=G26,F26,IF(G3&lt;10,ROUND(F26+(H26-F26)*(G3-E26)/(G26-E26),4),"——"))</f>
        <v>1.0065</v>
      </c>
      <c r="E26" s="752">
        <f>ROUNDDOWN(G3,1)</f>
        <v>1.4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1.0217000000000001</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8" t="s">
        <v>3253</v>
      </c>
      <c r="J26" s="772" t="str">
        <f>IF(G3&gt;=10,D115,"——")</f>
        <v>——</v>
      </c>
      <c r="K26" s="1125"/>
      <c r="L26" s="2781"/>
      <c r="M26" s="2781"/>
      <c r="N26" s="2067" t="s">
        <v>2015</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2016</v>
      </c>
      <c r="B27" s="2069" t="s">
        <v>2017</v>
      </c>
      <c r="C27" s="841">
        <f>ROUND(IF(I3&lt;6,SUMPRODUCT((B106:B110=I3)*(C105:N105=G2)*(C106:N110)),SUMIF(C105:N105,G2,C112:N112)),4)</f>
        <v>0</v>
      </c>
      <c r="D27" s="2044"/>
      <c r="E27" s="2044"/>
      <c r="F27" s="2070"/>
      <c r="G27" s="2071"/>
      <c r="H27" s="2072"/>
      <c r="I27" s="2073"/>
      <c r="J27" s="2074"/>
      <c r="K27" s="1119"/>
      <c r="L27" s="1995"/>
      <c r="M27" s="1995"/>
      <c r="N27" s="2067" t="s">
        <v>2018</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2019</v>
      </c>
      <c r="C28" s="760">
        <f>SUMIF(A47:A101,E2,B47:B101)</f>
        <v>1.0535000000000001</v>
      </c>
      <c r="D28" s="2050"/>
      <c r="E28" s="2075"/>
      <c r="F28" s="2075"/>
      <c r="G28" s="2075"/>
      <c r="H28" s="2075"/>
      <c r="I28" s="2075"/>
      <c r="J28" s="2076"/>
      <c r="K28" s="1125"/>
      <c r="L28" s="2781"/>
      <c r="M28" s="2781"/>
      <c r="N28" s="2077"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2021</v>
      </c>
      <c r="C29" s="765"/>
      <c r="D29" s="2022"/>
      <c r="E29" s="2022"/>
      <c r="F29" s="2079"/>
      <c r="G29" s="2022"/>
      <c r="H29" s="2022"/>
      <c r="I29" s="2022"/>
      <c r="J29" s="2023"/>
      <c r="K29" s="1119"/>
      <c r="L29" s="1995"/>
      <c r="M29" s="1995"/>
      <c r="N29" s="2778" t="s">
        <v>2022</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2023</v>
      </c>
      <c r="C30" s="2319">
        <f>IF(B25="容积率修正",E33+SUM(E37:E42),SUM(V2:V16)+SUM(E37:E42))</f>
        <v>18745</v>
      </c>
      <c r="D30" s="2081"/>
      <c r="E30" s="2044"/>
      <c r="F30" s="2082"/>
      <c r="G30" s="2044"/>
      <c r="H30" s="2044"/>
      <c r="I30" s="2044"/>
      <c r="J30" s="2083"/>
      <c r="K30" s="1119"/>
      <c r="L30" s="3344" t="s">
        <v>1935</v>
      </c>
      <c r="M30" s="3345" t="s">
        <v>1989</v>
      </c>
      <c r="N30" s="3345" t="s">
        <v>1990</v>
      </c>
      <c r="O30" s="3345" t="s">
        <v>1991</v>
      </c>
      <c r="P30" s="3345" t="s">
        <v>1992</v>
      </c>
      <c r="Q30" s="3348" t="s">
        <v>3257</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2024</v>
      </c>
      <c r="C31" s="766">
        <f>E34+SUM(I37:I42)</f>
        <v>0</v>
      </c>
      <c r="D31" s="2085"/>
      <c r="E31" s="2086"/>
      <c r="F31" s="2087"/>
      <c r="G31" s="2086"/>
      <c r="H31" s="2086"/>
      <c r="I31" s="2086"/>
      <c r="J31" s="2088"/>
      <c r="K31" s="1119"/>
      <c r="L31" s="3346" t="s">
        <v>1995</v>
      </c>
      <c r="M31" s="1998">
        <v>0.25</v>
      </c>
      <c r="N31" s="1998">
        <v>0.2</v>
      </c>
      <c r="O31" s="1998">
        <v>0.15</v>
      </c>
      <c r="P31" s="1998">
        <v>0.1</v>
      </c>
      <c r="Q31" s="3341">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9"/>
      <c r="L32" s="3347" t="s">
        <v>1998</v>
      </c>
      <c r="M32" s="2563">
        <f>ROUND($E$24*(1+M31),3)</f>
        <v>5.3999999999999999E-2</v>
      </c>
      <c r="N32" s="2563">
        <f>ROUND($E$24*(1+N31),3)</f>
        <v>5.1999999999999998E-2</v>
      </c>
      <c r="O32" s="2563">
        <f>ROUND($E$24*(1+O31),3)</f>
        <v>0.05</v>
      </c>
      <c r="P32" s="2563">
        <f>ROUND($E$24*(1+P31),3)</f>
        <v>4.8000000000000001E-2</v>
      </c>
      <c r="Q32" s="3349">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2029</v>
      </c>
      <c r="C33" s="175">
        <f>ROUND(C5*C22*C23*C24*C25*C28,0)</f>
        <v>6891</v>
      </c>
      <c r="D33" s="2096">
        <f>'数据-汇总表'!E3</f>
        <v>27202.300000000003</v>
      </c>
      <c r="E33" s="773">
        <f>ROUND(C33*D33/10000,0)</f>
        <v>18745</v>
      </c>
      <c r="F33" s="3339" t="s">
        <v>3255</v>
      </c>
      <c r="G33" s="2097"/>
      <c r="H33" s="2097"/>
      <c r="I33" s="2097"/>
      <c r="J33" s="2098"/>
      <c r="K33" s="1119"/>
      <c r="L33" s="3342" t="s">
        <v>3258</v>
      </c>
      <c r="M33" s="3343">
        <v>5.5E-2</v>
      </c>
      <c r="N33" s="3343">
        <v>5.5E-2</v>
      </c>
      <c r="O33" s="3343">
        <v>0.05</v>
      </c>
      <c r="P33" s="3343">
        <v>0.05</v>
      </c>
      <c r="Q33" s="3343">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2030</v>
      </c>
      <c r="C34" s="187">
        <f>ROUND(IF(E2="工业",C33*M42,IF(B25="楼层修正",SUM(V2:V16)*M41*10000/D34,C33*M41)),0)</f>
        <v>1034</v>
      </c>
      <c r="D34" s="2101"/>
      <c r="E34" s="773">
        <f>ROUND(IF(B25="楼层修正",SUM(V2:V16)*M40,C34*D34/10000),0)</f>
        <v>0</v>
      </c>
      <c r="F34" s="2102" t="s">
        <v>2031</v>
      </c>
      <c r="G34" s="2103"/>
      <c r="H34" s="2103"/>
      <c r="I34" s="2103"/>
      <c r="J34" s="2104"/>
      <c r="K34" s="1119"/>
      <c r="L34" s="3342" t="s">
        <v>3259</v>
      </c>
      <c r="M34" s="3343">
        <v>6.5000000000000002E-2</v>
      </c>
      <c r="N34" s="3343">
        <v>6.5000000000000002E-2</v>
      </c>
      <c r="O34" s="3343">
        <v>0.06</v>
      </c>
      <c r="P34" s="3343">
        <v>0.06</v>
      </c>
      <c r="Q34" s="3343">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2032</v>
      </c>
      <c r="C35" s="3340" t="s">
        <v>3256</v>
      </c>
      <c r="D35" s="2035"/>
      <c r="E35" s="2107"/>
      <c r="F35" s="2107"/>
      <c r="G35" s="2033" t="s">
        <v>2033</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0" t="s">
        <v>3260</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53"/>
      <c r="B37" s="2111" t="s">
        <v>2035</v>
      </c>
      <c r="C37" s="175">
        <f>ROUND(D5*C22*C23*C24*C28*F37,0)</f>
        <v>4108</v>
      </c>
      <c r="D37" s="2096"/>
      <c r="E37" s="171">
        <f>ROUND(C37*D37/10000,0)</f>
        <v>0</v>
      </c>
      <c r="F37" s="171">
        <f>SUMIF(修正!A57:A68,G2,修正!B57:B68)</f>
        <v>0.6</v>
      </c>
      <c r="G37" s="171">
        <f>ROUND(IF(E2="工业",C37*$M$42,C37*$M$41),0)</f>
        <v>616</v>
      </c>
      <c r="H37" s="171">
        <f>D37</f>
        <v>0</v>
      </c>
      <c r="I37" s="171">
        <f>ROUND(G37*H37/10000,0)</f>
        <v>0</v>
      </c>
      <c r="J37" s="3005"/>
      <c r="K37" s="3352" t="s">
        <v>3261</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54"/>
      <c r="B38" s="2039" t="s">
        <v>2036</v>
      </c>
      <c r="C38" s="175">
        <f>ROUND(D5*C22*C23*C24*C28*F38,0)</f>
        <v>2054</v>
      </c>
      <c r="D38" s="2096"/>
      <c r="E38" s="171">
        <f t="shared" ref="E38:E42" si="4">ROUND(C38*D38/10000,0)</f>
        <v>0</v>
      </c>
      <c r="F38" s="171">
        <f>SUMIF(修正!A57:A68,G2,修正!C57:C68)</f>
        <v>0.3</v>
      </c>
      <c r="G38" s="171">
        <f>ROUND(IF(E2="工业",C38*$M$42,C38*$M$41),0)</f>
        <v>308</v>
      </c>
      <c r="H38" s="171">
        <f t="shared" ref="H38:H42" si="5">D38</f>
        <v>0</v>
      </c>
      <c r="I38" s="171">
        <f t="shared" ref="I38:I42" si="6">ROUND(G38*H38/10000,0)</f>
        <v>0</v>
      </c>
      <c r="J38" s="3004"/>
      <c r="K38" s="3350">
        <v>5.0000000000000001E-3</v>
      </c>
      <c r="L38" s="3350"/>
      <c r="M38" s="3350"/>
      <c r="N38" s="3350"/>
      <c r="O38" s="3350"/>
      <c r="P38" s="3350"/>
      <c r="Q38" s="3350"/>
      <c r="R38" s="1119"/>
      <c r="S38" s="1119"/>
      <c r="T38" s="1119"/>
      <c r="U38" s="1119"/>
      <c r="V38" s="1119"/>
      <c r="W38" s="1119"/>
      <c r="X38" s="1119"/>
      <c r="Y38" s="1119"/>
      <c r="Z38" s="1120"/>
      <c r="AA38" s="1120"/>
      <c r="AB38" s="1120"/>
      <c r="AC38" s="1120"/>
      <c r="AD38" s="1120"/>
    </row>
    <row r="39" spans="1:37" ht="13.5" thickBot="1">
      <c r="A39" s="3754"/>
      <c r="B39" s="2039" t="s">
        <v>3254</v>
      </c>
      <c r="C39" s="175">
        <f>ROUND(D5*C22*C23*C24*C28*F39,0)</f>
        <v>1712</v>
      </c>
      <c r="D39" s="2096"/>
      <c r="E39" s="171">
        <f t="shared" si="4"/>
        <v>0</v>
      </c>
      <c r="F39" s="171">
        <f>SUMIF(修正!A57:A68,G2,修正!D57:D68)</f>
        <v>0.25</v>
      </c>
      <c r="G39" s="171">
        <f>ROUND(IF(E2="工业",C39*$M$42,C39*$M$41),0)</f>
        <v>257</v>
      </c>
      <c r="H39" s="171">
        <f t="shared" si="5"/>
        <v>0</v>
      </c>
      <c r="I39" s="171">
        <f t="shared" si="6"/>
        <v>0</v>
      </c>
      <c r="J39" s="300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2037</v>
      </c>
      <c r="C40" s="171">
        <f>ROUND(D5*C22*C23*C24*C28*F40,0)</f>
        <v>1712</v>
      </c>
      <c r="D40" s="2096"/>
      <c r="E40" s="171">
        <f t="shared" si="4"/>
        <v>0</v>
      </c>
      <c r="F40" s="175">
        <f>SUMIF(修正!A57:A68,G2,修正!E57:E68)</f>
        <v>0.25</v>
      </c>
      <c r="G40" s="171">
        <f>ROUND(IF(E2="工业",C40*$M$42,C40*$M$41),0)</f>
        <v>257</v>
      </c>
      <c r="H40" s="171">
        <f t="shared" si="5"/>
        <v>0</v>
      </c>
      <c r="I40" s="171">
        <f t="shared" si="6"/>
        <v>0</v>
      </c>
      <c r="J40" s="2112"/>
      <c r="L40" s="2114" t="s">
        <v>2038</v>
      </c>
      <c r="M40" s="2115"/>
      <c r="Z40" s="1120"/>
      <c r="AA40" s="1120"/>
      <c r="AB40" s="1120"/>
      <c r="AC40" s="1120"/>
      <c r="AD40" s="1120"/>
      <c r="AE40" s="1120"/>
      <c r="AF40" s="1120"/>
      <c r="AG40" s="1120"/>
      <c r="AH40" s="1120"/>
      <c r="AI40" s="1120"/>
      <c r="AJ40" s="1120"/>
    </row>
    <row r="41" spans="1:37" s="1119" customFormat="1">
      <c r="A41" s="2113"/>
      <c r="B41" s="2039" t="s">
        <v>2039</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3" t="s">
        <v>3262</v>
      </c>
      <c r="M41" s="2116">
        <v>0.25</v>
      </c>
      <c r="Z41" s="1120"/>
      <c r="AA41" s="1120"/>
      <c r="AB41" s="1120"/>
      <c r="AC41" s="1120"/>
      <c r="AD41" s="1120"/>
      <c r="AE41" s="1120"/>
      <c r="AF41" s="1120"/>
      <c r="AG41" s="1120"/>
      <c r="AH41" s="1120"/>
      <c r="AI41" s="1120"/>
      <c r="AJ41" s="1120"/>
    </row>
    <row r="42" spans="1:37" s="1119" customFormat="1" ht="13.5" thickBot="1">
      <c r="A42" s="2099"/>
      <c r="B42" s="2117" t="s">
        <v>2040</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1992</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2121</v>
      </c>
      <c r="C44" s="342">
        <f>ROUND(POWER(1+E44,H44-G44)*(POWER(1+E44,G44)-1)/(POWER(1+E44,H44)-1),4)</f>
        <v>0</v>
      </c>
      <c r="D44" s="171" t="s">
        <v>1998</v>
      </c>
      <c r="E44" s="2151">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2041</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2042</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2043</v>
      </c>
      <c r="B49" s="1351" t="s">
        <v>2044</v>
      </c>
      <c r="C49" s="1351" t="s">
        <v>2045</v>
      </c>
      <c r="D49" s="1351" t="s">
        <v>2046</v>
      </c>
      <c r="E49" s="743" t="s">
        <v>2047</v>
      </c>
      <c r="F49" s="2129" t="s">
        <v>2048</v>
      </c>
      <c r="G49" s="1351" t="s">
        <v>310</v>
      </c>
      <c r="H49" s="2130"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hidden="1">
      <c r="A50" s="2128" t="s">
        <v>2051</v>
      </c>
      <c r="B50" s="2131" t="str">
        <f>估价对象房地状况!C4</f>
        <v>较好</v>
      </c>
      <c r="C50" s="2042"/>
      <c r="D50" s="1065">
        <f t="shared" ref="D50:D58" si="7">SUMIF($J$49:$N$49,C50,J50:N50)</f>
        <v>0</v>
      </c>
      <c r="E50" s="744">
        <f>ROUND(SUM(D50:D58),4)</f>
        <v>0</v>
      </c>
      <c r="F50" s="1814" t="str">
        <f>IF(E2="商业",SUMIF(L1:L12,G2,N1:N12),"——")</f>
        <v>——</v>
      </c>
      <c r="G50" s="1063"/>
      <c r="H50" s="1066" t="str">
        <f t="shared" ref="H50:H58" si="8">IFERROR(ROUNDDOWN($F$50*I50/2,4),"——")</f>
        <v>——</v>
      </c>
      <c r="I50" s="3360">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28" t="s">
        <v>2052</v>
      </c>
      <c r="B51" s="2132" t="str">
        <f>估价对象房地状况!C18</f>
        <v>较好</v>
      </c>
      <c r="C51" s="2042"/>
      <c r="D51" s="1065">
        <f t="shared" si="7"/>
        <v>0</v>
      </c>
      <c r="E51" s="745"/>
      <c r="F51" s="1814"/>
      <c r="G51" s="1063"/>
      <c r="H51" s="1066" t="str">
        <f t="shared" si="8"/>
        <v>——</v>
      </c>
      <c r="I51" s="3360">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2" t="s">
        <v>3264</v>
      </c>
      <c r="B52" s="2132" t="str">
        <f>估价对象房地状况!C19</f>
        <v>较好</v>
      </c>
      <c r="C52" s="2042"/>
      <c r="D52" s="1065">
        <f t="shared" si="7"/>
        <v>0</v>
      </c>
      <c r="E52" s="745"/>
      <c r="F52" s="1814"/>
      <c r="G52" s="1063"/>
      <c r="H52" s="1066" t="str">
        <f t="shared" si="8"/>
        <v>——</v>
      </c>
      <c r="I52" s="3360">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8" t="s">
        <v>2053</v>
      </c>
      <c r="B53" s="2133" t="s">
        <v>2054</v>
      </c>
      <c r="C53" s="2042"/>
      <c r="D53" s="1065">
        <f t="shared" si="7"/>
        <v>0</v>
      </c>
      <c r="E53" s="745"/>
      <c r="F53" s="1814"/>
      <c r="G53" s="1063"/>
      <c r="H53" s="1066" t="str">
        <f t="shared" si="8"/>
        <v>——</v>
      </c>
      <c r="I53" s="3360">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8" t="s">
        <v>2055</v>
      </c>
      <c r="B54" s="2132">
        <f>估价对象房地状况!C24</f>
        <v>0</v>
      </c>
      <c r="C54" s="2042"/>
      <c r="D54" s="1065">
        <f t="shared" si="7"/>
        <v>0</v>
      </c>
      <c r="E54" s="745"/>
      <c r="F54" s="1814"/>
      <c r="G54" s="1063"/>
      <c r="H54" s="1066" t="str">
        <f t="shared" si="8"/>
        <v>——</v>
      </c>
      <c r="I54" s="3360">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8" t="s">
        <v>2056</v>
      </c>
      <c r="B55" s="2134" t="s">
        <v>2057</v>
      </c>
      <c r="C55" s="2042"/>
      <c r="D55" s="1065">
        <f t="shared" si="7"/>
        <v>0</v>
      </c>
      <c r="E55" s="745"/>
      <c r="F55" s="1814"/>
      <c r="G55" s="1063"/>
      <c r="H55" s="1066" t="str">
        <f t="shared" si="8"/>
        <v>——</v>
      </c>
      <c r="I55" s="3360">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5" t="s">
        <v>2058</v>
      </c>
      <c r="B56" s="1326" t="str">
        <f>估价对象房地状况!C21</f>
        <v>较好</v>
      </c>
      <c r="C56" s="2042"/>
      <c r="D56" s="1065">
        <f t="shared" si="7"/>
        <v>0</v>
      </c>
      <c r="E56" s="745"/>
      <c r="F56" s="1814"/>
      <c r="G56" s="1063"/>
      <c r="H56" s="1066" t="str">
        <f t="shared" si="8"/>
        <v>——</v>
      </c>
      <c r="I56" s="3360">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5" t="s">
        <v>2059</v>
      </c>
      <c r="B57" s="2132" t="str">
        <f>估价对象房地状况!C22</f>
        <v>七通</v>
      </c>
      <c r="C57" s="2042"/>
      <c r="D57" s="1065">
        <f t="shared" si="7"/>
        <v>0</v>
      </c>
      <c r="E57" s="745"/>
      <c r="F57" s="1814"/>
      <c r="G57" s="1063"/>
      <c r="H57" s="1066" t="str">
        <f t="shared" si="8"/>
        <v>——</v>
      </c>
      <c r="I57" s="3360">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6" t="s">
        <v>2060</v>
      </c>
      <c r="B58" s="2137" t="str">
        <f>估价对象房地状况!C20</f>
        <v>较好</v>
      </c>
      <c r="C58" s="2042"/>
      <c r="D58" s="1065">
        <f t="shared" si="7"/>
        <v>0</v>
      </c>
      <c r="E58" s="746"/>
      <c r="F58" s="1814"/>
      <c r="G58" s="1063"/>
      <c r="H58" s="1066" t="str">
        <f t="shared" si="8"/>
        <v>——</v>
      </c>
      <c r="I58" s="3361">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4" t="s">
        <v>2061</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8" t="s">
        <v>2043</v>
      </c>
      <c r="B60" s="1351"/>
      <c r="C60" s="1351" t="s">
        <v>2045</v>
      </c>
      <c r="D60" s="1351" t="s">
        <v>2046</v>
      </c>
      <c r="E60" s="743" t="s">
        <v>2047</v>
      </c>
      <c r="F60" s="2129" t="s">
        <v>2062</v>
      </c>
      <c r="G60" s="1351" t="s">
        <v>310</v>
      </c>
      <c r="H60" s="2130"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hidden="1">
      <c r="A61" s="2128" t="s">
        <v>2063</v>
      </c>
      <c r="B61" s="2131" t="str">
        <f>估价对象房地状况!C17</f>
        <v>较好</v>
      </c>
      <c r="C61" s="2042"/>
      <c r="D61" s="1065">
        <f t="shared" ref="D61:D69" si="12">SUMIF($J$60:$N$60,C61,J61:N61)</f>
        <v>0</v>
      </c>
      <c r="E61" s="744">
        <f>ROUND(SUM(D61:D69),4)</f>
        <v>0</v>
      </c>
      <c r="F61" s="1814" t="str">
        <f>IF(E2="办公",SUMIF(L1:L12,G2,N1:N12),"——")</f>
        <v>——</v>
      </c>
      <c r="G61" s="1063"/>
      <c r="H61" s="1066" t="str">
        <f t="shared" ref="H61:H69" si="13">IFERROR(ROUNDDOWN($F$61*I61/2,4),"——")</f>
        <v>——</v>
      </c>
      <c r="I61" s="3360">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28" t="s">
        <v>2052</v>
      </c>
      <c r="B62" s="2132" t="str">
        <f>估价对象房地状况!C18</f>
        <v>较好</v>
      </c>
      <c r="C62" s="2042"/>
      <c r="D62" s="1065">
        <f t="shared" si="12"/>
        <v>0</v>
      </c>
      <c r="E62" s="745"/>
      <c r="F62" s="1814"/>
      <c r="G62" s="1063"/>
      <c r="H62" s="1066" t="str">
        <f t="shared" si="13"/>
        <v>——</v>
      </c>
      <c r="I62" s="3360">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2" t="s">
        <v>3264</v>
      </c>
      <c r="B63" s="2132" t="str">
        <f>估价对象房地状况!C19</f>
        <v>较好</v>
      </c>
      <c r="C63" s="2042"/>
      <c r="D63" s="1065">
        <f t="shared" si="12"/>
        <v>0</v>
      </c>
      <c r="E63" s="745"/>
      <c r="F63" s="1814"/>
      <c r="G63" s="1063"/>
      <c r="H63" s="1066" t="str">
        <f t="shared" si="13"/>
        <v>——</v>
      </c>
      <c r="I63" s="3360">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8" t="s">
        <v>2053</v>
      </c>
      <c r="B64" s="2133" t="s">
        <v>2054</v>
      </c>
      <c r="C64" s="2042"/>
      <c r="D64" s="1065">
        <f t="shared" si="12"/>
        <v>0</v>
      </c>
      <c r="E64" s="745"/>
      <c r="F64" s="1814"/>
      <c r="G64" s="1063"/>
      <c r="H64" s="1066" t="str">
        <f t="shared" si="13"/>
        <v>——</v>
      </c>
      <c r="I64" s="3360">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8" t="s">
        <v>2055</v>
      </c>
      <c r="B65" s="2132">
        <f>估价对象房地状况!C24</f>
        <v>0</v>
      </c>
      <c r="C65" s="2042"/>
      <c r="D65" s="1065">
        <f t="shared" si="12"/>
        <v>0</v>
      </c>
      <c r="E65" s="745"/>
      <c r="F65" s="1814"/>
      <c r="G65" s="1063"/>
      <c r="H65" s="1066" t="str">
        <f t="shared" si="13"/>
        <v>——</v>
      </c>
      <c r="I65" s="3360">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8" t="s">
        <v>2056</v>
      </c>
      <c r="B66" s="2134" t="s">
        <v>2057</v>
      </c>
      <c r="C66" s="2042"/>
      <c r="D66" s="1065">
        <f t="shared" si="12"/>
        <v>0</v>
      </c>
      <c r="E66" s="745"/>
      <c r="F66" s="1814"/>
      <c r="G66" s="1063"/>
      <c r="H66" s="1066" t="str">
        <f t="shared" si="13"/>
        <v>——</v>
      </c>
      <c r="I66" s="3360">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28" t="s">
        <v>2058</v>
      </c>
      <c r="B67" s="1326" t="str">
        <f>估价对象房地状况!C21</f>
        <v>较好</v>
      </c>
      <c r="C67" s="2042"/>
      <c r="D67" s="1065">
        <f t="shared" si="12"/>
        <v>0</v>
      </c>
      <c r="E67" s="745"/>
      <c r="F67" s="1814"/>
      <c r="G67" s="1063"/>
      <c r="H67" s="1066" t="str">
        <f t="shared" si="13"/>
        <v>——</v>
      </c>
      <c r="I67" s="3360">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28" t="s">
        <v>2059</v>
      </c>
      <c r="B68" s="1326" t="str">
        <f>估价对象房地状况!C22</f>
        <v>七通</v>
      </c>
      <c r="C68" s="2042"/>
      <c r="D68" s="1065">
        <f t="shared" si="12"/>
        <v>0</v>
      </c>
      <c r="E68" s="745"/>
      <c r="F68" s="1814"/>
      <c r="G68" s="1063"/>
      <c r="H68" s="1066" t="str">
        <f t="shared" si="13"/>
        <v>——</v>
      </c>
      <c r="I68" s="3360">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6" t="s">
        <v>2060</v>
      </c>
      <c r="B69" s="2138" t="str">
        <f>估价对象房地状况!C20</f>
        <v>较好</v>
      </c>
      <c r="C69" s="2042"/>
      <c r="D69" s="1065">
        <f t="shared" si="12"/>
        <v>0</v>
      </c>
      <c r="E69" s="746"/>
      <c r="F69" s="1814"/>
      <c r="G69" s="1063"/>
      <c r="H69" s="1066" t="str">
        <f t="shared" si="13"/>
        <v>——</v>
      </c>
      <c r="I69" s="3361">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4" t="s">
        <v>2064</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8" t="s">
        <v>2043</v>
      </c>
      <c r="B71" s="1351"/>
      <c r="C71" s="1351" t="s">
        <v>2045</v>
      </c>
      <c r="D71" s="1351" t="s">
        <v>2046</v>
      </c>
      <c r="E71" s="743" t="s">
        <v>2047</v>
      </c>
      <c r="F71" s="2129" t="s">
        <v>2062</v>
      </c>
      <c r="G71" s="1351" t="s">
        <v>310</v>
      </c>
      <c r="H71" s="2130"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hidden="1">
      <c r="A72" s="2128" t="s">
        <v>2065</v>
      </c>
      <c r="B72" s="2131" t="str">
        <f>估价对象房地状况!C15</f>
        <v>较好</v>
      </c>
      <c r="C72" s="2042"/>
      <c r="D72" s="1065">
        <f t="shared" ref="D72:D80" si="17">SUMIF($J$71:$N$71,C72,J72:N72)</f>
        <v>0</v>
      </c>
      <c r="E72" s="744">
        <f>ROUND(SUM(D72:D80),4)</f>
        <v>0</v>
      </c>
      <c r="F72" s="1814" t="str">
        <f>IF(E2="住宅",SUMIF(L1:L12,G2,N1:N12),"——")</f>
        <v>——</v>
      </c>
      <c r="G72" s="1063"/>
      <c r="H72" s="1066" t="str">
        <f t="shared" ref="H72:H80" si="18">IFERROR(ROUNDDOWN($F$72*I72/2,4),"——")</f>
        <v>——</v>
      </c>
      <c r="I72" s="3360">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28" t="s">
        <v>2052</v>
      </c>
      <c r="B73" s="2132" t="str">
        <f>估价对象房地状况!C18</f>
        <v>较好</v>
      </c>
      <c r="C73" s="2042"/>
      <c r="D73" s="1065">
        <f t="shared" si="17"/>
        <v>0</v>
      </c>
      <c r="E73" s="747"/>
      <c r="F73" s="1814"/>
      <c r="G73" s="1063"/>
      <c r="H73" s="1066" t="str">
        <f t="shared" si="18"/>
        <v>——</v>
      </c>
      <c r="I73" s="3360">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hidden="1">
      <c r="A74" s="3362" t="s">
        <v>3264</v>
      </c>
      <c r="B74" s="2132" t="str">
        <f>估价对象房地状况!C19</f>
        <v>较好</v>
      </c>
      <c r="C74" s="2042"/>
      <c r="D74" s="1065">
        <f t="shared" si="17"/>
        <v>0</v>
      </c>
      <c r="E74" s="747"/>
      <c r="F74" s="1814"/>
      <c r="G74" s="1063"/>
      <c r="H74" s="1066" t="str">
        <f t="shared" si="18"/>
        <v>——</v>
      </c>
      <c r="I74" s="3360">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hidden="1">
      <c r="A75" s="2128" t="s">
        <v>2066</v>
      </c>
      <c r="B75" s="2132">
        <f>估价对象房地状况!C24</f>
        <v>0</v>
      </c>
      <c r="C75" s="2042"/>
      <c r="D75" s="1065">
        <f t="shared" si="17"/>
        <v>0</v>
      </c>
      <c r="E75" s="747"/>
      <c r="F75" s="1814"/>
      <c r="G75" s="1063"/>
      <c r="H75" s="1066" t="str">
        <f t="shared" si="18"/>
        <v>——</v>
      </c>
      <c r="I75" s="3360">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4" hidden="1">
      <c r="A76" s="2128" t="s">
        <v>2058</v>
      </c>
      <c r="B76" s="1326" t="str">
        <f>估价对象房地状况!C21</f>
        <v>较好</v>
      </c>
      <c r="C76" s="2042"/>
      <c r="D76" s="1065">
        <f t="shared" si="17"/>
        <v>0</v>
      </c>
      <c r="E76" s="747"/>
      <c r="F76" s="1814"/>
      <c r="G76" s="1063"/>
      <c r="H76" s="1066" t="str">
        <f t="shared" si="18"/>
        <v>——</v>
      </c>
      <c r="I76" s="3360">
        <v>0.08</v>
      </c>
      <c r="J76" s="1064">
        <f t="shared" si="19"/>
        <v>0</v>
      </c>
      <c r="K76" s="1064">
        <f t="shared" si="20"/>
        <v>0</v>
      </c>
      <c r="L76" s="1064">
        <v>0</v>
      </c>
      <c r="M76" s="1064">
        <f t="shared" si="21"/>
        <v>0</v>
      </c>
      <c r="N76" s="1064">
        <f t="shared" si="21"/>
        <v>0</v>
      </c>
      <c r="O76" s="1119"/>
      <c r="P76" s="1119"/>
      <c r="Z76" s="1996"/>
      <c r="AA76" s="2051"/>
      <c r="AG76" s="1121"/>
      <c r="AK76" s="2051"/>
    </row>
    <row r="77" spans="1:37" ht="24" hidden="1">
      <c r="A77" s="2128" t="s">
        <v>2059</v>
      </c>
      <c r="B77" s="1326" t="str">
        <f>估价对象房地状况!C22</f>
        <v>七通</v>
      </c>
      <c r="C77" s="2042"/>
      <c r="D77" s="1065">
        <f t="shared" si="17"/>
        <v>0</v>
      </c>
      <c r="E77" s="747"/>
      <c r="F77" s="1814"/>
      <c r="G77" s="1063"/>
      <c r="H77" s="1066" t="str">
        <f t="shared" si="18"/>
        <v>——</v>
      </c>
      <c r="I77" s="3360">
        <v>0.09</v>
      </c>
      <c r="J77" s="1064">
        <f t="shared" si="19"/>
        <v>0</v>
      </c>
      <c r="K77" s="1064">
        <f t="shared" si="20"/>
        <v>0</v>
      </c>
      <c r="L77" s="1064">
        <v>0</v>
      </c>
      <c r="M77" s="1064">
        <f t="shared" si="21"/>
        <v>0</v>
      </c>
      <c r="N77" s="1064">
        <f t="shared" si="21"/>
        <v>0</v>
      </c>
      <c r="O77" s="1119"/>
      <c r="P77" s="1119"/>
      <c r="Z77" s="1996"/>
      <c r="AA77" s="2051"/>
      <c r="AG77" s="1121"/>
      <c r="AK77" s="2051"/>
    </row>
    <row r="78" spans="1:37" ht="24" hidden="1">
      <c r="A78" s="2128" t="s">
        <v>2056</v>
      </c>
      <c r="B78" s="2134" t="s">
        <v>2057</v>
      </c>
      <c r="C78" s="2042"/>
      <c r="D78" s="1065">
        <f t="shared" si="17"/>
        <v>0</v>
      </c>
      <c r="E78" s="747"/>
      <c r="F78" s="1814"/>
      <c r="G78" s="1063"/>
      <c r="H78" s="1066" t="str">
        <f t="shared" si="18"/>
        <v>——</v>
      </c>
      <c r="I78" s="3360">
        <v>0.05</v>
      </c>
      <c r="J78" s="1064">
        <f t="shared" si="19"/>
        <v>0</v>
      </c>
      <c r="K78" s="1064">
        <f t="shared" si="20"/>
        <v>0</v>
      </c>
      <c r="L78" s="1064">
        <v>0</v>
      </c>
      <c r="M78" s="1064">
        <f t="shared" si="21"/>
        <v>0</v>
      </c>
      <c r="N78" s="1064">
        <f t="shared" si="21"/>
        <v>0</v>
      </c>
      <c r="O78" s="1995"/>
      <c r="P78" s="1995"/>
      <c r="Z78" s="1996"/>
      <c r="AA78" s="2051"/>
      <c r="AG78" s="1121"/>
      <c r="AK78" s="2051"/>
    </row>
    <row r="79" spans="1:37" ht="24" hidden="1">
      <c r="A79" s="2128" t="s">
        <v>2060</v>
      </c>
      <c r="B79" s="2131" t="str">
        <f>估价对象房地状况!C20</f>
        <v>较好</v>
      </c>
      <c r="C79" s="2042"/>
      <c r="D79" s="1065">
        <f t="shared" si="17"/>
        <v>0</v>
      </c>
      <c r="E79" s="747"/>
      <c r="F79" s="1814"/>
      <c r="G79" s="1063"/>
      <c r="H79" s="1066" t="str">
        <f t="shared" si="18"/>
        <v>——</v>
      </c>
      <c r="I79" s="3360">
        <v>0.12</v>
      </c>
      <c r="J79" s="1064">
        <f t="shared" si="19"/>
        <v>0</v>
      </c>
      <c r="K79" s="1064">
        <f t="shared" si="20"/>
        <v>0</v>
      </c>
      <c r="L79" s="1064">
        <v>0</v>
      </c>
      <c r="M79" s="1064">
        <f t="shared" si="21"/>
        <v>0</v>
      </c>
      <c r="N79" s="1064">
        <f t="shared" si="21"/>
        <v>0</v>
      </c>
      <c r="Z79" s="1996"/>
      <c r="AA79" s="2051"/>
      <c r="AG79" s="1121"/>
      <c r="AK79" s="2051"/>
    </row>
    <row r="80" spans="1:37" ht="24.75" hidden="1" thickBot="1">
      <c r="A80" s="2136" t="s">
        <v>2067</v>
      </c>
      <c r="B80" s="2140"/>
      <c r="C80" s="2042"/>
      <c r="D80" s="1065">
        <f t="shared" si="17"/>
        <v>0</v>
      </c>
      <c r="E80" s="748"/>
      <c r="F80" s="1814"/>
      <c r="G80" s="1063"/>
      <c r="H80" s="1066" t="str">
        <f t="shared" si="18"/>
        <v>——</v>
      </c>
      <c r="I80" s="3361">
        <v>0.05</v>
      </c>
      <c r="J80" s="1064">
        <f t="shared" si="19"/>
        <v>0</v>
      </c>
      <c r="K80" s="1064">
        <f t="shared" si="20"/>
        <v>0</v>
      </c>
      <c r="L80" s="1064">
        <v>0</v>
      </c>
      <c r="M80" s="1064">
        <f t="shared" si="21"/>
        <v>0</v>
      </c>
      <c r="N80" s="1064">
        <f t="shared" si="21"/>
        <v>0</v>
      </c>
      <c r="Z80" s="1996"/>
      <c r="AA80" s="2051"/>
      <c r="AG80" s="1121"/>
      <c r="AK80" s="2051"/>
    </row>
    <row r="81" spans="1:37" ht="15">
      <c r="A81" s="2124" t="s">
        <v>2068</v>
      </c>
      <c r="B81" s="2125">
        <f>1+E83</f>
        <v>1.0535000000000001</v>
      </c>
      <c r="C81" s="741"/>
      <c r="D81" s="741"/>
      <c r="E81" s="742"/>
      <c r="F81" s="2127"/>
      <c r="G81" s="3"/>
      <c r="H81" s="3"/>
      <c r="I81" s="3"/>
      <c r="J81" s="4"/>
      <c r="K81" s="4"/>
      <c r="L81" s="4"/>
      <c r="M81" s="4"/>
      <c r="N81" s="4"/>
      <c r="Z81" s="1996"/>
      <c r="AA81" s="2051"/>
      <c r="AG81" s="1121"/>
      <c r="AK81" s="2051"/>
    </row>
    <row r="82" spans="1:37" ht="24.75">
      <c r="A82" s="2128" t="s">
        <v>2043</v>
      </c>
      <c r="B82" s="1351"/>
      <c r="C82" s="1351" t="s">
        <v>2045</v>
      </c>
      <c r="D82" s="1351" t="s">
        <v>2046</v>
      </c>
      <c r="E82" s="743" t="s">
        <v>2047</v>
      </c>
      <c r="F82" s="2129" t="s">
        <v>2062</v>
      </c>
      <c r="G82" s="1351" t="s">
        <v>310</v>
      </c>
      <c r="H82" s="2130" t="s">
        <v>2049</v>
      </c>
      <c r="I82" s="1351" t="s">
        <v>2050</v>
      </c>
      <c r="J82" s="552" t="s">
        <v>1720</v>
      </c>
      <c r="K82" s="552" t="s">
        <v>1721</v>
      </c>
      <c r="L82" s="552" t="s">
        <v>1722</v>
      </c>
      <c r="M82" s="552" t="s">
        <v>1723</v>
      </c>
      <c r="N82" s="552" t="s">
        <v>1724</v>
      </c>
      <c r="Z82" s="1996"/>
      <c r="AA82" s="2051"/>
      <c r="AG82" s="1121"/>
      <c r="AK82" s="2051"/>
    </row>
    <row r="83" spans="1:37" ht="24">
      <c r="A83" s="2128" t="s">
        <v>2069</v>
      </c>
      <c r="B83" s="2132" t="str">
        <f>估价对象房地状况!G15</f>
        <v>较好</v>
      </c>
      <c r="C83" s="2042" t="s">
        <v>3390</v>
      </c>
      <c r="D83" s="1065">
        <f t="shared" ref="D83:D90" si="22">SUMIF($J$82:$N$82,C83,J83:N83)</f>
        <v>1.2999999999999999E-2</v>
      </c>
      <c r="E83" s="744">
        <f>ROUND(SUM(D83:D90),4)</f>
        <v>5.3499999999999999E-2</v>
      </c>
      <c r="F83" s="1814">
        <f>IF(E2="工业",SUMIF(L1:L12,G2,N1:N12),"——")</f>
        <v>0.1</v>
      </c>
      <c r="G83" s="1063">
        <v>1.2999999999999999E-2</v>
      </c>
      <c r="H83" s="1066">
        <f t="shared" ref="H83:H90" si="23">IFERROR(ROUNDDOWN($F$83*I83/2,4),"——")</f>
        <v>1.2999999999999999E-2</v>
      </c>
      <c r="I83" s="3360">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6"/>
      <c r="AA83" s="2051"/>
      <c r="AG83" s="1121"/>
      <c r="AK83" s="2051"/>
    </row>
    <row r="84" spans="1:37" ht="14.25">
      <c r="A84" s="2128" t="s">
        <v>2052</v>
      </c>
      <c r="B84" s="2132" t="str">
        <f>估价对象房地状况!G16</f>
        <v>较好</v>
      </c>
      <c r="C84" s="2042" t="s">
        <v>3390</v>
      </c>
      <c r="D84" s="1065">
        <f t="shared" si="22"/>
        <v>1.4999999999999999E-2</v>
      </c>
      <c r="E84" s="747"/>
      <c r="F84" s="1814"/>
      <c r="G84" s="1063">
        <v>1.4999999999999999E-2</v>
      </c>
      <c r="H84" s="1066">
        <f t="shared" si="23"/>
        <v>1.4999999999999999E-2</v>
      </c>
      <c r="I84" s="3360">
        <v>0.3</v>
      </c>
      <c r="J84" s="1064">
        <f t="shared" si="24"/>
        <v>0.03</v>
      </c>
      <c r="K84" s="1064">
        <f t="shared" si="25"/>
        <v>1.4999999999999999E-2</v>
      </c>
      <c r="L84" s="1064">
        <v>0</v>
      </c>
      <c r="M84" s="1064">
        <f t="shared" si="26"/>
        <v>-1.4999999999999999E-2</v>
      </c>
      <c r="N84" s="1064">
        <f t="shared" si="26"/>
        <v>-0.03</v>
      </c>
      <c r="Z84" s="1996"/>
      <c r="AA84" s="2051"/>
      <c r="AG84" s="1121"/>
      <c r="AK84" s="2051"/>
    </row>
    <row r="85" spans="1:37" ht="36">
      <c r="A85" s="3362" t="s">
        <v>3265</v>
      </c>
      <c r="B85" s="2132" t="str">
        <f>估价对象房地状况!G17</f>
        <v>较好</v>
      </c>
      <c r="C85" s="2042" t="s">
        <v>3390</v>
      </c>
      <c r="D85" s="1065">
        <f t="shared" si="22"/>
        <v>5.0000000000000001E-3</v>
      </c>
      <c r="E85" s="747"/>
      <c r="F85" s="1814"/>
      <c r="G85" s="1063">
        <v>5.0000000000000001E-3</v>
      </c>
      <c r="H85" s="1066">
        <f t="shared" si="23"/>
        <v>5.0000000000000001E-3</v>
      </c>
      <c r="I85" s="3360">
        <v>0.1</v>
      </c>
      <c r="J85" s="1064">
        <f t="shared" si="24"/>
        <v>0.01</v>
      </c>
      <c r="K85" s="1064">
        <f t="shared" si="25"/>
        <v>5.0000000000000001E-3</v>
      </c>
      <c r="L85" s="1064">
        <v>0</v>
      </c>
      <c r="M85" s="1064">
        <f t="shared" si="26"/>
        <v>-5.0000000000000001E-3</v>
      </c>
      <c r="N85" s="1064">
        <f t="shared" si="26"/>
        <v>-0.01</v>
      </c>
      <c r="Z85" s="1996"/>
      <c r="AA85" s="2051"/>
      <c r="AG85" s="1121"/>
      <c r="AK85" s="2051"/>
    </row>
    <row r="86" spans="1:37" ht="14.25">
      <c r="A86" s="2128" t="s">
        <v>2066</v>
      </c>
      <c r="B86" s="2132">
        <f>估价对象房地状况!G22</f>
        <v>0</v>
      </c>
      <c r="C86" s="2042" t="s">
        <v>3495</v>
      </c>
      <c r="D86" s="1065">
        <f t="shared" si="22"/>
        <v>0</v>
      </c>
      <c r="E86" s="747"/>
      <c r="F86" s="1814"/>
      <c r="G86" s="1063">
        <v>2.5000000000000001E-3</v>
      </c>
      <c r="H86" s="1066">
        <f t="shared" si="23"/>
        <v>2.5000000000000001E-3</v>
      </c>
      <c r="I86" s="3360">
        <v>0.05</v>
      </c>
      <c r="J86" s="1064">
        <f t="shared" si="24"/>
        <v>5.0000000000000001E-3</v>
      </c>
      <c r="K86" s="1064">
        <f t="shared" si="25"/>
        <v>2.5000000000000001E-3</v>
      </c>
      <c r="L86" s="1064">
        <v>0</v>
      </c>
      <c r="M86" s="1064">
        <f t="shared" si="26"/>
        <v>-2.5000000000000001E-3</v>
      </c>
      <c r="N86" s="1064">
        <f t="shared" si="26"/>
        <v>-5.0000000000000001E-3</v>
      </c>
      <c r="Z86" s="1996"/>
      <c r="AA86" s="2051"/>
      <c r="AG86" s="1121"/>
      <c r="AK86" s="2051"/>
    </row>
    <row r="87" spans="1:37" ht="24">
      <c r="A87" s="2128" t="s">
        <v>2058</v>
      </c>
      <c r="B87" s="1326" t="str">
        <f>估价对象房地状况!G19</f>
        <v>较好</v>
      </c>
      <c r="C87" s="2042" t="s">
        <v>3390</v>
      </c>
      <c r="D87" s="1065">
        <f t="shared" si="22"/>
        <v>3.0000000000000001E-3</v>
      </c>
      <c r="E87" s="747"/>
      <c r="F87" s="1814"/>
      <c r="G87" s="1063">
        <v>3.0000000000000001E-3</v>
      </c>
      <c r="H87" s="1066">
        <f t="shared" si="23"/>
        <v>3.0000000000000001E-3</v>
      </c>
      <c r="I87" s="3360">
        <v>0.06</v>
      </c>
      <c r="J87" s="1064">
        <f t="shared" si="24"/>
        <v>6.0000000000000001E-3</v>
      </c>
      <c r="K87" s="1064">
        <f t="shared" si="25"/>
        <v>3.0000000000000001E-3</v>
      </c>
      <c r="L87" s="1064">
        <v>0</v>
      </c>
      <c r="M87" s="1064">
        <f t="shared" si="26"/>
        <v>-3.0000000000000001E-3</v>
      </c>
      <c r="N87" s="1064">
        <f t="shared" si="26"/>
        <v>-6.0000000000000001E-3</v>
      </c>
    </row>
    <row r="88" spans="1:37" ht="24">
      <c r="A88" s="2128" t="s">
        <v>2059</v>
      </c>
      <c r="B88" s="1326" t="str">
        <f>估价对象房地状况!G20</f>
        <v>七通</v>
      </c>
      <c r="C88" s="2042" t="s">
        <v>3496</v>
      </c>
      <c r="D88" s="1065">
        <f t="shared" si="22"/>
        <v>1.2E-2</v>
      </c>
      <c r="E88" s="747"/>
      <c r="F88" s="1814"/>
      <c r="G88" s="1063">
        <v>6.0000000000000001E-3</v>
      </c>
      <c r="H88" s="1066">
        <f t="shared" si="23"/>
        <v>6.0000000000000001E-3</v>
      </c>
      <c r="I88" s="3360">
        <v>0.12</v>
      </c>
      <c r="J88" s="1064">
        <f t="shared" si="24"/>
        <v>1.2E-2</v>
      </c>
      <c r="K88" s="1064">
        <f t="shared" si="25"/>
        <v>6.0000000000000001E-3</v>
      </c>
      <c r="L88" s="1064">
        <v>0</v>
      </c>
      <c r="M88" s="1064">
        <f t="shared" si="26"/>
        <v>-6.0000000000000001E-3</v>
      </c>
      <c r="N88" s="1064">
        <f t="shared" si="26"/>
        <v>-1.2E-2</v>
      </c>
    </row>
    <row r="89" spans="1:37" ht="24">
      <c r="A89" s="2128" t="s">
        <v>2056</v>
      </c>
      <c r="B89" s="2134" t="s">
        <v>2070</v>
      </c>
      <c r="C89" s="2042" t="s">
        <v>3390</v>
      </c>
      <c r="D89" s="1065">
        <f t="shared" si="22"/>
        <v>3.0000000000000001E-3</v>
      </c>
      <c r="E89" s="747"/>
      <c r="F89" s="1814"/>
      <c r="G89" s="1063">
        <v>3.0000000000000001E-3</v>
      </c>
      <c r="H89" s="1066">
        <f t="shared" si="23"/>
        <v>3.0000000000000001E-3</v>
      </c>
      <c r="I89" s="3360">
        <v>0.06</v>
      </c>
      <c r="J89" s="1064">
        <f t="shared" si="24"/>
        <v>6.0000000000000001E-3</v>
      </c>
      <c r="K89" s="1064">
        <f t="shared" si="25"/>
        <v>3.0000000000000001E-3</v>
      </c>
      <c r="L89" s="1064">
        <v>0</v>
      </c>
      <c r="M89" s="1064">
        <f t="shared" si="26"/>
        <v>-3.0000000000000001E-3</v>
      </c>
      <c r="N89" s="1064">
        <f t="shared" si="26"/>
        <v>-6.0000000000000001E-3</v>
      </c>
    </row>
    <row r="90" spans="1:37" ht="15" thickBot="1">
      <c r="A90" s="2136" t="s">
        <v>2071</v>
      </c>
      <c r="B90" s="2141" t="str">
        <f>估价对象房地状况!G18</f>
        <v>较好</v>
      </c>
      <c r="C90" s="2042" t="s">
        <v>3390</v>
      </c>
      <c r="D90" s="1065">
        <f t="shared" si="22"/>
        <v>2.5000000000000001E-3</v>
      </c>
      <c r="E90" s="748"/>
      <c r="F90" s="1814"/>
      <c r="G90" s="1063">
        <v>2.5000000000000001E-3</v>
      </c>
      <c r="H90" s="1066">
        <f t="shared" si="23"/>
        <v>2.5000000000000001E-3</v>
      </c>
      <c r="I90" s="3361">
        <v>0.05</v>
      </c>
      <c r="J90" s="1064">
        <f t="shared" si="24"/>
        <v>5.0000000000000001E-3</v>
      </c>
      <c r="K90" s="1064">
        <f t="shared" si="25"/>
        <v>2.5000000000000001E-3</v>
      </c>
      <c r="L90" s="1064">
        <v>0</v>
      </c>
      <c r="M90" s="1064">
        <f t="shared" si="26"/>
        <v>-2.5000000000000001E-3</v>
      </c>
      <c r="N90" s="1064">
        <f t="shared" si="26"/>
        <v>-5.0000000000000001E-3</v>
      </c>
    </row>
    <row r="91" spans="1:37" ht="15">
      <c r="A91" s="3370" t="s">
        <v>2605</v>
      </c>
      <c r="B91" s="3371">
        <f>1+E93</f>
        <v>1</v>
      </c>
      <c r="C91" s="3364"/>
      <c r="D91" s="3365"/>
      <c r="E91" s="1814"/>
      <c r="F91" s="1814"/>
      <c r="G91" s="3366"/>
      <c r="H91" s="3367"/>
      <c r="I91" s="3368"/>
      <c r="J91" s="3369"/>
      <c r="K91" s="3369"/>
      <c r="L91" s="3369"/>
      <c r="M91" s="3369"/>
      <c r="N91" s="3369"/>
    </row>
    <row r="92" spans="1:37" ht="24.75">
      <c r="A92" s="3372" t="s">
        <v>3266</v>
      </c>
      <c r="B92" s="3359"/>
      <c r="C92" s="3359" t="s">
        <v>3275</v>
      </c>
      <c r="D92" s="3359" t="s">
        <v>3276</v>
      </c>
      <c r="E92" s="3341" t="s">
        <v>3277</v>
      </c>
      <c r="F92" s="3374" t="s">
        <v>3278</v>
      </c>
      <c r="G92" s="3359" t="s">
        <v>3279</v>
      </c>
      <c r="H92" s="3381" t="s">
        <v>3282</v>
      </c>
      <c r="I92" s="3359" t="s">
        <v>3283</v>
      </c>
      <c r="J92" s="3382" t="s">
        <v>3284</v>
      </c>
      <c r="K92" s="3382" t="s">
        <v>3285</v>
      </c>
      <c r="L92" s="3382" t="s">
        <v>3286</v>
      </c>
      <c r="M92" s="3382" t="s">
        <v>3287</v>
      </c>
      <c r="N92" s="3382" t="s">
        <v>3288</v>
      </c>
    </row>
    <row r="93" spans="1:37" ht="24">
      <c r="A93" s="3362" t="s">
        <v>3267</v>
      </c>
      <c r="B93" s="1306"/>
      <c r="C93" s="2042"/>
      <c r="D93" s="3359">
        <f>SUMIF($J$92:$N$92,C93,J93:N93)</f>
        <v>0</v>
      </c>
      <c r="E93" s="3375">
        <f>ROUND(SUM(D93:D101),4)</f>
        <v>0</v>
      </c>
      <c r="F93" s="1814"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3268</v>
      </c>
      <c r="B94" s="3363" t="str">
        <f>估价对象房地状况!C18</f>
        <v>较好</v>
      </c>
      <c r="C94" s="2042"/>
      <c r="D94" s="3359">
        <f t="shared" ref="D94:D101" si="30">SUMIF($J$60:$N$60,C94,J94:N94)</f>
        <v>0</v>
      </c>
      <c r="E94" s="3376"/>
      <c r="F94" s="1814"/>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3264</v>
      </c>
      <c r="B95" s="3363" t="str">
        <f>估价对象房地状况!C19</f>
        <v>较好</v>
      </c>
      <c r="C95" s="2042"/>
      <c r="D95" s="3359">
        <f t="shared" si="30"/>
        <v>0</v>
      </c>
      <c r="E95" s="3376"/>
      <c r="F95" s="1814"/>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3269</v>
      </c>
      <c r="B96" s="3378" t="s">
        <v>3280</v>
      </c>
      <c r="C96" s="2042"/>
      <c r="D96" s="3359">
        <f t="shared" si="30"/>
        <v>0</v>
      </c>
      <c r="E96" s="3376"/>
      <c r="F96" s="1814"/>
      <c r="G96" s="3366"/>
      <c r="H96" s="3414" t="str">
        <f t="shared" si="31"/>
        <v>——</v>
      </c>
      <c r="I96" s="3360">
        <v>0.05</v>
      </c>
      <c r="J96" s="3338">
        <f t="shared" si="27"/>
        <v>0</v>
      </c>
      <c r="K96" s="3338">
        <f t="shared" si="28"/>
        <v>0</v>
      </c>
      <c r="L96" s="3338">
        <v>0</v>
      </c>
      <c r="M96" s="3338">
        <f t="shared" si="29"/>
        <v>0</v>
      </c>
      <c r="N96" s="3338">
        <f t="shared" si="29"/>
        <v>0</v>
      </c>
    </row>
    <row r="97" spans="1:14" ht="24">
      <c r="A97" s="3372" t="s">
        <v>3270</v>
      </c>
      <c r="B97" s="3363">
        <f>估价对象房地状况!C24</f>
        <v>0</v>
      </c>
      <c r="C97" s="2042"/>
      <c r="D97" s="3359">
        <f t="shared" si="30"/>
        <v>0</v>
      </c>
      <c r="E97" s="3376"/>
      <c r="F97" s="1814"/>
      <c r="G97" s="3366"/>
      <c r="H97" s="3414" t="str">
        <f t="shared" si="31"/>
        <v>——</v>
      </c>
      <c r="I97" s="3360">
        <v>0.05</v>
      </c>
      <c r="J97" s="3338">
        <f t="shared" si="27"/>
        <v>0</v>
      </c>
      <c r="K97" s="3338">
        <f t="shared" si="28"/>
        <v>0</v>
      </c>
      <c r="L97" s="3338">
        <v>0</v>
      </c>
      <c r="M97" s="3338">
        <f t="shared" si="29"/>
        <v>0</v>
      </c>
      <c r="N97" s="3338">
        <f t="shared" si="29"/>
        <v>0</v>
      </c>
    </row>
    <row r="98" spans="1:14" ht="24">
      <c r="A98" s="3372" t="s">
        <v>3271</v>
      </c>
      <c r="B98" s="3379" t="s">
        <v>3281</v>
      </c>
      <c r="C98" s="2042"/>
      <c r="D98" s="3359">
        <f t="shared" si="30"/>
        <v>0</v>
      </c>
      <c r="E98" s="3376"/>
      <c r="F98" s="1814"/>
      <c r="G98" s="3366"/>
      <c r="H98" s="3414" t="str">
        <f t="shared" si="31"/>
        <v>——</v>
      </c>
      <c r="I98" s="3360">
        <v>0.06</v>
      </c>
      <c r="J98" s="3338">
        <f t="shared" si="27"/>
        <v>0</v>
      </c>
      <c r="K98" s="3338">
        <f t="shared" si="28"/>
        <v>0</v>
      </c>
      <c r="L98" s="3338">
        <v>0</v>
      </c>
      <c r="M98" s="3338">
        <f t="shared" si="29"/>
        <v>0</v>
      </c>
      <c r="N98" s="3338">
        <f t="shared" si="29"/>
        <v>0</v>
      </c>
    </row>
    <row r="99" spans="1:14" ht="24">
      <c r="A99" s="3372" t="s">
        <v>3272</v>
      </c>
      <c r="B99" s="3363" t="str">
        <f>估价对象房地状况!C21</f>
        <v>较好</v>
      </c>
      <c r="C99" s="2042"/>
      <c r="D99" s="3359">
        <f t="shared" si="30"/>
        <v>0</v>
      </c>
      <c r="E99" s="3376"/>
      <c r="F99" s="1814"/>
      <c r="G99" s="3366"/>
      <c r="H99" s="3414" t="str">
        <f t="shared" si="31"/>
        <v>——</v>
      </c>
      <c r="I99" s="3360">
        <v>0.06</v>
      </c>
      <c r="J99" s="3338">
        <f t="shared" si="27"/>
        <v>0</v>
      </c>
      <c r="K99" s="3338">
        <f t="shared" si="28"/>
        <v>0</v>
      </c>
      <c r="L99" s="3338">
        <v>0</v>
      </c>
      <c r="M99" s="3338">
        <f t="shared" si="29"/>
        <v>0</v>
      </c>
      <c r="N99" s="3338">
        <f t="shared" si="29"/>
        <v>0</v>
      </c>
    </row>
    <row r="100" spans="1:14" ht="24">
      <c r="A100" s="3372" t="s">
        <v>3273</v>
      </c>
      <c r="B100" s="3363" t="str">
        <f>估价对象房地状况!C22</f>
        <v>七通</v>
      </c>
      <c r="C100" s="2042"/>
      <c r="D100" s="3359">
        <f t="shared" si="30"/>
        <v>0</v>
      </c>
      <c r="E100" s="3376"/>
      <c r="F100" s="1814"/>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3274</v>
      </c>
      <c r="B101" s="3380" t="str">
        <f>估价对象房地状况!C20</f>
        <v>较好</v>
      </c>
      <c r="C101" s="2042"/>
      <c r="D101" s="3359">
        <f t="shared" si="30"/>
        <v>0</v>
      </c>
      <c r="E101" s="3377"/>
      <c r="F101" s="1814"/>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51" t="s">
        <v>3289</v>
      </c>
      <c r="B103" s="3751"/>
      <c r="C103" s="3751"/>
      <c r="D103" s="3751"/>
      <c r="E103" s="3751"/>
      <c r="F103" s="3751"/>
      <c r="G103" s="3751"/>
      <c r="H103" s="3751"/>
      <c r="I103" s="3751"/>
      <c r="J103" s="3751"/>
      <c r="K103" s="3383"/>
      <c r="L103" s="3383"/>
      <c r="M103" s="3383"/>
      <c r="N103" s="3383"/>
    </row>
    <row r="104" spans="1:14">
      <c r="A104" s="3752" t="s">
        <v>3290</v>
      </c>
      <c r="B104" s="3752" t="s">
        <v>3291</v>
      </c>
      <c r="C104" s="3384" t="s">
        <v>3292</v>
      </c>
      <c r="D104" s="3385"/>
      <c r="E104" s="3385"/>
      <c r="F104" s="3385"/>
      <c r="G104" s="3385"/>
      <c r="H104" s="3385"/>
      <c r="I104" s="3385"/>
      <c r="J104" s="3386"/>
      <c r="K104" s="3387"/>
      <c r="L104" s="3387"/>
      <c r="M104" s="3387"/>
      <c r="N104" s="3387"/>
    </row>
    <row r="105" spans="1:14">
      <c r="A105" s="3752"/>
      <c r="B105" s="3752"/>
      <c r="C105" s="3388" t="s">
        <v>3293</v>
      </c>
      <c r="D105" s="3388" t="s">
        <v>3294</v>
      </c>
      <c r="E105" s="3388" t="s">
        <v>3295</v>
      </c>
      <c r="F105" s="3388" t="s">
        <v>3296</v>
      </c>
      <c r="G105" s="3388" t="s">
        <v>3297</v>
      </c>
      <c r="H105" s="3388" t="s">
        <v>3298</v>
      </c>
      <c r="I105" s="3388" t="s">
        <v>3299</v>
      </c>
      <c r="J105" s="3388" t="s">
        <v>3300</v>
      </c>
      <c r="K105" s="3388" t="s">
        <v>3301</v>
      </c>
      <c r="L105" s="3388" t="s">
        <v>3302</v>
      </c>
      <c r="M105" s="3388" t="s">
        <v>3303</v>
      </c>
      <c r="N105" s="3388" t="s">
        <v>3304</v>
      </c>
    </row>
    <row r="106" spans="1:14">
      <c r="A106" s="3738" t="s">
        <v>3305</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39"/>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39"/>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39"/>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39"/>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39"/>
      <c r="B111" s="3388" t="s">
        <v>3263</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40"/>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41" t="s">
        <v>3306</v>
      </c>
      <c r="B113" s="3741"/>
      <c r="C113" s="3741"/>
      <c r="D113" s="3741"/>
      <c r="E113" s="3741"/>
      <c r="F113" s="3741"/>
      <c r="G113" s="3741"/>
      <c r="H113" s="3741"/>
      <c r="I113" s="3741"/>
      <c r="J113" s="3741"/>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3307</v>
      </c>
      <c r="B116" s="3409">
        <f>G3</f>
        <v>1.47</v>
      </c>
      <c r="C116" s="3393" t="s">
        <v>3308</v>
      </c>
      <c r="D116" s="3394">
        <f>SUMPRODUCT((A118:A122=F116)*(B117:M117=H116)*B118:M122)</f>
        <v>0.73099999999999998</v>
      </c>
      <c r="E116" s="1998" t="s">
        <v>3309</v>
      </c>
      <c r="F116" s="3395" t="str">
        <f>E2</f>
        <v>工业</v>
      </c>
      <c r="G116" s="1998" t="s">
        <v>3310</v>
      </c>
      <c r="H116" s="3395" t="str">
        <f>G2</f>
        <v>三级</v>
      </c>
      <c r="I116" s="1998"/>
      <c r="J116" s="3396"/>
      <c r="K116" s="3396"/>
      <c r="L116" s="3396"/>
      <c r="M116" s="3396"/>
      <c r="N116" s="3391"/>
    </row>
    <row r="117" spans="1:14">
      <c r="A117" s="3397"/>
      <c r="B117" s="3398" t="s">
        <v>3311</v>
      </c>
      <c r="C117" s="3398" t="s">
        <v>3312</v>
      </c>
      <c r="D117" s="3398" t="s">
        <v>3313</v>
      </c>
      <c r="E117" s="3399" t="s">
        <v>3314</v>
      </c>
      <c r="F117" s="3399" t="s">
        <v>3315</v>
      </c>
      <c r="G117" s="3399" t="s">
        <v>3316</v>
      </c>
      <c r="H117" s="3400" t="s">
        <v>3317</v>
      </c>
      <c r="I117" s="3400" t="s">
        <v>3318</v>
      </c>
      <c r="J117" s="3401" t="s">
        <v>3319</v>
      </c>
      <c r="K117" s="3401" t="s">
        <v>3320</v>
      </c>
      <c r="L117" s="3401" t="s">
        <v>3321</v>
      </c>
      <c r="M117" s="3402" t="s">
        <v>3322</v>
      </c>
      <c r="N117" s="3391"/>
    </row>
    <row r="118" spans="1:14">
      <c r="A118" s="3403" t="s">
        <v>3323</v>
      </c>
      <c r="B118" s="3381">
        <f>ROUND(0.9968-0.011*B116,4)</f>
        <v>0.98060000000000003</v>
      </c>
      <c r="C118" s="3381">
        <f>B118</f>
        <v>0.98060000000000003</v>
      </c>
      <c r="D118" s="3381">
        <f>ROUND(0.949-0.014*B116,4)</f>
        <v>0.9284</v>
      </c>
      <c r="E118" s="3381">
        <f>D118</f>
        <v>0.9284</v>
      </c>
      <c r="F118" s="3381">
        <f>E118</f>
        <v>0.9284</v>
      </c>
      <c r="G118" s="3381">
        <f>F118</f>
        <v>0.9284</v>
      </c>
      <c r="H118" s="3381">
        <f>G118</f>
        <v>0.9284</v>
      </c>
      <c r="I118" s="3381">
        <f>ROUND(0.8486-0.018*B116,4)</f>
        <v>0.82210000000000005</v>
      </c>
      <c r="J118" s="3381">
        <f t="shared" ref="J118:M122" si="35">I118</f>
        <v>0.82210000000000005</v>
      </c>
      <c r="K118" s="3381">
        <f t="shared" si="35"/>
        <v>0.82210000000000005</v>
      </c>
      <c r="L118" s="3381">
        <f t="shared" si="35"/>
        <v>0.82210000000000005</v>
      </c>
      <c r="M118" s="3404">
        <f t="shared" si="35"/>
        <v>0.82210000000000005</v>
      </c>
      <c r="N118" s="3391"/>
    </row>
    <row r="119" spans="1:14">
      <c r="A119" s="3403" t="s">
        <v>3324</v>
      </c>
      <c r="B119" s="3381">
        <f>ROUND(0.993-0.0112*B116,4)</f>
        <v>0.97650000000000003</v>
      </c>
      <c r="C119" s="3381">
        <f>B119</f>
        <v>0.97650000000000003</v>
      </c>
      <c r="D119" s="3381">
        <f>ROUND(0.9415-0.0142*B116,4)</f>
        <v>0.92059999999999997</v>
      </c>
      <c r="E119" s="3381">
        <f t="shared" ref="E119:H120" si="36">D119</f>
        <v>0.92059999999999997</v>
      </c>
      <c r="F119" s="3381">
        <f t="shared" si="36"/>
        <v>0.92059999999999997</v>
      </c>
      <c r="G119" s="3381">
        <f t="shared" si="36"/>
        <v>0.92059999999999997</v>
      </c>
      <c r="H119" s="3381">
        <f t="shared" si="36"/>
        <v>0.92059999999999997</v>
      </c>
      <c r="I119" s="3381">
        <f>ROUND(0.838-0.0182*B116,4)</f>
        <v>0.81120000000000003</v>
      </c>
      <c r="J119" s="3381">
        <f t="shared" si="35"/>
        <v>0.81120000000000003</v>
      </c>
      <c r="K119" s="3381">
        <f t="shared" si="35"/>
        <v>0.81120000000000003</v>
      </c>
      <c r="L119" s="3381">
        <f t="shared" si="35"/>
        <v>0.81120000000000003</v>
      </c>
      <c r="M119" s="3404">
        <f t="shared" si="35"/>
        <v>0.81120000000000003</v>
      </c>
      <c r="N119" s="3391"/>
    </row>
    <row r="120" spans="1:14">
      <c r="A120" s="3403" t="s">
        <v>3325</v>
      </c>
      <c r="B120" s="3381">
        <f>ROUND(0.9448-0.0115*B116,4)</f>
        <v>0.92789999999999995</v>
      </c>
      <c r="C120" s="3381">
        <f>B120</f>
        <v>0.92789999999999995</v>
      </c>
      <c r="D120" s="3381">
        <f>ROUND(0.937-0.0145*B116,4)</f>
        <v>0.91569999999999996</v>
      </c>
      <c r="E120" s="3381">
        <f t="shared" si="36"/>
        <v>0.91569999999999996</v>
      </c>
      <c r="F120" s="3381">
        <f t="shared" si="36"/>
        <v>0.91569999999999996</v>
      </c>
      <c r="G120" s="3381">
        <f t="shared" si="36"/>
        <v>0.91569999999999996</v>
      </c>
      <c r="H120" s="3381">
        <f t="shared" si="36"/>
        <v>0.91569999999999996</v>
      </c>
      <c r="I120" s="3381">
        <f>ROUND(0.7965-0.0185*B116,4)</f>
        <v>0.76929999999999998</v>
      </c>
      <c r="J120" s="3381">
        <f t="shared" si="35"/>
        <v>0.76929999999999998</v>
      </c>
      <c r="K120" s="3381">
        <f t="shared" si="35"/>
        <v>0.76929999999999998</v>
      </c>
      <c r="L120" s="3381">
        <f t="shared" si="35"/>
        <v>0.76929999999999998</v>
      </c>
      <c r="M120" s="3404">
        <f t="shared" si="35"/>
        <v>0.76929999999999998</v>
      </c>
      <c r="N120" s="3391"/>
    </row>
    <row r="121" spans="1:14" ht="13.5" thickBot="1">
      <c r="A121" s="3405" t="s">
        <v>3326</v>
      </c>
      <c r="B121" s="3406">
        <f>ROUND(0.7836-0.012*B116,4)</f>
        <v>0.76600000000000001</v>
      </c>
      <c r="C121" s="3406">
        <f>B121</f>
        <v>0.76600000000000001</v>
      </c>
      <c r="D121" s="3406">
        <f>ROUND(0.753-0.015*B116,4)</f>
        <v>0.73099999999999998</v>
      </c>
      <c r="E121" s="3406">
        <f>D121</f>
        <v>0.73099999999999998</v>
      </c>
      <c r="F121" s="3406">
        <f>E121</f>
        <v>0.73099999999999998</v>
      </c>
      <c r="G121" s="3406">
        <f>ROUND(0.6612-0.018*B116,4)</f>
        <v>0.63470000000000004</v>
      </c>
      <c r="H121" s="3406">
        <f>G121</f>
        <v>0.63470000000000004</v>
      </c>
      <c r="I121" s="3406">
        <f>ROUND(0.5905-0.019*B116,4)</f>
        <v>0.56259999999999999</v>
      </c>
      <c r="J121" s="3406">
        <f t="shared" si="35"/>
        <v>0.56259999999999999</v>
      </c>
      <c r="K121" s="3406">
        <f t="shared" si="35"/>
        <v>0.56259999999999999</v>
      </c>
      <c r="L121" s="3406">
        <f t="shared" si="35"/>
        <v>0.56259999999999999</v>
      </c>
      <c r="M121" s="3407">
        <f t="shared" si="35"/>
        <v>0.56259999999999999</v>
      </c>
      <c r="N121" s="3391"/>
    </row>
    <row r="122" spans="1:14">
      <c r="A122" s="3408" t="s">
        <v>2605</v>
      </c>
      <c r="B122" s="3381">
        <f>ROUND(0.9404-0.0106*B116,4)</f>
        <v>0.92479999999999996</v>
      </c>
      <c r="C122" s="3381">
        <f>B122</f>
        <v>0.92479999999999996</v>
      </c>
      <c r="D122" s="3381">
        <f>ROUND(0.8955-0.0135*B116,4)</f>
        <v>0.87570000000000003</v>
      </c>
      <c r="E122" s="3381">
        <f t="shared" ref="E122:H122" si="37">D122</f>
        <v>0.87570000000000003</v>
      </c>
      <c r="F122" s="3381">
        <f t="shared" si="37"/>
        <v>0.87570000000000003</v>
      </c>
      <c r="G122" s="3381">
        <f t="shared" si="37"/>
        <v>0.87570000000000003</v>
      </c>
      <c r="H122" s="3381">
        <f t="shared" si="37"/>
        <v>0.87570000000000003</v>
      </c>
      <c r="I122" s="3381">
        <f>ROUND(0.7632-0.0166*B116,4)</f>
        <v>0.73880000000000001</v>
      </c>
      <c r="J122" s="3381">
        <f t="shared" si="35"/>
        <v>0.73880000000000001</v>
      </c>
      <c r="K122" s="3381">
        <f t="shared" si="35"/>
        <v>0.73880000000000001</v>
      </c>
      <c r="L122" s="3381">
        <f t="shared" si="35"/>
        <v>0.73880000000000001</v>
      </c>
      <c r="M122" s="3404">
        <f t="shared" si="35"/>
        <v>0.73880000000000001</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16" zoomScale="90" zoomScaleNormal="70" zoomScaleSheetLayoutView="9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3417</v>
      </c>
      <c r="D1" s="1362" t="s">
        <v>43</v>
      </c>
      <c r="E1" s="1363" t="s">
        <v>678</v>
      </c>
      <c r="F1" s="1062">
        <f ca="1">J53</f>
        <v>23.6</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100619</v>
      </c>
      <c r="C2" s="1387" t="s">
        <v>805</v>
      </c>
      <c r="D2" s="1387"/>
      <c r="E2" s="1388"/>
      <c r="F2" s="1389"/>
      <c r="G2" s="2699"/>
      <c r="H2" s="2688"/>
      <c r="I2" s="2688"/>
      <c r="J2" s="2688"/>
      <c r="K2" s="2689"/>
      <c r="L2" s="2688"/>
      <c r="M2" s="2688"/>
    </row>
    <row r="3" spans="1:37" ht="18" customHeight="1" thickBot="1">
      <c r="A3" s="1390" t="s">
        <v>806</v>
      </c>
      <c r="B3" s="1391">
        <f ca="1">IF(ISERROR(B2*10000/F43),0,ROUND(B2*10000/F43,0))</f>
        <v>36989</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7605</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7596</v>
      </c>
      <c r="D6" s="155" t="s">
        <v>2108</v>
      </c>
      <c r="E6" s="302" t="s">
        <v>696</v>
      </c>
      <c r="F6" s="303">
        <f ca="1">INDIRECT("'数据-取费表'!u"&amp;$G$1)</f>
        <v>8.5</v>
      </c>
      <c r="G6" s="1384"/>
      <c r="H6" s="1069" t="s">
        <v>398</v>
      </c>
      <c r="I6" s="3638" t="s">
        <v>694</v>
      </c>
      <c r="J6" s="301">
        <f ca="1">ROUND(M6*M8*M7*(1-M9)/10000,0)</f>
        <v>0</v>
      </c>
      <c r="K6" s="155"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27202.300000000003</v>
      </c>
      <c r="G7" s="1384"/>
      <c r="H7" s="304"/>
      <c r="I7" s="3639"/>
      <c r="J7" s="306"/>
      <c r="K7" s="307"/>
      <c r="L7" s="302" t="s">
        <v>697</v>
      </c>
      <c r="M7" s="303">
        <f ca="1">F7</f>
        <v>27202.300000000003</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9</v>
      </c>
      <c r="D10" s="1366" t="s">
        <v>2116</v>
      </c>
      <c r="E10" s="313" t="s">
        <v>701</v>
      </c>
      <c r="F10" s="1116" t="s">
        <v>3405</v>
      </c>
      <c r="G10" s="1384"/>
      <c r="H10" s="1069" t="s">
        <v>402</v>
      </c>
      <c r="I10" s="1365" t="s">
        <v>700</v>
      </c>
      <c r="J10" s="301">
        <f ca="1">ROUND(IF(M10="押一",J6/12*M11,IF(M10="押二",J6/12*2*M11,IF(M10="押三",J6/12*3*M11,J11*M11))),0)</f>
        <v>0</v>
      </c>
      <c r="K10" s="1366" t="s">
        <v>2115</v>
      </c>
      <c r="L10" s="313" t="s">
        <v>701</v>
      </c>
      <c r="M10" s="1116" t="s">
        <v>3405</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8767</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8705</v>
      </c>
      <c r="D14" s="1345" t="s">
        <v>708</v>
      </c>
      <c r="E14" s="1342"/>
      <c r="F14" s="319"/>
      <c r="G14" s="1384"/>
      <c r="H14" s="982" t="s">
        <v>398</v>
      </c>
      <c r="I14" s="302" t="s">
        <v>709</v>
      </c>
      <c r="J14" s="21">
        <f ca="1">C29</f>
        <v>12524</v>
      </c>
      <c r="K14" s="12"/>
      <c r="L14" s="807"/>
      <c r="M14" s="808"/>
    </row>
    <row r="15" spans="1:37" s="1397" customFormat="1" ht="18" customHeight="1" thickBot="1">
      <c r="A15" s="982" t="s">
        <v>399</v>
      </c>
      <c r="B15" s="302" t="s">
        <v>710</v>
      </c>
      <c r="C15" s="21">
        <f ca="1">ROUND(C14*F15,0)</f>
        <v>261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144</v>
      </c>
      <c r="K16" s="1087" t="s">
        <v>715</v>
      </c>
      <c r="L16" s="1088"/>
      <c r="M16" s="1072"/>
    </row>
    <row r="17" spans="1:37" s="1397" customFormat="1" ht="18" customHeight="1">
      <c r="A17" s="982" t="s">
        <v>681</v>
      </c>
      <c r="B17" s="302" t="s">
        <v>716</v>
      </c>
      <c r="C17" s="21">
        <f ca="1">ROUND(F17*(F43+INDIRECT("'数据-取费表'!S"&amp;$G$1))/10000,0)</f>
        <v>544</v>
      </c>
      <c r="D17" s="302" t="s">
        <v>717</v>
      </c>
      <c r="E17" s="302" t="s">
        <v>718</v>
      </c>
      <c r="F17" s="23">
        <f>'数据-取费表'!B35</f>
        <v>200</v>
      </c>
      <c r="G17" s="1396"/>
      <c r="H17" s="982" t="s">
        <v>398</v>
      </c>
      <c r="I17" s="302" t="s">
        <v>719</v>
      </c>
      <c r="J17" s="2314">
        <f ca="1">ROUND(IF(AND(项目基本情况!B11="自然人",项目基本情况!B10="北京市"),J6*M17/(1+'数据-取费表'!C42),J18+J19+J20),2)</f>
        <v>44.29</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9641</v>
      </c>
      <c r="D19" s="131" t="s">
        <v>726</v>
      </c>
      <c r="E19" s="1360"/>
      <c r="F19" s="23"/>
      <c r="G19" s="1384"/>
      <c r="H19" s="982" t="s">
        <v>399</v>
      </c>
      <c r="I19" s="302" t="s">
        <v>727</v>
      </c>
      <c r="J19" s="21">
        <f ca="1">IF(K19="按租金收入计税",ROUND(J6*M19/(1+'数据-取费表'!C42),2),ROUND(C29*M19*0.7,2))</f>
        <v>0</v>
      </c>
      <c r="K19" s="1370" t="s">
        <v>3331</v>
      </c>
      <c r="L19" s="302" t="s">
        <v>712</v>
      </c>
      <c r="M19" s="322">
        <f>IF(K19="按租金收入计税",'数据-取费表'!B51,'数据-取费表'!B50)</f>
        <v>0.12</v>
      </c>
    </row>
    <row r="20" spans="1:37" s="1397" customFormat="1" ht="18" customHeight="1">
      <c r="A20" s="982" t="s">
        <v>402</v>
      </c>
      <c r="B20" s="302" t="s">
        <v>728</v>
      </c>
      <c r="C20" s="21">
        <f ca="1">ROUND(C19*F20,0)</f>
        <v>193</v>
      </c>
      <c r="D20" s="323" t="s">
        <v>729</v>
      </c>
      <c r="E20" s="302" t="s">
        <v>712</v>
      </c>
      <c r="F20" s="322">
        <f>'数据-取费表'!B37</f>
        <v>0.02</v>
      </c>
      <c r="G20" s="1396"/>
      <c r="H20" s="982" t="s">
        <v>680</v>
      </c>
      <c r="I20" s="155" t="s">
        <v>730</v>
      </c>
      <c r="J20" s="22">
        <f ca="1">ROUND(M20*M21/10000,2)</f>
        <v>44.29</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18455.759999999998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100.19</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253</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-144</v>
      </c>
      <c r="K25" s="1095" t="s">
        <v>753</v>
      </c>
      <c r="L25" s="1096"/>
      <c r="M25" s="1097"/>
    </row>
    <row r="26" spans="1:37">
      <c r="A26" s="982" t="s">
        <v>397</v>
      </c>
      <c r="B26" s="302" t="s">
        <v>754</v>
      </c>
      <c r="C26" s="21">
        <f ca="1">ROUND((C19+C20)*F26,0)</f>
        <v>1475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12524</v>
      </c>
      <c r="D29" s="1092"/>
      <c r="E29" s="1090"/>
      <c r="F29" s="1093"/>
      <c r="G29" s="1396"/>
      <c r="H29" s="334" t="s">
        <v>396</v>
      </c>
      <c r="I29" s="335" t="s">
        <v>768</v>
      </c>
      <c r="J29" s="336">
        <f ca="1">ROUND(J26/(1+F40)^F41,0)</f>
        <v>0</v>
      </c>
      <c r="K29" s="337" t="s">
        <v>769</v>
      </c>
      <c r="L29" s="338"/>
      <c r="M29" s="339">
        <f ca="1">INDIRECT("'数据-取费表'!k"&amp;$G$1)</f>
        <v>27202.300000000003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1492</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ROUND(IF(AND(项目基本情况!B11="自然人",项目基本情况!B10="北京市"),C6*F31/(1+'数据-取费表'!C42),C32+C33+C34),2)</f>
        <v>1317.52</v>
      </c>
      <c r="D31" s="1345" t="s">
        <v>720</v>
      </c>
      <c r="E31" s="1344" t="s">
        <v>770</v>
      </c>
      <c r="F31" s="2313" t="str">
        <f>IF(项目基本情况!B11="企业","——",IF(M47="住宅",IF(F6*F7*F8/12/(1+'数据-取费表'!F30)&gt;100000,4%,2.5%),IF(F6*F7*F8/12/(1+'数据-取费表'!F30)&gt;100000,12%,7%)))</f>
        <v>——</v>
      </c>
      <c r="G31" s="1384"/>
      <c r="H31" s="2801" t="s">
        <v>2299</v>
      </c>
      <c r="I31" s="1398"/>
      <c r="J31" s="1399"/>
      <c r="K31" s="2468"/>
      <c r="L31" s="2691"/>
      <c r="M31" s="2692"/>
    </row>
    <row r="32" spans="1:37" ht="18" customHeight="1">
      <c r="A32" s="982" t="s">
        <v>397</v>
      </c>
      <c r="B32" s="302" t="s">
        <v>723</v>
      </c>
      <c r="C32" s="21">
        <f ca="1">IF(项目基本情况!B11="自然人","——",ROUND(C6*F32/(1+'数据-取费表'!C42),2))</f>
        <v>405.12</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868.11</v>
      </c>
      <c r="D33" s="1370" t="s">
        <v>3331</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44.29</v>
      </c>
      <c r="D34" s="324" t="s">
        <v>731</v>
      </c>
      <c r="E34" s="302" t="s">
        <v>732</v>
      </c>
      <c r="F34" s="325">
        <f>'数据-取费表'!B52</f>
        <v>24</v>
      </c>
      <c r="G34" s="1384"/>
      <c r="H34" s="2690"/>
      <c r="I34" s="1398"/>
      <c r="J34" s="1399"/>
      <c r="K34" s="2695"/>
      <c r="L34" s="2696"/>
      <c r="M34" s="2696"/>
    </row>
    <row r="35" spans="1:18" ht="18" customHeight="1">
      <c r="A35" s="1103"/>
      <c r="B35" s="1101"/>
      <c r="C35" s="26"/>
      <c r="D35" s="327"/>
      <c r="E35" s="302" t="s">
        <v>736</v>
      </c>
      <c r="F35" s="303">
        <f ca="1">INDIRECT("'数据-取费表'!r"&amp;$G$1)</f>
        <v>18455.759999999998</v>
      </c>
      <c r="G35" s="1384"/>
      <c r="H35" s="2690"/>
      <c r="I35" s="1398"/>
      <c r="J35" s="1399"/>
      <c r="K35" s="2694"/>
      <c r="L35" s="2693"/>
      <c r="M35" s="2693"/>
    </row>
    <row r="36" spans="1:18" ht="18" customHeight="1">
      <c r="A36" s="1102" t="s">
        <v>402</v>
      </c>
      <c r="B36" s="302" t="s">
        <v>738</v>
      </c>
      <c r="C36" s="21">
        <f ca="1">ROUND(C29*F36,2)</f>
        <v>100.19</v>
      </c>
      <c r="D36" s="1344" t="s">
        <v>771</v>
      </c>
      <c r="E36" s="302" t="s">
        <v>712</v>
      </c>
      <c r="F36" s="328">
        <f ca="1">INDIRECT("'数据-取费表'!Ak"&amp;$G$1)</f>
        <v>8.0000000000000002E-3</v>
      </c>
      <c r="G36" s="1384"/>
      <c r="H36" s="2693"/>
      <c r="I36" s="1398"/>
      <c r="J36" s="1399"/>
      <c r="K36" s="2537"/>
      <c r="L36" s="2693"/>
      <c r="M36" s="2693"/>
    </row>
    <row r="37" spans="1:18" ht="18" customHeight="1">
      <c r="A37" s="982" t="s">
        <v>437</v>
      </c>
      <c r="B37" s="302" t="s">
        <v>742</v>
      </c>
      <c r="C37" s="21">
        <f ca="1">ROUND(C13*F37,2)</f>
        <v>13.15</v>
      </c>
      <c r="D37" s="1344" t="s">
        <v>743</v>
      </c>
      <c r="E37" s="302" t="s">
        <v>744</v>
      </c>
      <c r="F37" s="330">
        <f ca="1">INDIRECT("'数据-取费表'!Al"&amp;$G$1)</f>
        <v>1.5E-3</v>
      </c>
      <c r="G37" s="1384"/>
      <c r="H37" s="2693"/>
      <c r="I37" s="1398"/>
      <c r="J37" s="1399"/>
      <c r="K37" s="2537"/>
      <c r="L37" s="2693"/>
      <c r="M37" s="2693"/>
    </row>
    <row r="38" spans="1:18" ht="18" customHeight="1" thickBot="1">
      <c r="A38" s="1089" t="s">
        <v>684</v>
      </c>
      <c r="B38" s="1090" t="s">
        <v>728</v>
      </c>
      <c r="C38" s="1091">
        <f ca="1">ROUND(C5*F38,2)</f>
        <v>60.84</v>
      </c>
      <c r="D38" s="1092" t="s">
        <v>748</v>
      </c>
      <c r="E38" s="1090" t="s">
        <v>744</v>
      </c>
      <c r="F38" s="1086">
        <f ca="1">INDIRECT("'数据-取费表'!Am"&amp;$G$1)</f>
        <v>8.0000000000000002E-3</v>
      </c>
      <c r="G38" s="1384"/>
      <c r="H38" s="2693"/>
      <c r="I38" s="1398"/>
      <c r="J38" s="1399"/>
      <c r="K38" s="2697"/>
      <c r="L38" s="2693"/>
      <c r="M38" s="2693"/>
    </row>
    <row r="39" spans="1:18" ht="24.6" customHeight="1" thickTop="1">
      <c r="A39" s="1079" t="s">
        <v>394</v>
      </c>
      <c r="B39" s="1094" t="s">
        <v>772</v>
      </c>
      <c r="C39" s="310">
        <f ca="1">C5-C30</f>
        <v>6113</v>
      </c>
      <c r="D39" s="1095" t="s">
        <v>773</v>
      </c>
      <c r="E39" s="1096"/>
      <c r="F39" s="1097"/>
      <c r="G39" s="1384"/>
      <c r="H39" s="2693"/>
      <c r="I39" s="1398"/>
      <c r="J39" s="1399"/>
      <c r="K39" s="2697"/>
      <c r="L39" s="2693"/>
      <c r="M39" s="2693"/>
    </row>
    <row r="40" spans="1:18" ht="18" customHeight="1">
      <c r="A40" s="299" t="s">
        <v>395</v>
      </c>
      <c r="B40" s="300" t="s">
        <v>774</v>
      </c>
      <c r="C40" s="301">
        <f ca="1">ROUND(C39*(1-((1+F42)/(1+F40))^F41)/(F40-F42),0)</f>
        <v>100619</v>
      </c>
      <c r="D40" s="324" t="s">
        <v>758</v>
      </c>
      <c r="E40" s="302" t="s">
        <v>759</v>
      </c>
      <c r="F40" s="312">
        <f ca="1">INDIRECT("'数据-取费表'!I"&amp;$G$1)</f>
        <v>5.5E-2</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23.6</v>
      </c>
      <c r="G41" s="1384"/>
      <c r="H41" s="1191"/>
      <c r="I41" s="1398"/>
      <c r="J41" s="1399"/>
      <c r="K41" s="2537"/>
      <c r="L41" s="1191"/>
      <c r="M41" s="1191"/>
    </row>
    <row r="42" spans="1:18" ht="18" customHeight="1">
      <c r="A42" s="308"/>
      <c r="B42" s="309"/>
      <c r="C42" s="310"/>
      <c r="D42" s="327"/>
      <c r="E42" s="302" t="s">
        <v>766</v>
      </c>
      <c r="F42" s="312">
        <f ca="1">INDIRECT("'数据-取费表'!v"&amp;$G$1)</f>
        <v>2.5000000000000001E-2</v>
      </c>
      <c r="G42" s="1384"/>
      <c r="H42" s="1191"/>
      <c r="I42" s="1398"/>
      <c r="J42" s="1399"/>
      <c r="K42" s="2537"/>
      <c r="L42" s="1191"/>
      <c r="M42" s="1191"/>
    </row>
    <row r="43" spans="1:18" ht="18" customHeight="1" thickBot="1">
      <c r="A43" s="334" t="s">
        <v>396</v>
      </c>
      <c r="B43" s="335" t="s">
        <v>776</v>
      </c>
      <c r="C43" s="336">
        <f ca="1">ROUND(C40*10000/F43,0)</f>
        <v>36989</v>
      </c>
      <c r="D43" s="337" t="s">
        <v>777</v>
      </c>
      <c r="E43" s="338" t="s">
        <v>778</v>
      </c>
      <c r="F43" s="339">
        <f ca="1">INDIRECT("'数据-取费表'!k"&amp;$G$1)</f>
        <v>27202.300000000003</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f ca="1">C68-C40</f>
        <v>-102667</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3406</v>
      </c>
      <c r="K47" s="1416" t="s">
        <v>816</v>
      </c>
      <c r="L47" s="1417">
        <f ca="1">INDIRECT("'数据-取费表'!d"&amp;$G$1)</f>
        <v>50</v>
      </c>
      <c r="M47" s="1380" t="str">
        <f>IF(ISNUMBER(FIND("住宅",C1)),"住宅","非住宅")</f>
        <v>非住宅</v>
      </c>
      <c r="O47" s="1418" t="s">
        <v>403</v>
      </c>
      <c r="P47" s="1419" t="s">
        <v>817</v>
      </c>
      <c r="Q47" s="1420">
        <f ca="1">C40+J29</f>
        <v>100619</v>
      </c>
      <c r="R47" s="1420" t="s">
        <v>818</v>
      </c>
    </row>
    <row r="48" spans="1:18" s="1384" customFormat="1" ht="28.5" thickBot="1">
      <c r="A48" s="1110" t="s">
        <v>438</v>
      </c>
      <c r="B48" s="300" t="s">
        <v>692</v>
      </c>
      <c r="C48" s="1359">
        <f ca="1">C49+C53+C55</f>
        <v>0</v>
      </c>
      <c r="D48" s="1112"/>
      <c r="E48" s="1113"/>
      <c r="F48" s="962"/>
      <c r="G48" s="722"/>
      <c r="H48" s="723"/>
      <c r="I48" s="1421" t="s">
        <v>819</v>
      </c>
      <c r="J48" s="1422" t="s">
        <v>3407</v>
      </c>
      <c r="K48" s="1423" t="s">
        <v>820</v>
      </c>
      <c r="L48" s="1424">
        <f ca="1">INDIRECT("'数据-取费表'!f"&amp;$G$1)</f>
        <v>23.6</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1990</v>
      </c>
      <c r="K49" s="1423" t="s">
        <v>824</v>
      </c>
      <c r="L49" s="1427"/>
      <c r="O49" s="1428" t="s">
        <v>405</v>
      </c>
      <c r="P49" s="1419" t="s">
        <v>825</v>
      </c>
      <c r="Q49" s="1420">
        <f ca="1">C29</f>
        <v>12524</v>
      </c>
      <c r="R49" s="1420" t="s">
        <v>818</v>
      </c>
    </row>
    <row r="50" spans="1:18" s="1384" customFormat="1" ht="13.5" thickBot="1">
      <c r="A50" s="976"/>
      <c r="B50" s="979"/>
      <c r="C50" s="1118"/>
      <c r="D50" s="953"/>
      <c r="E50" s="1056" t="s">
        <v>697</v>
      </c>
      <c r="F50" s="1057">
        <f ca="1">F7</f>
        <v>27202.300000000003</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27</v>
      </c>
      <c r="K51" s="1434" t="s">
        <v>830</v>
      </c>
      <c r="L51" s="1435">
        <f ca="1">ROUND(-PV(INDIRECT("'数据-取费表'!h"&amp;$G$1),J51,(C39-C13*C76),0),0)</f>
        <v>80527</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23.6</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6">
        <f ca="1">IF(M47="住宅",IF(D1="——",MAX(J51,L48),MAX(J51,L48-'数据-取费表'!B24)),IF(D1="——",MIN(J51,L48),MIN(J51,L48-'数据-取费表'!B24)))</f>
        <v>23.6</v>
      </c>
      <c r="K53" s="3636" t="s">
        <v>837</v>
      </c>
      <c r="L53" s="3637"/>
      <c r="O53" s="1418" t="s">
        <v>409</v>
      </c>
      <c r="P53" s="1419" t="s">
        <v>838</v>
      </c>
      <c r="Q53" s="1420">
        <f ca="1">Q47+Q48</f>
        <v>100619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8767</v>
      </c>
      <c r="D56" s="1447"/>
      <c r="E56" s="1448"/>
      <c r="F56" s="1440"/>
      <c r="I56" s="1449" t="s">
        <v>842</v>
      </c>
      <c r="J56" s="1450" t="s">
        <v>3416</v>
      </c>
      <c r="K56" s="1421" t="s">
        <v>843</v>
      </c>
      <c r="L56" s="1424" t="str">
        <f ca="1">IF(L48&lt;J51,"——",L48-J53)</f>
        <v>——</v>
      </c>
      <c r="O56" s="1418" t="s">
        <v>403</v>
      </c>
      <c r="P56" s="1419" t="s">
        <v>817</v>
      </c>
      <c r="Q56" s="1420">
        <f ca="1">C40+J29</f>
        <v>100619</v>
      </c>
      <c r="R56" s="1420" t="s">
        <v>818</v>
      </c>
    </row>
    <row r="57" spans="1:18" s="1384" customFormat="1" ht="24.75" thickBot="1">
      <c r="A57" s="1451"/>
      <c r="B57" s="950" t="s">
        <v>767</v>
      </c>
      <c r="C57" s="238">
        <f ca="1">C29</f>
        <v>12524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157</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44</v>
      </c>
      <c r="D59" s="963" t="s">
        <v>720</v>
      </c>
      <c r="E59" s="964" t="s">
        <v>721</v>
      </c>
      <c r="F59" s="2313"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44.29</v>
      </c>
      <c r="D62" s="965" t="s">
        <v>786</v>
      </c>
      <c r="E62" s="950" t="s">
        <v>787</v>
      </c>
      <c r="F62" s="325">
        <f t="shared" si="0"/>
        <v>24</v>
      </c>
      <c r="I62" s="1462" t="s">
        <v>858</v>
      </c>
      <c r="J62" s="1463" t="s">
        <v>859</v>
      </c>
      <c r="K62" s="1463" t="s">
        <v>860</v>
      </c>
      <c r="L62" s="1463" t="s">
        <v>861</v>
      </c>
      <c r="M62" s="1464" t="s">
        <v>862</v>
      </c>
      <c r="O62" s="1418" t="s">
        <v>409</v>
      </c>
      <c r="P62" s="1419" t="s">
        <v>863</v>
      </c>
      <c r="Q62" s="1420">
        <f ca="1">Q56+Q57</f>
        <v>100619</v>
      </c>
      <c r="R62" s="1420" t="s">
        <v>410</v>
      </c>
    </row>
    <row r="63" spans="1:18" s="1384" customFormat="1" ht="13.5" thickBot="1">
      <c r="A63" s="326"/>
      <c r="B63" s="956"/>
      <c r="C63" s="26"/>
      <c r="D63" s="966"/>
      <c r="E63" s="950" t="s">
        <v>788</v>
      </c>
      <c r="F63" s="303">
        <f t="shared" ca="1" si="0"/>
        <v>18455.759999999998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100.19</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13.15</v>
      </c>
      <c r="D65" s="964" t="s">
        <v>743</v>
      </c>
      <c r="E65" s="950" t="s">
        <v>744</v>
      </c>
      <c r="F65" s="330">
        <f t="shared" ca="1" si="0"/>
        <v>1.5E-3</v>
      </c>
      <c r="I65" s="1462" t="s">
        <v>867</v>
      </c>
      <c r="J65" s="1463">
        <v>40</v>
      </c>
      <c r="K65" s="1463">
        <v>30</v>
      </c>
      <c r="L65" s="1463">
        <v>50</v>
      </c>
      <c r="M65" s="1465">
        <v>0.02</v>
      </c>
      <c r="O65" s="1418" t="s">
        <v>403</v>
      </c>
      <c r="P65" s="1419" t="s">
        <v>868</v>
      </c>
      <c r="Q65" s="1420">
        <f ca="1">C40+J29</f>
        <v>100619</v>
      </c>
      <c r="R65" s="1420" t="s">
        <v>818</v>
      </c>
    </row>
    <row r="66" spans="1:18" s="1384" customFormat="1" ht="16.5" thickBot="1">
      <c r="A66" s="982" t="s">
        <v>793</v>
      </c>
      <c r="B66" s="950" t="s">
        <v>728</v>
      </c>
      <c r="C66" s="21">
        <f ca="1">ROUND(C48*F66,2)</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-157</v>
      </c>
      <c r="D67" s="963" t="s">
        <v>753</v>
      </c>
      <c r="E67" s="968"/>
      <c r="F67" s="969"/>
      <c r="O67" s="1428" t="s">
        <v>405</v>
      </c>
      <c r="P67" s="1419" t="s">
        <v>850</v>
      </c>
      <c r="Q67" s="1466">
        <f ca="1">L51</f>
        <v>80527</v>
      </c>
      <c r="R67" s="1420" t="s">
        <v>870</v>
      </c>
    </row>
    <row r="68" spans="1:18" s="1384" customFormat="1" ht="16.5" thickBot="1">
      <c r="A68" s="947" t="s">
        <v>395</v>
      </c>
      <c r="B68" s="948" t="s">
        <v>774</v>
      </c>
      <c r="C68" s="301">
        <f ca="1">ROUND(C67*(1-((1+F70)/(1+F68))^F69)/(F68-F70),0)</f>
        <v>-2048</v>
      </c>
      <c r="D68" s="965" t="s">
        <v>758</v>
      </c>
      <c r="E68" s="950" t="s">
        <v>759</v>
      </c>
      <c r="F68" s="312">
        <f ca="1">F40</f>
        <v>5.5E-2</v>
      </c>
      <c r="O68" s="1428" t="s">
        <v>406</v>
      </c>
      <c r="P68" s="1467" t="s">
        <v>871</v>
      </c>
      <c r="Q68" s="1420">
        <f ca="1">ROUND(Q69-Q70*Q71,0)</f>
        <v>5499</v>
      </c>
      <c r="R68" s="1420" t="s">
        <v>414</v>
      </c>
    </row>
    <row r="69" spans="1:18" s="1384" customFormat="1" ht="13.5" thickBot="1">
      <c r="A69" s="951"/>
      <c r="B69" s="952"/>
      <c r="C69" s="306"/>
      <c r="D69" s="970" t="s">
        <v>762</v>
      </c>
      <c r="E69" s="950" t="s">
        <v>763</v>
      </c>
      <c r="F69" s="333">
        <f ca="1">F41</f>
        <v>23.6</v>
      </c>
      <c r="O69" s="1428" t="s">
        <v>411</v>
      </c>
      <c r="P69" s="1467" t="s">
        <v>872</v>
      </c>
      <c r="Q69" s="1420">
        <f ca="1">C39</f>
        <v>6113</v>
      </c>
      <c r="R69" s="1420" t="s">
        <v>818</v>
      </c>
    </row>
    <row r="70" spans="1:18" s="1384" customFormat="1" ht="13.5" thickBot="1">
      <c r="A70" s="954"/>
      <c r="B70" s="955"/>
      <c r="C70" s="310"/>
      <c r="D70" s="966"/>
      <c r="E70" s="950" t="s">
        <v>766</v>
      </c>
      <c r="F70" s="1054"/>
      <c r="O70" s="1428" t="s">
        <v>412</v>
      </c>
      <c r="P70" s="1467" t="s">
        <v>873</v>
      </c>
      <c r="Q70" s="1420">
        <f ca="1">C13</f>
        <v>8767</v>
      </c>
      <c r="R70" s="1420" t="s">
        <v>818</v>
      </c>
    </row>
    <row r="71" spans="1:18" s="1384" customFormat="1" ht="13.5" thickBot="1">
      <c r="A71" s="971" t="s">
        <v>396</v>
      </c>
      <c r="B71" s="972" t="s">
        <v>776</v>
      </c>
      <c r="C71" s="336">
        <f ca="1">ROUND(C68*10000/F71,0)</f>
        <v>-753</v>
      </c>
      <c r="D71" s="973" t="s">
        <v>777</v>
      </c>
      <c r="E71" s="974" t="s">
        <v>778</v>
      </c>
      <c r="F71" s="339">
        <f ca="1">F43</f>
        <v>27202.300000000003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614</v>
      </c>
      <c r="D75" s="1384"/>
      <c r="E75" s="1384"/>
      <c r="F75" s="1384"/>
      <c r="K75" s="1402"/>
      <c r="L75" s="1384"/>
      <c r="O75" s="1418" t="s">
        <v>409</v>
      </c>
      <c r="P75" s="1419" t="s">
        <v>838</v>
      </c>
      <c r="Q75" s="1420">
        <f ca="1">Q65+Q66</f>
        <v>100619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0.9</v>
      </c>
    </row>
    <row r="80" spans="1:18">
      <c r="B80" s="340" t="s">
        <v>800</v>
      </c>
      <c r="C80" s="274">
        <f ca="1">ROUND(C75/C39,3)</f>
        <v>0.1</v>
      </c>
    </row>
    <row r="81" spans="2:3">
      <c r="B81" s="270" t="s">
        <v>801</v>
      </c>
      <c r="C81" s="238"/>
    </row>
    <row r="82" spans="2:3">
      <c r="B82" s="273" t="s">
        <v>802</v>
      </c>
      <c r="C82" s="275">
        <f ca="1">1-C83</f>
        <v>0.91300000000000003</v>
      </c>
    </row>
    <row r="83" spans="2:3">
      <c r="B83" s="273" t="s">
        <v>803</v>
      </c>
      <c r="C83" s="274">
        <f ca="1">ROUND(C13/C40,3)</f>
        <v>8.6999999999999994E-2</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zoomScaleNormal="100" zoomScaleSheetLayoutView="100" workbookViewId="0">
      <selection activeCell="M83" sqref="M83"/>
    </sheetView>
  </sheetViews>
  <sheetFormatPr defaultRowHeight="30" customHeight="1"/>
  <cols>
    <col min="1" max="1" width="4" style="3816" customWidth="1"/>
    <col min="2" max="2" width="8" style="3816" customWidth="1"/>
    <col min="3" max="3" width="12.875" style="3874" customWidth="1"/>
    <col min="4" max="4" width="31.375" style="3874" customWidth="1"/>
    <col min="5" max="5" width="9.375" style="3816" customWidth="1"/>
    <col min="6" max="6" width="12.625" style="3816" customWidth="1"/>
    <col min="7" max="7" width="8" style="3875" customWidth="1"/>
    <col min="8" max="8" width="9.25" style="3816" customWidth="1"/>
    <col min="9" max="9" width="10.5" style="3816" customWidth="1"/>
    <col min="10" max="10" width="12.125" style="3816" customWidth="1"/>
    <col min="11" max="11" width="12.25" style="3816" customWidth="1"/>
    <col min="12" max="12" width="12.125" style="3816" bestFit="1" customWidth="1"/>
    <col min="13" max="13" width="11" style="3816" bestFit="1" customWidth="1"/>
    <col min="14" max="14" width="9" style="3816"/>
    <col min="15" max="15" width="12.125" style="3816" bestFit="1" customWidth="1"/>
    <col min="16" max="256" width="9" style="3816"/>
    <col min="257" max="257" width="4" style="3816" customWidth="1"/>
    <col min="258" max="258" width="8" style="3816" customWidth="1"/>
    <col min="259" max="259" width="12.875" style="3816" customWidth="1"/>
    <col min="260" max="260" width="31.375" style="3816" customWidth="1"/>
    <col min="261" max="261" width="9.375" style="3816" customWidth="1"/>
    <col min="262" max="262" width="12.625" style="3816" customWidth="1"/>
    <col min="263" max="263" width="8" style="3816" customWidth="1"/>
    <col min="264" max="264" width="9.25" style="3816" customWidth="1"/>
    <col min="265" max="265" width="10.5" style="3816" customWidth="1"/>
    <col min="266" max="266" width="12.125" style="3816" customWidth="1"/>
    <col min="267" max="267" width="12.25" style="3816" customWidth="1"/>
    <col min="268" max="268" width="9" style="3816"/>
    <col min="269" max="269" width="11" style="3816" bestFit="1" customWidth="1"/>
    <col min="270" max="270" width="9" style="3816"/>
    <col min="271" max="271" width="12.125" style="3816" bestFit="1" customWidth="1"/>
    <col min="272" max="512" width="9" style="3816"/>
    <col min="513" max="513" width="4" style="3816" customWidth="1"/>
    <col min="514" max="514" width="8" style="3816" customWidth="1"/>
    <col min="515" max="515" width="12.875" style="3816" customWidth="1"/>
    <col min="516" max="516" width="31.375" style="3816" customWidth="1"/>
    <col min="517" max="517" width="9.375" style="3816" customWidth="1"/>
    <col min="518" max="518" width="12.625" style="3816" customWidth="1"/>
    <col min="519" max="519" width="8" style="3816" customWidth="1"/>
    <col min="520" max="520" width="9.25" style="3816" customWidth="1"/>
    <col min="521" max="521" width="10.5" style="3816" customWidth="1"/>
    <col min="522" max="522" width="12.125" style="3816" customWidth="1"/>
    <col min="523" max="523" width="12.25" style="3816" customWidth="1"/>
    <col min="524" max="524" width="9" style="3816"/>
    <col min="525" max="525" width="11" style="3816" bestFit="1" customWidth="1"/>
    <col min="526" max="526" width="9" style="3816"/>
    <col min="527" max="527" width="12.125" style="3816" bestFit="1" customWidth="1"/>
    <col min="528" max="768" width="9" style="3816"/>
    <col min="769" max="769" width="4" style="3816" customWidth="1"/>
    <col min="770" max="770" width="8" style="3816" customWidth="1"/>
    <col min="771" max="771" width="12.875" style="3816" customWidth="1"/>
    <col min="772" max="772" width="31.375" style="3816" customWidth="1"/>
    <col min="773" max="773" width="9.375" style="3816" customWidth="1"/>
    <col min="774" max="774" width="12.625" style="3816" customWidth="1"/>
    <col min="775" max="775" width="8" style="3816" customWidth="1"/>
    <col min="776" max="776" width="9.25" style="3816" customWidth="1"/>
    <col min="777" max="777" width="10.5" style="3816" customWidth="1"/>
    <col min="778" max="778" width="12.125" style="3816" customWidth="1"/>
    <col min="779" max="779" width="12.25" style="3816" customWidth="1"/>
    <col min="780" max="780" width="9" style="3816"/>
    <col min="781" max="781" width="11" style="3816" bestFit="1" customWidth="1"/>
    <col min="782" max="782" width="9" style="3816"/>
    <col min="783" max="783" width="12.125" style="3816" bestFit="1" customWidth="1"/>
    <col min="784" max="1024" width="9" style="3816"/>
    <col min="1025" max="1025" width="4" style="3816" customWidth="1"/>
    <col min="1026" max="1026" width="8" style="3816" customWidth="1"/>
    <col min="1027" max="1027" width="12.875" style="3816" customWidth="1"/>
    <col min="1028" max="1028" width="31.375" style="3816" customWidth="1"/>
    <col min="1029" max="1029" width="9.375" style="3816" customWidth="1"/>
    <col min="1030" max="1030" width="12.625" style="3816" customWidth="1"/>
    <col min="1031" max="1031" width="8" style="3816" customWidth="1"/>
    <col min="1032" max="1032" width="9.25" style="3816" customWidth="1"/>
    <col min="1033" max="1033" width="10.5" style="3816" customWidth="1"/>
    <col min="1034" max="1034" width="12.125" style="3816" customWidth="1"/>
    <col min="1035" max="1035" width="12.25" style="3816" customWidth="1"/>
    <col min="1036" max="1036" width="9" style="3816"/>
    <col min="1037" max="1037" width="11" style="3816" bestFit="1" customWidth="1"/>
    <col min="1038" max="1038" width="9" style="3816"/>
    <col min="1039" max="1039" width="12.125" style="3816" bestFit="1" customWidth="1"/>
    <col min="1040" max="1280" width="9" style="3816"/>
    <col min="1281" max="1281" width="4" style="3816" customWidth="1"/>
    <col min="1282" max="1282" width="8" style="3816" customWidth="1"/>
    <col min="1283" max="1283" width="12.875" style="3816" customWidth="1"/>
    <col min="1284" max="1284" width="31.375" style="3816" customWidth="1"/>
    <col min="1285" max="1285" width="9.375" style="3816" customWidth="1"/>
    <col min="1286" max="1286" width="12.625" style="3816" customWidth="1"/>
    <col min="1287" max="1287" width="8" style="3816" customWidth="1"/>
    <col min="1288" max="1288" width="9.25" style="3816" customWidth="1"/>
    <col min="1289" max="1289" width="10.5" style="3816" customWidth="1"/>
    <col min="1290" max="1290" width="12.125" style="3816" customWidth="1"/>
    <col min="1291" max="1291" width="12.25" style="3816" customWidth="1"/>
    <col min="1292" max="1292" width="9" style="3816"/>
    <col min="1293" max="1293" width="11" style="3816" bestFit="1" customWidth="1"/>
    <col min="1294" max="1294" width="9" style="3816"/>
    <col min="1295" max="1295" width="12.125" style="3816" bestFit="1" customWidth="1"/>
    <col min="1296" max="1536" width="9" style="3816"/>
    <col min="1537" max="1537" width="4" style="3816" customWidth="1"/>
    <col min="1538" max="1538" width="8" style="3816" customWidth="1"/>
    <col min="1539" max="1539" width="12.875" style="3816" customWidth="1"/>
    <col min="1540" max="1540" width="31.375" style="3816" customWidth="1"/>
    <col min="1541" max="1541" width="9.375" style="3816" customWidth="1"/>
    <col min="1542" max="1542" width="12.625" style="3816" customWidth="1"/>
    <col min="1543" max="1543" width="8" style="3816" customWidth="1"/>
    <col min="1544" max="1544" width="9.25" style="3816" customWidth="1"/>
    <col min="1545" max="1545" width="10.5" style="3816" customWidth="1"/>
    <col min="1546" max="1546" width="12.125" style="3816" customWidth="1"/>
    <col min="1547" max="1547" width="12.25" style="3816" customWidth="1"/>
    <col min="1548" max="1548" width="9" style="3816"/>
    <col min="1549" max="1549" width="11" style="3816" bestFit="1" customWidth="1"/>
    <col min="1550" max="1550" width="9" style="3816"/>
    <col min="1551" max="1551" width="12.125" style="3816" bestFit="1" customWidth="1"/>
    <col min="1552" max="1792" width="9" style="3816"/>
    <col min="1793" max="1793" width="4" style="3816" customWidth="1"/>
    <col min="1794" max="1794" width="8" style="3816" customWidth="1"/>
    <col min="1795" max="1795" width="12.875" style="3816" customWidth="1"/>
    <col min="1796" max="1796" width="31.375" style="3816" customWidth="1"/>
    <col min="1797" max="1797" width="9.375" style="3816" customWidth="1"/>
    <col min="1798" max="1798" width="12.625" style="3816" customWidth="1"/>
    <col min="1799" max="1799" width="8" style="3816" customWidth="1"/>
    <col min="1800" max="1800" width="9.25" style="3816" customWidth="1"/>
    <col min="1801" max="1801" width="10.5" style="3816" customWidth="1"/>
    <col min="1802" max="1802" width="12.125" style="3816" customWidth="1"/>
    <col min="1803" max="1803" width="12.25" style="3816" customWidth="1"/>
    <col min="1804" max="1804" width="9" style="3816"/>
    <col min="1805" max="1805" width="11" style="3816" bestFit="1" customWidth="1"/>
    <col min="1806" max="1806" width="9" style="3816"/>
    <col min="1807" max="1807" width="12.125" style="3816" bestFit="1" customWidth="1"/>
    <col min="1808" max="2048" width="9" style="3816"/>
    <col min="2049" max="2049" width="4" style="3816" customWidth="1"/>
    <col min="2050" max="2050" width="8" style="3816" customWidth="1"/>
    <col min="2051" max="2051" width="12.875" style="3816" customWidth="1"/>
    <col min="2052" max="2052" width="31.375" style="3816" customWidth="1"/>
    <col min="2053" max="2053" width="9.375" style="3816" customWidth="1"/>
    <col min="2054" max="2054" width="12.625" style="3816" customWidth="1"/>
    <col min="2055" max="2055" width="8" style="3816" customWidth="1"/>
    <col min="2056" max="2056" width="9.25" style="3816" customWidth="1"/>
    <col min="2057" max="2057" width="10.5" style="3816" customWidth="1"/>
    <col min="2058" max="2058" width="12.125" style="3816" customWidth="1"/>
    <col min="2059" max="2059" width="12.25" style="3816" customWidth="1"/>
    <col min="2060" max="2060" width="9" style="3816"/>
    <col min="2061" max="2061" width="11" style="3816" bestFit="1" customWidth="1"/>
    <col min="2062" max="2062" width="9" style="3816"/>
    <col min="2063" max="2063" width="12.125" style="3816" bestFit="1" customWidth="1"/>
    <col min="2064" max="2304" width="9" style="3816"/>
    <col min="2305" max="2305" width="4" style="3816" customWidth="1"/>
    <col min="2306" max="2306" width="8" style="3816" customWidth="1"/>
    <col min="2307" max="2307" width="12.875" style="3816" customWidth="1"/>
    <col min="2308" max="2308" width="31.375" style="3816" customWidth="1"/>
    <col min="2309" max="2309" width="9.375" style="3816" customWidth="1"/>
    <col min="2310" max="2310" width="12.625" style="3816" customWidth="1"/>
    <col min="2311" max="2311" width="8" style="3816" customWidth="1"/>
    <col min="2312" max="2312" width="9.25" style="3816" customWidth="1"/>
    <col min="2313" max="2313" width="10.5" style="3816" customWidth="1"/>
    <col min="2314" max="2314" width="12.125" style="3816" customWidth="1"/>
    <col min="2315" max="2315" width="12.25" style="3816" customWidth="1"/>
    <col min="2316" max="2316" width="9" style="3816"/>
    <col min="2317" max="2317" width="11" style="3816" bestFit="1" customWidth="1"/>
    <col min="2318" max="2318" width="9" style="3816"/>
    <col min="2319" max="2319" width="12.125" style="3816" bestFit="1" customWidth="1"/>
    <col min="2320" max="2560" width="9" style="3816"/>
    <col min="2561" max="2561" width="4" style="3816" customWidth="1"/>
    <col min="2562" max="2562" width="8" style="3816" customWidth="1"/>
    <col min="2563" max="2563" width="12.875" style="3816" customWidth="1"/>
    <col min="2564" max="2564" width="31.375" style="3816" customWidth="1"/>
    <col min="2565" max="2565" width="9.375" style="3816" customWidth="1"/>
    <col min="2566" max="2566" width="12.625" style="3816" customWidth="1"/>
    <col min="2567" max="2567" width="8" style="3816" customWidth="1"/>
    <col min="2568" max="2568" width="9.25" style="3816" customWidth="1"/>
    <col min="2569" max="2569" width="10.5" style="3816" customWidth="1"/>
    <col min="2570" max="2570" width="12.125" style="3816" customWidth="1"/>
    <col min="2571" max="2571" width="12.25" style="3816" customWidth="1"/>
    <col min="2572" max="2572" width="9" style="3816"/>
    <col min="2573" max="2573" width="11" style="3816" bestFit="1" customWidth="1"/>
    <col min="2574" max="2574" width="9" style="3816"/>
    <col min="2575" max="2575" width="12.125" style="3816" bestFit="1" customWidth="1"/>
    <col min="2576" max="2816" width="9" style="3816"/>
    <col min="2817" max="2817" width="4" style="3816" customWidth="1"/>
    <col min="2818" max="2818" width="8" style="3816" customWidth="1"/>
    <col min="2819" max="2819" width="12.875" style="3816" customWidth="1"/>
    <col min="2820" max="2820" width="31.375" style="3816" customWidth="1"/>
    <col min="2821" max="2821" width="9.375" style="3816" customWidth="1"/>
    <col min="2822" max="2822" width="12.625" style="3816" customWidth="1"/>
    <col min="2823" max="2823" width="8" style="3816" customWidth="1"/>
    <col min="2824" max="2824" width="9.25" style="3816" customWidth="1"/>
    <col min="2825" max="2825" width="10.5" style="3816" customWidth="1"/>
    <col min="2826" max="2826" width="12.125" style="3816" customWidth="1"/>
    <col min="2827" max="2827" width="12.25" style="3816" customWidth="1"/>
    <col min="2828" max="2828" width="9" style="3816"/>
    <col min="2829" max="2829" width="11" style="3816" bestFit="1" customWidth="1"/>
    <col min="2830" max="2830" width="9" style="3816"/>
    <col min="2831" max="2831" width="12.125" style="3816" bestFit="1" customWidth="1"/>
    <col min="2832" max="3072" width="9" style="3816"/>
    <col min="3073" max="3073" width="4" style="3816" customWidth="1"/>
    <col min="3074" max="3074" width="8" style="3816" customWidth="1"/>
    <col min="3075" max="3075" width="12.875" style="3816" customWidth="1"/>
    <col min="3076" max="3076" width="31.375" style="3816" customWidth="1"/>
    <col min="3077" max="3077" width="9.375" style="3816" customWidth="1"/>
    <col min="3078" max="3078" width="12.625" style="3816" customWidth="1"/>
    <col min="3079" max="3079" width="8" style="3816" customWidth="1"/>
    <col min="3080" max="3080" width="9.25" style="3816" customWidth="1"/>
    <col min="3081" max="3081" width="10.5" style="3816" customWidth="1"/>
    <col min="3082" max="3082" width="12.125" style="3816" customWidth="1"/>
    <col min="3083" max="3083" width="12.25" style="3816" customWidth="1"/>
    <col min="3084" max="3084" width="9" style="3816"/>
    <col min="3085" max="3085" width="11" style="3816" bestFit="1" customWidth="1"/>
    <col min="3086" max="3086" width="9" style="3816"/>
    <col min="3087" max="3087" width="12.125" style="3816" bestFit="1" customWidth="1"/>
    <col min="3088" max="3328" width="9" style="3816"/>
    <col min="3329" max="3329" width="4" style="3816" customWidth="1"/>
    <col min="3330" max="3330" width="8" style="3816" customWidth="1"/>
    <col min="3331" max="3331" width="12.875" style="3816" customWidth="1"/>
    <col min="3332" max="3332" width="31.375" style="3816" customWidth="1"/>
    <col min="3333" max="3333" width="9.375" style="3816" customWidth="1"/>
    <col min="3334" max="3334" width="12.625" style="3816" customWidth="1"/>
    <col min="3335" max="3335" width="8" style="3816" customWidth="1"/>
    <col min="3336" max="3336" width="9.25" style="3816" customWidth="1"/>
    <col min="3337" max="3337" width="10.5" style="3816" customWidth="1"/>
    <col min="3338" max="3338" width="12.125" style="3816" customWidth="1"/>
    <col min="3339" max="3339" width="12.25" style="3816" customWidth="1"/>
    <col min="3340" max="3340" width="9" style="3816"/>
    <col min="3341" max="3341" width="11" style="3816" bestFit="1" customWidth="1"/>
    <col min="3342" max="3342" width="9" style="3816"/>
    <col min="3343" max="3343" width="12.125" style="3816" bestFit="1" customWidth="1"/>
    <col min="3344" max="3584" width="9" style="3816"/>
    <col min="3585" max="3585" width="4" style="3816" customWidth="1"/>
    <col min="3586" max="3586" width="8" style="3816" customWidth="1"/>
    <col min="3587" max="3587" width="12.875" style="3816" customWidth="1"/>
    <col min="3588" max="3588" width="31.375" style="3816" customWidth="1"/>
    <col min="3589" max="3589" width="9.375" style="3816" customWidth="1"/>
    <col min="3590" max="3590" width="12.625" style="3816" customWidth="1"/>
    <col min="3591" max="3591" width="8" style="3816" customWidth="1"/>
    <col min="3592" max="3592" width="9.25" style="3816" customWidth="1"/>
    <col min="3593" max="3593" width="10.5" style="3816" customWidth="1"/>
    <col min="3594" max="3594" width="12.125" style="3816" customWidth="1"/>
    <col min="3595" max="3595" width="12.25" style="3816" customWidth="1"/>
    <col min="3596" max="3596" width="9" style="3816"/>
    <col min="3597" max="3597" width="11" style="3816" bestFit="1" customWidth="1"/>
    <col min="3598" max="3598" width="9" style="3816"/>
    <col min="3599" max="3599" width="12.125" style="3816" bestFit="1" customWidth="1"/>
    <col min="3600" max="3840" width="9" style="3816"/>
    <col min="3841" max="3841" width="4" style="3816" customWidth="1"/>
    <col min="3842" max="3842" width="8" style="3816" customWidth="1"/>
    <col min="3843" max="3843" width="12.875" style="3816" customWidth="1"/>
    <col min="3844" max="3844" width="31.375" style="3816" customWidth="1"/>
    <col min="3845" max="3845" width="9.375" style="3816" customWidth="1"/>
    <col min="3846" max="3846" width="12.625" style="3816" customWidth="1"/>
    <col min="3847" max="3847" width="8" style="3816" customWidth="1"/>
    <col min="3848" max="3848" width="9.25" style="3816" customWidth="1"/>
    <col min="3849" max="3849" width="10.5" style="3816" customWidth="1"/>
    <col min="3850" max="3850" width="12.125" style="3816" customWidth="1"/>
    <col min="3851" max="3851" width="12.25" style="3816" customWidth="1"/>
    <col min="3852" max="3852" width="9" style="3816"/>
    <col min="3853" max="3853" width="11" style="3816" bestFit="1" customWidth="1"/>
    <col min="3854" max="3854" width="9" style="3816"/>
    <col min="3855" max="3855" width="12.125" style="3816" bestFit="1" customWidth="1"/>
    <col min="3856" max="4096" width="9" style="3816"/>
    <col min="4097" max="4097" width="4" style="3816" customWidth="1"/>
    <col min="4098" max="4098" width="8" style="3816" customWidth="1"/>
    <col min="4099" max="4099" width="12.875" style="3816" customWidth="1"/>
    <col min="4100" max="4100" width="31.375" style="3816" customWidth="1"/>
    <col min="4101" max="4101" width="9.375" style="3816" customWidth="1"/>
    <col min="4102" max="4102" width="12.625" style="3816" customWidth="1"/>
    <col min="4103" max="4103" width="8" style="3816" customWidth="1"/>
    <col min="4104" max="4104" width="9.25" style="3816" customWidth="1"/>
    <col min="4105" max="4105" width="10.5" style="3816" customWidth="1"/>
    <col min="4106" max="4106" width="12.125" style="3816" customWidth="1"/>
    <col min="4107" max="4107" width="12.25" style="3816" customWidth="1"/>
    <col min="4108" max="4108" width="9" style="3816"/>
    <col min="4109" max="4109" width="11" style="3816" bestFit="1" customWidth="1"/>
    <col min="4110" max="4110" width="9" style="3816"/>
    <col min="4111" max="4111" width="12.125" style="3816" bestFit="1" customWidth="1"/>
    <col min="4112" max="4352" width="9" style="3816"/>
    <col min="4353" max="4353" width="4" style="3816" customWidth="1"/>
    <col min="4354" max="4354" width="8" style="3816" customWidth="1"/>
    <col min="4355" max="4355" width="12.875" style="3816" customWidth="1"/>
    <col min="4356" max="4356" width="31.375" style="3816" customWidth="1"/>
    <col min="4357" max="4357" width="9.375" style="3816" customWidth="1"/>
    <col min="4358" max="4358" width="12.625" style="3816" customWidth="1"/>
    <col min="4359" max="4359" width="8" style="3816" customWidth="1"/>
    <col min="4360" max="4360" width="9.25" style="3816" customWidth="1"/>
    <col min="4361" max="4361" width="10.5" style="3816" customWidth="1"/>
    <col min="4362" max="4362" width="12.125" style="3816" customWidth="1"/>
    <col min="4363" max="4363" width="12.25" style="3816" customWidth="1"/>
    <col min="4364" max="4364" width="9" style="3816"/>
    <col min="4365" max="4365" width="11" style="3816" bestFit="1" customWidth="1"/>
    <col min="4366" max="4366" width="9" style="3816"/>
    <col min="4367" max="4367" width="12.125" style="3816" bestFit="1" customWidth="1"/>
    <col min="4368" max="4608" width="9" style="3816"/>
    <col min="4609" max="4609" width="4" style="3816" customWidth="1"/>
    <col min="4610" max="4610" width="8" style="3816" customWidth="1"/>
    <col min="4611" max="4611" width="12.875" style="3816" customWidth="1"/>
    <col min="4612" max="4612" width="31.375" style="3816" customWidth="1"/>
    <col min="4613" max="4613" width="9.375" style="3816" customWidth="1"/>
    <col min="4614" max="4614" width="12.625" style="3816" customWidth="1"/>
    <col min="4615" max="4615" width="8" style="3816" customWidth="1"/>
    <col min="4616" max="4616" width="9.25" style="3816" customWidth="1"/>
    <col min="4617" max="4617" width="10.5" style="3816" customWidth="1"/>
    <col min="4618" max="4618" width="12.125" style="3816" customWidth="1"/>
    <col min="4619" max="4619" width="12.25" style="3816" customWidth="1"/>
    <col min="4620" max="4620" width="9" style="3816"/>
    <col min="4621" max="4621" width="11" style="3816" bestFit="1" customWidth="1"/>
    <col min="4622" max="4622" width="9" style="3816"/>
    <col min="4623" max="4623" width="12.125" style="3816" bestFit="1" customWidth="1"/>
    <col min="4624" max="4864" width="9" style="3816"/>
    <col min="4865" max="4865" width="4" style="3816" customWidth="1"/>
    <col min="4866" max="4866" width="8" style="3816" customWidth="1"/>
    <col min="4867" max="4867" width="12.875" style="3816" customWidth="1"/>
    <col min="4868" max="4868" width="31.375" style="3816" customWidth="1"/>
    <col min="4869" max="4869" width="9.375" style="3816" customWidth="1"/>
    <col min="4870" max="4870" width="12.625" style="3816" customWidth="1"/>
    <col min="4871" max="4871" width="8" style="3816" customWidth="1"/>
    <col min="4872" max="4872" width="9.25" style="3816" customWidth="1"/>
    <col min="4873" max="4873" width="10.5" style="3816" customWidth="1"/>
    <col min="4874" max="4874" width="12.125" style="3816" customWidth="1"/>
    <col min="4875" max="4875" width="12.25" style="3816" customWidth="1"/>
    <col min="4876" max="4876" width="9" style="3816"/>
    <col min="4877" max="4877" width="11" style="3816" bestFit="1" customWidth="1"/>
    <col min="4878" max="4878" width="9" style="3816"/>
    <col min="4879" max="4879" width="12.125" style="3816" bestFit="1" customWidth="1"/>
    <col min="4880" max="5120" width="9" style="3816"/>
    <col min="5121" max="5121" width="4" style="3816" customWidth="1"/>
    <col min="5122" max="5122" width="8" style="3816" customWidth="1"/>
    <col min="5123" max="5123" width="12.875" style="3816" customWidth="1"/>
    <col min="5124" max="5124" width="31.375" style="3816" customWidth="1"/>
    <col min="5125" max="5125" width="9.375" style="3816" customWidth="1"/>
    <col min="5126" max="5126" width="12.625" style="3816" customWidth="1"/>
    <col min="5127" max="5127" width="8" style="3816" customWidth="1"/>
    <col min="5128" max="5128" width="9.25" style="3816" customWidth="1"/>
    <col min="5129" max="5129" width="10.5" style="3816" customWidth="1"/>
    <col min="5130" max="5130" width="12.125" style="3816" customWidth="1"/>
    <col min="5131" max="5131" width="12.25" style="3816" customWidth="1"/>
    <col min="5132" max="5132" width="9" style="3816"/>
    <col min="5133" max="5133" width="11" style="3816" bestFit="1" customWidth="1"/>
    <col min="5134" max="5134" width="9" style="3816"/>
    <col min="5135" max="5135" width="12.125" style="3816" bestFit="1" customWidth="1"/>
    <col min="5136" max="5376" width="9" style="3816"/>
    <col min="5377" max="5377" width="4" style="3816" customWidth="1"/>
    <col min="5378" max="5378" width="8" style="3816" customWidth="1"/>
    <col min="5379" max="5379" width="12.875" style="3816" customWidth="1"/>
    <col min="5380" max="5380" width="31.375" style="3816" customWidth="1"/>
    <col min="5381" max="5381" width="9.375" style="3816" customWidth="1"/>
    <col min="5382" max="5382" width="12.625" style="3816" customWidth="1"/>
    <col min="5383" max="5383" width="8" style="3816" customWidth="1"/>
    <col min="5384" max="5384" width="9.25" style="3816" customWidth="1"/>
    <col min="5385" max="5385" width="10.5" style="3816" customWidth="1"/>
    <col min="5386" max="5386" width="12.125" style="3816" customWidth="1"/>
    <col min="5387" max="5387" width="12.25" style="3816" customWidth="1"/>
    <col min="5388" max="5388" width="9" style="3816"/>
    <col min="5389" max="5389" width="11" style="3816" bestFit="1" customWidth="1"/>
    <col min="5390" max="5390" width="9" style="3816"/>
    <col min="5391" max="5391" width="12.125" style="3816" bestFit="1" customWidth="1"/>
    <col min="5392" max="5632" width="9" style="3816"/>
    <col min="5633" max="5633" width="4" style="3816" customWidth="1"/>
    <col min="5634" max="5634" width="8" style="3816" customWidth="1"/>
    <col min="5635" max="5635" width="12.875" style="3816" customWidth="1"/>
    <col min="5636" max="5636" width="31.375" style="3816" customWidth="1"/>
    <col min="5637" max="5637" width="9.375" style="3816" customWidth="1"/>
    <col min="5638" max="5638" width="12.625" style="3816" customWidth="1"/>
    <col min="5639" max="5639" width="8" style="3816" customWidth="1"/>
    <col min="5640" max="5640" width="9.25" style="3816" customWidth="1"/>
    <col min="5641" max="5641" width="10.5" style="3816" customWidth="1"/>
    <col min="5642" max="5642" width="12.125" style="3816" customWidth="1"/>
    <col min="5643" max="5643" width="12.25" style="3816" customWidth="1"/>
    <col min="5644" max="5644" width="9" style="3816"/>
    <col min="5645" max="5645" width="11" style="3816" bestFit="1" customWidth="1"/>
    <col min="5646" max="5646" width="9" style="3816"/>
    <col min="5647" max="5647" width="12.125" style="3816" bestFit="1" customWidth="1"/>
    <col min="5648" max="5888" width="9" style="3816"/>
    <col min="5889" max="5889" width="4" style="3816" customWidth="1"/>
    <col min="5890" max="5890" width="8" style="3816" customWidth="1"/>
    <col min="5891" max="5891" width="12.875" style="3816" customWidth="1"/>
    <col min="5892" max="5892" width="31.375" style="3816" customWidth="1"/>
    <col min="5893" max="5893" width="9.375" style="3816" customWidth="1"/>
    <col min="5894" max="5894" width="12.625" style="3816" customWidth="1"/>
    <col min="5895" max="5895" width="8" style="3816" customWidth="1"/>
    <col min="5896" max="5896" width="9.25" style="3816" customWidth="1"/>
    <col min="5897" max="5897" width="10.5" style="3816" customWidth="1"/>
    <col min="5898" max="5898" width="12.125" style="3816" customWidth="1"/>
    <col min="5899" max="5899" width="12.25" style="3816" customWidth="1"/>
    <col min="5900" max="5900" width="9" style="3816"/>
    <col min="5901" max="5901" width="11" style="3816" bestFit="1" customWidth="1"/>
    <col min="5902" max="5902" width="9" style="3816"/>
    <col min="5903" max="5903" width="12.125" style="3816" bestFit="1" customWidth="1"/>
    <col min="5904" max="6144" width="9" style="3816"/>
    <col min="6145" max="6145" width="4" style="3816" customWidth="1"/>
    <col min="6146" max="6146" width="8" style="3816" customWidth="1"/>
    <col min="6147" max="6147" width="12.875" style="3816" customWidth="1"/>
    <col min="6148" max="6148" width="31.375" style="3816" customWidth="1"/>
    <col min="6149" max="6149" width="9.375" style="3816" customWidth="1"/>
    <col min="6150" max="6150" width="12.625" style="3816" customWidth="1"/>
    <col min="6151" max="6151" width="8" style="3816" customWidth="1"/>
    <col min="6152" max="6152" width="9.25" style="3816" customWidth="1"/>
    <col min="6153" max="6153" width="10.5" style="3816" customWidth="1"/>
    <col min="6154" max="6154" width="12.125" style="3816" customWidth="1"/>
    <col min="6155" max="6155" width="12.25" style="3816" customWidth="1"/>
    <col min="6156" max="6156" width="9" style="3816"/>
    <col min="6157" max="6157" width="11" style="3816" bestFit="1" customWidth="1"/>
    <col min="6158" max="6158" width="9" style="3816"/>
    <col min="6159" max="6159" width="12.125" style="3816" bestFit="1" customWidth="1"/>
    <col min="6160" max="6400" width="9" style="3816"/>
    <col min="6401" max="6401" width="4" style="3816" customWidth="1"/>
    <col min="6402" max="6402" width="8" style="3816" customWidth="1"/>
    <col min="6403" max="6403" width="12.875" style="3816" customWidth="1"/>
    <col min="6404" max="6404" width="31.375" style="3816" customWidth="1"/>
    <col min="6405" max="6405" width="9.375" style="3816" customWidth="1"/>
    <col min="6406" max="6406" width="12.625" style="3816" customWidth="1"/>
    <col min="6407" max="6407" width="8" style="3816" customWidth="1"/>
    <col min="6408" max="6408" width="9.25" style="3816" customWidth="1"/>
    <col min="6409" max="6409" width="10.5" style="3816" customWidth="1"/>
    <col min="6410" max="6410" width="12.125" style="3816" customWidth="1"/>
    <col min="6411" max="6411" width="12.25" style="3816" customWidth="1"/>
    <col min="6412" max="6412" width="9" style="3816"/>
    <col min="6413" max="6413" width="11" style="3816" bestFit="1" customWidth="1"/>
    <col min="6414" max="6414" width="9" style="3816"/>
    <col min="6415" max="6415" width="12.125" style="3816" bestFit="1" customWidth="1"/>
    <col min="6416" max="6656" width="9" style="3816"/>
    <col min="6657" max="6657" width="4" style="3816" customWidth="1"/>
    <col min="6658" max="6658" width="8" style="3816" customWidth="1"/>
    <col min="6659" max="6659" width="12.875" style="3816" customWidth="1"/>
    <col min="6660" max="6660" width="31.375" style="3816" customWidth="1"/>
    <col min="6661" max="6661" width="9.375" style="3816" customWidth="1"/>
    <col min="6662" max="6662" width="12.625" style="3816" customWidth="1"/>
    <col min="6663" max="6663" width="8" style="3816" customWidth="1"/>
    <col min="6664" max="6664" width="9.25" style="3816" customWidth="1"/>
    <col min="6665" max="6665" width="10.5" style="3816" customWidth="1"/>
    <col min="6666" max="6666" width="12.125" style="3816" customWidth="1"/>
    <col min="6667" max="6667" width="12.25" style="3816" customWidth="1"/>
    <col min="6668" max="6668" width="9" style="3816"/>
    <col min="6669" max="6669" width="11" style="3816" bestFit="1" customWidth="1"/>
    <col min="6670" max="6670" width="9" style="3816"/>
    <col min="6671" max="6671" width="12.125" style="3816" bestFit="1" customWidth="1"/>
    <col min="6672" max="6912" width="9" style="3816"/>
    <col min="6913" max="6913" width="4" style="3816" customWidth="1"/>
    <col min="6914" max="6914" width="8" style="3816" customWidth="1"/>
    <col min="6915" max="6915" width="12.875" style="3816" customWidth="1"/>
    <col min="6916" max="6916" width="31.375" style="3816" customWidth="1"/>
    <col min="6917" max="6917" width="9.375" style="3816" customWidth="1"/>
    <col min="6918" max="6918" width="12.625" style="3816" customWidth="1"/>
    <col min="6919" max="6919" width="8" style="3816" customWidth="1"/>
    <col min="6920" max="6920" width="9.25" style="3816" customWidth="1"/>
    <col min="6921" max="6921" width="10.5" style="3816" customWidth="1"/>
    <col min="6922" max="6922" width="12.125" style="3816" customWidth="1"/>
    <col min="6923" max="6923" width="12.25" style="3816" customWidth="1"/>
    <col min="6924" max="6924" width="9" style="3816"/>
    <col min="6925" max="6925" width="11" style="3816" bestFit="1" customWidth="1"/>
    <col min="6926" max="6926" width="9" style="3816"/>
    <col min="6927" max="6927" width="12.125" style="3816" bestFit="1" customWidth="1"/>
    <col min="6928" max="7168" width="9" style="3816"/>
    <col min="7169" max="7169" width="4" style="3816" customWidth="1"/>
    <col min="7170" max="7170" width="8" style="3816" customWidth="1"/>
    <col min="7171" max="7171" width="12.875" style="3816" customWidth="1"/>
    <col min="7172" max="7172" width="31.375" style="3816" customWidth="1"/>
    <col min="7173" max="7173" width="9.375" style="3816" customWidth="1"/>
    <col min="7174" max="7174" width="12.625" style="3816" customWidth="1"/>
    <col min="7175" max="7175" width="8" style="3816" customWidth="1"/>
    <col min="7176" max="7176" width="9.25" style="3816" customWidth="1"/>
    <col min="7177" max="7177" width="10.5" style="3816" customWidth="1"/>
    <col min="7178" max="7178" width="12.125" style="3816" customWidth="1"/>
    <col min="7179" max="7179" width="12.25" style="3816" customWidth="1"/>
    <col min="7180" max="7180" width="9" style="3816"/>
    <col min="7181" max="7181" width="11" style="3816" bestFit="1" customWidth="1"/>
    <col min="7182" max="7182" width="9" style="3816"/>
    <col min="7183" max="7183" width="12.125" style="3816" bestFit="1" customWidth="1"/>
    <col min="7184" max="7424" width="9" style="3816"/>
    <col min="7425" max="7425" width="4" style="3816" customWidth="1"/>
    <col min="7426" max="7426" width="8" style="3816" customWidth="1"/>
    <col min="7427" max="7427" width="12.875" style="3816" customWidth="1"/>
    <col min="7428" max="7428" width="31.375" style="3816" customWidth="1"/>
    <col min="7429" max="7429" width="9.375" style="3816" customWidth="1"/>
    <col min="7430" max="7430" width="12.625" style="3816" customWidth="1"/>
    <col min="7431" max="7431" width="8" style="3816" customWidth="1"/>
    <col min="7432" max="7432" width="9.25" style="3816" customWidth="1"/>
    <col min="7433" max="7433" width="10.5" style="3816" customWidth="1"/>
    <col min="7434" max="7434" width="12.125" style="3816" customWidth="1"/>
    <col min="7435" max="7435" width="12.25" style="3816" customWidth="1"/>
    <col min="7436" max="7436" width="9" style="3816"/>
    <col min="7437" max="7437" width="11" style="3816" bestFit="1" customWidth="1"/>
    <col min="7438" max="7438" width="9" style="3816"/>
    <col min="7439" max="7439" width="12.125" style="3816" bestFit="1" customWidth="1"/>
    <col min="7440" max="7680" width="9" style="3816"/>
    <col min="7681" max="7681" width="4" style="3816" customWidth="1"/>
    <col min="7682" max="7682" width="8" style="3816" customWidth="1"/>
    <col min="7683" max="7683" width="12.875" style="3816" customWidth="1"/>
    <col min="7684" max="7684" width="31.375" style="3816" customWidth="1"/>
    <col min="7685" max="7685" width="9.375" style="3816" customWidth="1"/>
    <col min="7686" max="7686" width="12.625" style="3816" customWidth="1"/>
    <col min="7687" max="7687" width="8" style="3816" customWidth="1"/>
    <col min="7688" max="7688" width="9.25" style="3816" customWidth="1"/>
    <col min="7689" max="7689" width="10.5" style="3816" customWidth="1"/>
    <col min="7690" max="7690" width="12.125" style="3816" customWidth="1"/>
    <col min="7691" max="7691" width="12.25" style="3816" customWidth="1"/>
    <col min="7692" max="7692" width="9" style="3816"/>
    <col min="7693" max="7693" width="11" style="3816" bestFit="1" customWidth="1"/>
    <col min="7694" max="7694" width="9" style="3816"/>
    <col min="7695" max="7695" width="12.125" style="3816" bestFit="1" customWidth="1"/>
    <col min="7696" max="7936" width="9" style="3816"/>
    <col min="7937" max="7937" width="4" style="3816" customWidth="1"/>
    <col min="7938" max="7938" width="8" style="3816" customWidth="1"/>
    <col min="7939" max="7939" width="12.875" style="3816" customWidth="1"/>
    <col min="7940" max="7940" width="31.375" style="3816" customWidth="1"/>
    <col min="7941" max="7941" width="9.375" style="3816" customWidth="1"/>
    <col min="7942" max="7942" width="12.625" style="3816" customWidth="1"/>
    <col min="7943" max="7943" width="8" style="3816" customWidth="1"/>
    <col min="7944" max="7944" width="9.25" style="3816" customWidth="1"/>
    <col min="7945" max="7945" width="10.5" style="3816" customWidth="1"/>
    <col min="7946" max="7946" width="12.125" style="3816" customWidth="1"/>
    <col min="7947" max="7947" width="12.25" style="3816" customWidth="1"/>
    <col min="7948" max="7948" width="9" style="3816"/>
    <col min="7949" max="7949" width="11" style="3816" bestFit="1" customWidth="1"/>
    <col min="7950" max="7950" width="9" style="3816"/>
    <col min="7951" max="7951" width="12.125" style="3816" bestFit="1" customWidth="1"/>
    <col min="7952" max="8192" width="9" style="3816"/>
    <col min="8193" max="8193" width="4" style="3816" customWidth="1"/>
    <col min="8194" max="8194" width="8" style="3816" customWidth="1"/>
    <col min="8195" max="8195" width="12.875" style="3816" customWidth="1"/>
    <col min="8196" max="8196" width="31.375" style="3816" customWidth="1"/>
    <col min="8197" max="8197" width="9.375" style="3816" customWidth="1"/>
    <col min="8198" max="8198" width="12.625" style="3816" customWidth="1"/>
    <col min="8199" max="8199" width="8" style="3816" customWidth="1"/>
    <col min="8200" max="8200" width="9.25" style="3816" customWidth="1"/>
    <col min="8201" max="8201" width="10.5" style="3816" customWidth="1"/>
    <col min="8202" max="8202" width="12.125" style="3816" customWidth="1"/>
    <col min="8203" max="8203" width="12.25" style="3816" customWidth="1"/>
    <col min="8204" max="8204" width="9" style="3816"/>
    <col min="8205" max="8205" width="11" style="3816" bestFit="1" customWidth="1"/>
    <col min="8206" max="8206" width="9" style="3816"/>
    <col min="8207" max="8207" width="12.125" style="3816" bestFit="1" customWidth="1"/>
    <col min="8208" max="8448" width="9" style="3816"/>
    <col min="8449" max="8449" width="4" style="3816" customWidth="1"/>
    <col min="8450" max="8450" width="8" style="3816" customWidth="1"/>
    <col min="8451" max="8451" width="12.875" style="3816" customWidth="1"/>
    <col min="8452" max="8452" width="31.375" style="3816" customWidth="1"/>
    <col min="8453" max="8453" width="9.375" style="3816" customWidth="1"/>
    <col min="8454" max="8454" width="12.625" style="3816" customWidth="1"/>
    <col min="8455" max="8455" width="8" style="3816" customWidth="1"/>
    <col min="8456" max="8456" width="9.25" style="3816" customWidth="1"/>
    <col min="8457" max="8457" width="10.5" style="3816" customWidth="1"/>
    <col min="8458" max="8458" width="12.125" style="3816" customWidth="1"/>
    <col min="8459" max="8459" width="12.25" style="3816" customWidth="1"/>
    <col min="8460" max="8460" width="9" style="3816"/>
    <col min="8461" max="8461" width="11" style="3816" bestFit="1" customWidth="1"/>
    <col min="8462" max="8462" width="9" style="3816"/>
    <col min="8463" max="8463" width="12.125" style="3816" bestFit="1" customWidth="1"/>
    <col min="8464" max="8704" width="9" style="3816"/>
    <col min="8705" max="8705" width="4" style="3816" customWidth="1"/>
    <col min="8706" max="8706" width="8" style="3816" customWidth="1"/>
    <col min="8707" max="8707" width="12.875" style="3816" customWidth="1"/>
    <col min="8708" max="8708" width="31.375" style="3816" customWidth="1"/>
    <col min="8709" max="8709" width="9.375" style="3816" customWidth="1"/>
    <col min="8710" max="8710" width="12.625" style="3816" customWidth="1"/>
    <col min="8711" max="8711" width="8" style="3816" customWidth="1"/>
    <col min="8712" max="8712" width="9.25" style="3816" customWidth="1"/>
    <col min="8713" max="8713" width="10.5" style="3816" customWidth="1"/>
    <col min="8714" max="8714" width="12.125" style="3816" customWidth="1"/>
    <col min="8715" max="8715" width="12.25" style="3816" customWidth="1"/>
    <col min="8716" max="8716" width="9" style="3816"/>
    <col min="8717" max="8717" width="11" style="3816" bestFit="1" customWidth="1"/>
    <col min="8718" max="8718" width="9" style="3816"/>
    <col min="8719" max="8719" width="12.125" style="3816" bestFit="1" customWidth="1"/>
    <col min="8720" max="8960" width="9" style="3816"/>
    <col min="8961" max="8961" width="4" style="3816" customWidth="1"/>
    <col min="8962" max="8962" width="8" style="3816" customWidth="1"/>
    <col min="8963" max="8963" width="12.875" style="3816" customWidth="1"/>
    <col min="8964" max="8964" width="31.375" style="3816" customWidth="1"/>
    <col min="8965" max="8965" width="9.375" style="3816" customWidth="1"/>
    <col min="8966" max="8966" width="12.625" style="3816" customWidth="1"/>
    <col min="8967" max="8967" width="8" style="3816" customWidth="1"/>
    <col min="8968" max="8968" width="9.25" style="3816" customWidth="1"/>
    <col min="8969" max="8969" width="10.5" style="3816" customWidth="1"/>
    <col min="8970" max="8970" width="12.125" style="3816" customWidth="1"/>
    <col min="8971" max="8971" width="12.25" style="3816" customWidth="1"/>
    <col min="8972" max="8972" width="9" style="3816"/>
    <col min="8973" max="8973" width="11" style="3816" bestFit="1" customWidth="1"/>
    <col min="8974" max="8974" width="9" style="3816"/>
    <col min="8975" max="8975" width="12.125" style="3816" bestFit="1" customWidth="1"/>
    <col min="8976" max="9216" width="9" style="3816"/>
    <col min="9217" max="9217" width="4" style="3816" customWidth="1"/>
    <col min="9218" max="9218" width="8" style="3816" customWidth="1"/>
    <col min="9219" max="9219" width="12.875" style="3816" customWidth="1"/>
    <col min="9220" max="9220" width="31.375" style="3816" customWidth="1"/>
    <col min="9221" max="9221" width="9.375" style="3816" customWidth="1"/>
    <col min="9222" max="9222" width="12.625" style="3816" customWidth="1"/>
    <col min="9223" max="9223" width="8" style="3816" customWidth="1"/>
    <col min="9224" max="9224" width="9.25" style="3816" customWidth="1"/>
    <col min="9225" max="9225" width="10.5" style="3816" customWidth="1"/>
    <col min="9226" max="9226" width="12.125" style="3816" customWidth="1"/>
    <col min="9227" max="9227" width="12.25" style="3816" customWidth="1"/>
    <col min="9228" max="9228" width="9" style="3816"/>
    <col min="9229" max="9229" width="11" style="3816" bestFit="1" customWidth="1"/>
    <col min="9230" max="9230" width="9" style="3816"/>
    <col min="9231" max="9231" width="12.125" style="3816" bestFit="1" customWidth="1"/>
    <col min="9232" max="9472" width="9" style="3816"/>
    <col min="9473" max="9473" width="4" style="3816" customWidth="1"/>
    <col min="9474" max="9474" width="8" style="3816" customWidth="1"/>
    <col min="9475" max="9475" width="12.875" style="3816" customWidth="1"/>
    <col min="9476" max="9476" width="31.375" style="3816" customWidth="1"/>
    <col min="9477" max="9477" width="9.375" style="3816" customWidth="1"/>
    <col min="9478" max="9478" width="12.625" style="3816" customWidth="1"/>
    <col min="9479" max="9479" width="8" style="3816" customWidth="1"/>
    <col min="9480" max="9480" width="9.25" style="3816" customWidth="1"/>
    <col min="9481" max="9481" width="10.5" style="3816" customWidth="1"/>
    <col min="9482" max="9482" width="12.125" style="3816" customWidth="1"/>
    <col min="9483" max="9483" width="12.25" style="3816" customWidth="1"/>
    <col min="9484" max="9484" width="9" style="3816"/>
    <col min="9485" max="9485" width="11" style="3816" bestFit="1" customWidth="1"/>
    <col min="9486" max="9486" width="9" style="3816"/>
    <col min="9487" max="9487" width="12.125" style="3816" bestFit="1" customWidth="1"/>
    <col min="9488" max="9728" width="9" style="3816"/>
    <col min="9729" max="9729" width="4" style="3816" customWidth="1"/>
    <col min="9730" max="9730" width="8" style="3816" customWidth="1"/>
    <col min="9731" max="9731" width="12.875" style="3816" customWidth="1"/>
    <col min="9732" max="9732" width="31.375" style="3816" customWidth="1"/>
    <col min="9733" max="9733" width="9.375" style="3816" customWidth="1"/>
    <col min="9734" max="9734" width="12.625" style="3816" customWidth="1"/>
    <col min="9735" max="9735" width="8" style="3816" customWidth="1"/>
    <col min="9736" max="9736" width="9.25" style="3816" customWidth="1"/>
    <col min="9737" max="9737" width="10.5" style="3816" customWidth="1"/>
    <col min="9738" max="9738" width="12.125" style="3816" customWidth="1"/>
    <col min="9739" max="9739" width="12.25" style="3816" customWidth="1"/>
    <col min="9740" max="9740" width="9" style="3816"/>
    <col min="9741" max="9741" width="11" style="3816" bestFit="1" customWidth="1"/>
    <col min="9742" max="9742" width="9" style="3816"/>
    <col min="9743" max="9743" width="12.125" style="3816" bestFit="1" customWidth="1"/>
    <col min="9744" max="9984" width="9" style="3816"/>
    <col min="9985" max="9985" width="4" style="3816" customWidth="1"/>
    <col min="9986" max="9986" width="8" style="3816" customWidth="1"/>
    <col min="9987" max="9987" width="12.875" style="3816" customWidth="1"/>
    <col min="9988" max="9988" width="31.375" style="3816" customWidth="1"/>
    <col min="9989" max="9989" width="9.375" style="3816" customWidth="1"/>
    <col min="9990" max="9990" width="12.625" style="3816" customWidth="1"/>
    <col min="9991" max="9991" width="8" style="3816" customWidth="1"/>
    <col min="9992" max="9992" width="9.25" style="3816" customWidth="1"/>
    <col min="9993" max="9993" width="10.5" style="3816" customWidth="1"/>
    <col min="9994" max="9994" width="12.125" style="3816" customWidth="1"/>
    <col min="9995" max="9995" width="12.25" style="3816" customWidth="1"/>
    <col min="9996" max="9996" width="9" style="3816"/>
    <col min="9997" max="9997" width="11" style="3816" bestFit="1" customWidth="1"/>
    <col min="9998" max="9998" width="9" style="3816"/>
    <col min="9999" max="9999" width="12.125" style="3816" bestFit="1" customWidth="1"/>
    <col min="10000" max="10240" width="9" style="3816"/>
    <col min="10241" max="10241" width="4" style="3816" customWidth="1"/>
    <col min="10242" max="10242" width="8" style="3816" customWidth="1"/>
    <col min="10243" max="10243" width="12.875" style="3816" customWidth="1"/>
    <col min="10244" max="10244" width="31.375" style="3816" customWidth="1"/>
    <col min="10245" max="10245" width="9.375" style="3816" customWidth="1"/>
    <col min="10246" max="10246" width="12.625" style="3816" customWidth="1"/>
    <col min="10247" max="10247" width="8" style="3816" customWidth="1"/>
    <col min="10248" max="10248" width="9.25" style="3816" customWidth="1"/>
    <col min="10249" max="10249" width="10.5" style="3816" customWidth="1"/>
    <col min="10250" max="10250" width="12.125" style="3816" customWidth="1"/>
    <col min="10251" max="10251" width="12.25" style="3816" customWidth="1"/>
    <col min="10252" max="10252" width="9" style="3816"/>
    <col min="10253" max="10253" width="11" style="3816" bestFit="1" customWidth="1"/>
    <col min="10254" max="10254" width="9" style="3816"/>
    <col min="10255" max="10255" width="12.125" style="3816" bestFit="1" customWidth="1"/>
    <col min="10256" max="10496" width="9" style="3816"/>
    <col min="10497" max="10497" width="4" style="3816" customWidth="1"/>
    <col min="10498" max="10498" width="8" style="3816" customWidth="1"/>
    <col min="10499" max="10499" width="12.875" style="3816" customWidth="1"/>
    <col min="10500" max="10500" width="31.375" style="3816" customWidth="1"/>
    <col min="10501" max="10501" width="9.375" style="3816" customWidth="1"/>
    <col min="10502" max="10502" width="12.625" style="3816" customWidth="1"/>
    <col min="10503" max="10503" width="8" style="3816" customWidth="1"/>
    <col min="10504" max="10504" width="9.25" style="3816" customWidth="1"/>
    <col min="10505" max="10505" width="10.5" style="3816" customWidth="1"/>
    <col min="10506" max="10506" width="12.125" style="3816" customWidth="1"/>
    <col min="10507" max="10507" width="12.25" style="3816" customWidth="1"/>
    <col min="10508" max="10508" width="9" style="3816"/>
    <col min="10509" max="10509" width="11" style="3816" bestFit="1" customWidth="1"/>
    <col min="10510" max="10510" width="9" style="3816"/>
    <col min="10511" max="10511" width="12.125" style="3816" bestFit="1" customWidth="1"/>
    <col min="10512" max="10752" width="9" style="3816"/>
    <col min="10753" max="10753" width="4" style="3816" customWidth="1"/>
    <col min="10754" max="10754" width="8" style="3816" customWidth="1"/>
    <col min="10755" max="10755" width="12.875" style="3816" customWidth="1"/>
    <col min="10756" max="10756" width="31.375" style="3816" customWidth="1"/>
    <col min="10757" max="10757" width="9.375" style="3816" customWidth="1"/>
    <col min="10758" max="10758" width="12.625" style="3816" customWidth="1"/>
    <col min="10759" max="10759" width="8" style="3816" customWidth="1"/>
    <col min="10760" max="10760" width="9.25" style="3816" customWidth="1"/>
    <col min="10761" max="10761" width="10.5" style="3816" customWidth="1"/>
    <col min="10762" max="10762" width="12.125" style="3816" customWidth="1"/>
    <col min="10763" max="10763" width="12.25" style="3816" customWidth="1"/>
    <col min="10764" max="10764" width="9" style="3816"/>
    <col min="10765" max="10765" width="11" style="3816" bestFit="1" customWidth="1"/>
    <col min="10766" max="10766" width="9" style="3816"/>
    <col min="10767" max="10767" width="12.125" style="3816" bestFit="1" customWidth="1"/>
    <col min="10768" max="11008" width="9" style="3816"/>
    <col min="11009" max="11009" width="4" style="3816" customWidth="1"/>
    <col min="11010" max="11010" width="8" style="3816" customWidth="1"/>
    <col min="11011" max="11011" width="12.875" style="3816" customWidth="1"/>
    <col min="11012" max="11012" width="31.375" style="3816" customWidth="1"/>
    <col min="11013" max="11013" width="9.375" style="3816" customWidth="1"/>
    <col min="11014" max="11014" width="12.625" style="3816" customWidth="1"/>
    <col min="11015" max="11015" width="8" style="3816" customWidth="1"/>
    <col min="11016" max="11016" width="9.25" style="3816" customWidth="1"/>
    <col min="11017" max="11017" width="10.5" style="3816" customWidth="1"/>
    <col min="11018" max="11018" width="12.125" style="3816" customWidth="1"/>
    <col min="11019" max="11019" width="12.25" style="3816" customWidth="1"/>
    <col min="11020" max="11020" width="9" style="3816"/>
    <col min="11021" max="11021" width="11" style="3816" bestFit="1" customWidth="1"/>
    <col min="11022" max="11022" width="9" style="3816"/>
    <col min="11023" max="11023" width="12.125" style="3816" bestFit="1" customWidth="1"/>
    <col min="11024" max="11264" width="9" style="3816"/>
    <col min="11265" max="11265" width="4" style="3816" customWidth="1"/>
    <col min="11266" max="11266" width="8" style="3816" customWidth="1"/>
    <col min="11267" max="11267" width="12.875" style="3816" customWidth="1"/>
    <col min="11268" max="11268" width="31.375" style="3816" customWidth="1"/>
    <col min="11269" max="11269" width="9.375" style="3816" customWidth="1"/>
    <col min="11270" max="11270" width="12.625" style="3816" customWidth="1"/>
    <col min="11271" max="11271" width="8" style="3816" customWidth="1"/>
    <col min="11272" max="11272" width="9.25" style="3816" customWidth="1"/>
    <col min="11273" max="11273" width="10.5" style="3816" customWidth="1"/>
    <col min="11274" max="11274" width="12.125" style="3816" customWidth="1"/>
    <col min="11275" max="11275" width="12.25" style="3816" customWidth="1"/>
    <col min="11276" max="11276" width="9" style="3816"/>
    <col min="11277" max="11277" width="11" style="3816" bestFit="1" customWidth="1"/>
    <col min="11278" max="11278" width="9" style="3816"/>
    <col min="11279" max="11279" width="12.125" style="3816" bestFit="1" customWidth="1"/>
    <col min="11280" max="11520" width="9" style="3816"/>
    <col min="11521" max="11521" width="4" style="3816" customWidth="1"/>
    <col min="11522" max="11522" width="8" style="3816" customWidth="1"/>
    <col min="11523" max="11523" width="12.875" style="3816" customWidth="1"/>
    <col min="11524" max="11524" width="31.375" style="3816" customWidth="1"/>
    <col min="11525" max="11525" width="9.375" style="3816" customWidth="1"/>
    <col min="11526" max="11526" width="12.625" style="3816" customWidth="1"/>
    <col min="11527" max="11527" width="8" style="3816" customWidth="1"/>
    <col min="11528" max="11528" width="9.25" style="3816" customWidth="1"/>
    <col min="11529" max="11529" width="10.5" style="3816" customWidth="1"/>
    <col min="11530" max="11530" width="12.125" style="3816" customWidth="1"/>
    <col min="11531" max="11531" width="12.25" style="3816" customWidth="1"/>
    <col min="11532" max="11532" width="9" style="3816"/>
    <col min="11533" max="11533" width="11" style="3816" bestFit="1" customWidth="1"/>
    <col min="11534" max="11534" width="9" style="3816"/>
    <col min="11535" max="11535" width="12.125" style="3816" bestFit="1" customWidth="1"/>
    <col min="11536" max="11776" width="9" style="3816"/>
    <col min="11777" max="11777" width="4" style="3816" customWidth="1"/>
    <col min="11778" max="11778" width="8" style="3816" customWidth="1"/>
    <col min="11779" max="11779" width="12.875" style="3816" customWidth="1"/>
    <col min="11780" max="11780" width="31.375" style="3816" customWidth="1"/>
    <col min="11781" max="11781" width="9.375" style="3816" customWidth="1"/>
    <col min="11782" max="11782" width="12.625" style="3816" customWidth="1"/>
    <col min="11783" max="11783" width="8" style="3816" customWidth="1"/>
    <col min="11784" max="11784" width="9.25" style="3816" customWidth="1"/>
    <col min="11785" max="11785" width="10.5" style="3816" customWidth="1"/>
    <col min="11786" max="11786" width="12.125" style="3816" customWidth="1"/>
    <col min="11787" max="11787" width="12.25" style="3816" customWidth="1"/>
    <col min="11788" max="11788" width="9" style="3816"/>
    <col min="11789" max="11789" width="11" style="3816" bestFit="1" customWidth="1"/>
    <col min="11790" max="11790" width="9" style="3816"/>
    <col min="11791" max="11791" width="12.125" style="3816" bestFit="1" customWidth="1"/>
    <col min="11792" max="12032" width="9" style="3816"/>
    <col min="12033" max="12033" width="4" style="3816" customWidth="1"/>
    <col min="12034" max="12034" width="8" style="3816" customWidth="1"/>
    <col min="12035" max="12035" width="12.875" style="3816" customWidth="1"/>
    <col min="12036" max="12036" width="31.375" style="3816" customWidth="1"/>
    <col min="12037" max="12037" width="9.375" style="3816" customWidth="1"/>
    <col min="12038" max="12038" width="12.625" style="3816" customWidth="1"/>
    <col min="12039" max="12039" width="8" style="3816" customWidth="1"/>
    <col min="12040" max="12040" width="9.25" style="3816" customWidth="1"/>
    <col min="12041" max="12041" width="10.5" style="3816" customWidth="1"/>
    <col min="12042" max="12042" width="12.125" style="3816" customWidth="1"/>
    <col min="12043" max="12043" width="12.25" style="3816" customWidth="1"/>
    <col min="12044" max="12044" width="9" style="3816"/>
    <col min="12045" max="12045" width="11" style="3816" bestFit="1" customWidth="1"/>
    <col min="12046" max="12046" width="9" style="3816"/>
    <col min="12047" max="12047" width="12.125" style="3816" bestFit="1" customWidth="1"/>
    <col min="12048" max="12288" width="9" style="3816"/>
    <col min="12289" max="12289" width="4" style="3816" customWidth="1"/>
    <col min="12290" max="12290" width="8" style="3816" customWidth="1"/>
    <col min="12291" max="12291" width="12.875" style="3816" customWidth="1"/>
    <col min="12292" max="12292" width="31.375" style="3816" customWidth="1"/>
    <col min="12293" max="12293" width="9.375" style="3816" customWidth="1"/>
    <col min="12294" max="12294" width="12.625" style="3816" customWidth="1"/>
    <col min="12295" max="12295" width="8" style="3816" customWidth="1"/>
    <col min="12296" max="12296" width="9.25" style="3816" customWidth="1"/>
    <col min="12297" max="12297" width="10.5" style="3816" customWidth="1"/>
    <col min="12298" max="12298" width="12.125" style="3816" customWidth="1"/>
    <col min="12299" max="12299" width="12.25" style="3816" customWidth="1"/>
    <col min="12300" max="12300" width="9" style="3816"/>
    <col min="12301" max="12301" width="11" style="3816" bestFit="1" customWidth="1"/>
    <col min="12302" max="12302" width="9" style="3816"/>
    <col min="12303" max="12303" width="12.125" style="3816" bestFit="1" customWidth="1"/>
    <col min="12304" max="12544" width="9" style="3816"/>
    <col min="12545" max="12545" width="4" style="3816" customWidth="1"/>
    <col min="12546" max="12546" width="8" style="3816" customWidth="1"/>
    <col min="12547" max="12547" width="12.875" style="3816" customWidth="1"/>
    <col min="12548" max="12548" width="31.375" style="3816" customWidth="1"/>
    <col min="12549" max="12549" width="9.375" style="3816" customWidth="1"/>
    <col min="12550" max="12550" width="12.625" style="3816" customWidth="1"/>
    <col min="12551" max="12551" width="8" style="3816" customWidth="1"/>
    <col min="12552" max="12552" width="9.25" style="3816" customWidth="1"/>
    <col min="12553" max="12553" width="10.5" style="3816" customWidth="1"/>
    <col min="12554" max="12554" width="12.125" style="3816" customWidth="1"/>
    <col min="12555" max="12555" width="12.25" style="3816" customWidth="1"/>
    <col min="12556" max="12556" width="9" style="3816"/>
    <col min="12557" max="12557" width="11" style="3816" bestFit="1" customWidth="1"/>
    <col min="12558" max="12558" width="9" style="3816"/>
    <col min="12559" max="12559" width="12.125" style="3816" bestFit="1" customWidth="1"/>
    <col min="12560" max="12800" width="9" style="3816"/>
    <col min="12801" max="12801" width="4" style="3816" customWidth="1"/>
    <col min="12802" max="12802" width="8" style="3816" customWidth="1"/>
    <col min="12803" max="12803" width="12.875" style="3816" customWidth="1"/>
    <col min="12804" max="12804" width="31.375" style="3816" customWidth="1"/>
    <col min="12805" max="12805" width="9.375" style="3816" customWidth="1"/>
    <col min="12806" max="12806" width="12.625" style="3816" customWidth="1"/>
    <col min="12807" max="12807" width="8" style="3816" customWidth="1"/>
    <col min="12808" max="12808" width="9.25" style="3816" customWidth="1"/>
    <col min="12809" max="12809" width="10.5" style="3816" customWidth="1"/>
    <col min="12810" max="12810" width="12.125" style="3816" customWidth="1"/>
    <col min="12811" max="12811" width="12.25" style="3816" customWidth="1"/>
    <col min="12812" max="12812" width="9" style="3816"/>
    <col min="12813" max="12813" width="11" style="3816" bestFit="1" customWidth="1"/>
    <col min="12814" max="12814" width="9" style="3816"/>
    <col min="12815" max="12815" width="12.125" style="3816" bestFit="1" customWidth="1"/>
    <col min="12816" max="13056" width="9" style="3816"/>
    <col min="13057" max="13057" width="4" style="3816" customWidth="1"/>
    <col min="13058" max="13058" width="8" style="3816" customWidth="1"/>
    <col min="13059" max="13059" width="12.875" style="3816" customWidth="1"/>
    <col min="13060" max="13060" width="31.375" style="3816" customWidth="1"/>
    <col min="13061" max="13061" width="9.375" style="3816" customWidth="1"/>
    <col min="13062" max="13062" width="12.625" style="3816" customWidth="1"/>
    <col min="13063" max="13063" width="8" style="3816" customWidth="1"/>
    <col min="13064" max="13064" width="9.25" style="3816" customWidth="1"/>
    <col min="13065" max="13065" width="10.5" style="3816" customWidth="1"/>
    <col min="13066" max="13066" width="12.125" style="3816" customWidth="1"/>
    <col min="13067" max="13067" width="12.25" style="3816" customWidth="1"/>
    <col min="13068" max="13068" width="9" style="3816"/>
    <col min="13069" max="13069" width="11" style="3816" bestFit="1" customWidth="1"/>
    <col min="13070" max="13070" width="9" style="3816"/>
    <col min="13071" max="13071" width="12.125" style="3816" bestFit="1" customWidth="1"/>
    <col min="13072" max="13312" width="9" style="3816"/>
    <col min="13313" max="13313" width="4" style="3816" customWidth="1"/>
    <col min="13314" max="13314" width="8" style="3816" customWidth="1"/>
    <col min="13315" max="13315" width="12.875" style="3816" customWidth="1"/>
    <col min="13316" max="13316" width="31.375" style="3816" customWidth="1"/>
    <col min="13317" max="13317" width="9.375" style="3816" customWidth="1"/>
    <col min="13318" max="13318" width="12.625" style="3816" customWidth="1"/>
    <col min="13319" max="13319" width="8" style="3816" customWidth="1"/>
    <col min="13320" max="13320" width="9.25" style="3816" customWidth="1"/>
    <col min="13321" max="13321" width="10.5" style="3816" customWidth="1"/>
    <col min="13322" max="13322" width="12.125" style="3816" customWidth="1"/>
    <col min="13323" max="13323" width="12.25" style="3816" customWidth="1"/>
    <col min="13324" max="13324" width="9" style="3816"/>
    <col min="13325" max="13325" width="11" style="3816" bestFit="1" customWidth="1"/>
    <col min="13326" max="13326" width="9" style="3816"/>
    <col min="13327" max="13327" width="12.125" style="3816" bestFit="1" customWidth="1"/>
    <col min="13328" max="13568" width="9" style="3816"/>
    <col min="13569" max="13569" width="4" style="3816" customWidth="1"/>
    <col min="13570" max="13570" width="8" style="3816" customWidth="1"/>
    <col min="13571" max="13571" width="12.875" style="3816" customWidth="1"/>
    <col min="13572" max="13572" width="31.375" style="3816" customWidth="1"/>
    <col min="13573" max="13573" width="9.375" style="3816" customWidth="1"/>
    <col min="13574" max="13574" width="12.625" style="3816" customWidth="1"/>
    <col min="13575" max="13575" width="8" style="3816" customWidth="1"/>
    <col min="13576" max="13576" width="9.25" style="3816" customWidth="1"/>
    <col min="13577" max="13577" width="10.5" style="3816" customWidth="1"/>
    <col min="13578" max="13578" width="12.125" style="3816" customWidth="1"/>
    <col min="13579" max="13579" width="12.25" style="3816" customWidth="1"/>
    <col min="13580" max="13580" width="9" style="3816"/>
    <col min="13581" max="13581" width="11" style="3816" bestFit="1" customWidth="1"/>
    <col min="13582" max="13582" width="9" style="3816"/>
    <col min="13583" max="13583" width="12.125" style="3816" bestFit="1" customWidth="1"/>
    <col min="13584" max="13824" width="9" style="3816"/>
    <col min="13825" max="13825" width="4" style="3816" customWidth="1"/>
    <col min="13826" max="13826" width="8" style="3816" customWidth="1"/>
    <col min="13827" max="13827" width="12.875" style="3816" customWidth="1"/>
    <col min="13828" max="13828" width="31.375" style="3816" customWidth="1"/>
    <col min="13829" max="13829" width="9.375" style="3816" customWidth="1"/>
    <col min="13830" max="13830" width="12.625" style="3816" customWidth="1"/>
    <col min="13831" max="13831" width="8" style="3816" customWidth="1"/>
    <col min="13832" max="13832" width="9.25" style="3816" customWidth="1"/>
    <col min="13833" max="13833" width="10.5" style="3816" customWidth="1"/>
    <col min="13834" max="13834" width="12.125" style="3816" customWidth="1"/>
    <col min="13835" max="13835" width="12.25" style="3816" customWidth="1"/>
    <col min="13836" max="13836" width="9" style="3816"/>
    <col min="13837" max="13837" width="11" style="3816" bestFit="1" customWidth="1"/>
    <col min="13838" max="13838" width="9" style="3816"/>
    <col min="13839" max="13839" width="12.125" style="3816" bestFit="1" customWidth="1"/>
    <col min="13840" max="14080" width="9" style="3816"/>
    <col min="14081" max="14081" width="4" style="3816" customWidth="1"/>
    <col min="14082" max="14082" width="8" style="3816" customWidth="1"/>
    <col min="14083" max="14083" width="12.875" style="3816" customWidth="1"/>
    <col min="14084" max="14084" width="31.375" style="3816" customWidth="1"/>
    <col min="14085" max="14085" width="9.375" style="3816" customWidth="1"/>
    <col min="14086" max="14086" width="12.625" style="3816" customWidth="1"/>
    <col min="14087" max="14087" width="8" style="3816" customWidth="1"/>
    <col min="14088" max="14088" width="9.25" style="3816" customWidth="1"/>
    <col min="14089" max="14089" width="10.5" style="3816" customWidth="1"/>
    <col min="14090" max="14090" width="12.125" style="3816" customWidth="1"/>
    <col min="14091" max="14091" width="12.25" style="3816" customWidth="1"/>
    <col min="14092" max="14092" width="9" style="3816"/>
    <col min="14093" max="14093" width="11" style="3816" bestFit="1" customWidth="1"/>
    <col min="14094" max="14094" width="9" style="3816"/>
    <col min="14095" max="14095" width="12.125" style="3816" bestFit="1" customWidth="1"/>
    <col min="14096" max="14336" width="9" style="3816"/>
    <col min="14337" max="14337" width="4" style="3816" customWidth="1"/>
    <col min="14338" max="14338" width="8" style="3816" customWidth="1"/>
    <col min="14339" max="14339" width="12.875" style="3816" customWidth="1"/>
    <col min="14340" max="14340" width="31.375" style="3816" customWidth="1"/>
    <col min="14341" max="14341" width="9.375" style="3816" customWidth="1"/>
    <col min="14342" max="14342" width="12.625" style="3816" customWidth="1"/>
    <col min="14343" max="14343" width="8" style="3816" customWidth="1"/>
    <col min="14344" max="14344" width="9.25" style="3816" customWidth="1"/>
    <col min="14345" max="14345" width="10.5" style="3816" customWidth="1"/>
    <col min="14346" max="14346" width="12.125" style="3816" customWidth="1"/>
    <col min="14347" max="14347" width="12.25" style="3816" customWidth="1"/>
    <col min="14348" max="14348" width="9" style="3816"/>
    <col min="14349" max="14349" width="11" style="3816" bestFit="1" customWidth="1"/>
    <col min="14350" max="14350" width="9" style="3816"/>
    <col min="14351" max="14351" width="12.125" style="3816" bestFit="1" customWidth="1"/>
    <col min="14352" max="14592" width="9" style="3816"/>
    <col min="14593" max="14593" width="4" style="3816" customWidth="1"/>
    <col min="14594" max="14594" width="8" style="3816" customWidth="1"/>
    <col min="14595" max="14595" width="12.875" style="3816" customWidth="1"/>
    <col min="14596" max="14596" width="31.375" style="3816" customWidth="1"/>
    <col min="14597" max="14597" width="9.375" style="3816" customWidth="1"/>
    <col min="14598" max="14598" width="12.625" style="3816" customWidth="1"/>
    <col min="14599" max="14599" width="8" style="3816" customWidth="1"/>
    <col min="14600" max="14600" width="9.25" style="3816" customWidth="1"/>
    <col min="14601" max="14601" width="10.5" style="3816" customWidth="1"/>
    <col min="14602" max="14602" width="12.125" style="3816" customWidth="1"/>
    <col min="14603" max="14603" width="12.25" style="3816" customWidth="1"/>
    <col min="14604" max="14604" width="9" style="3816"/>
    <col min="14605" max="14605" width="11" style="3816" bestFit="1" customWidth="1"/>
    <col min="14606" max="14606" width="9" style="3816"/>
    <col min="14607" max="14607" width="12.125" style="3816" bestFit="1" customWidth="1"/>
    <col min="14608" max="14848" width="9" style="3816"/>
    <col min="14849" max="14849" width="4" style="3816" customWidth="1"/>
    <col min="14850" max="14850" width="8" style="3816" customWidth="1"/>
    <col min="14851" max="14851" width="12.875" style="3816" customWidth="1"/>
    <col min="14852" max="14852" width="31.375" style="3816" customWidth="1"/>
    <col min="14853" max="14853" width="9.375" style="3816" customWidth="1"/>
    <col min="14854" max="14854" width="12.625" style="3816" customWidth="1"/>
    <col min="14855" max="14855" width="8" style="3816" customWidth="1"/>
    <col min="14856" max="14856" width="9.25" style="3816" customWidth="1"/>
    <col min="14857" max="14857" width="10.5" style="3816" customWidth="1"/>
    <col min="14858" max="14858" width="12.125" style="3816" customWidth="1"/>
    <col min="14859" max="14859" width="12.25" style="3816" customWidth="1"/>
    <col min="14860" max="14860" width="9" style="3816"/>
    <col min="14861" max="14861" width="11" style="3816" bestFit="1" customWidth="1"/>
    <col min="14862" max="14862" width="9" style="3816"/>
    <col min="14863" max="14863" width="12.125" style="3816" bestFit="1" customWidth="1"/>
    <col min="14864" max="15104" width="9" style="3816"/>
    <col min="15105" max="15105" width="4" style="3816" customWidth="1"/>
    <col min="15106" max="15106" width="8" style="3816" customWidth="1"/>
    <col min="15107" max="15107" width="12.875" style="3816" customWidth="1"/>
    <col min="15108" max="15108" width="31.375" style="3816" customWidth="1"/>
    <col min="15109" max="15109" width="9.375" style="3816" customWidth="1"/>
    <col min="15110" max="15110" width="12.625" style="3816" customWidth="1"/>
    <col min="15111" max="15111" width="8" style="3816" customWidth="1"/>
    <col min="15112" max="15112" width="9.25" style="3816" customWidth="1"/>
    <col min="15113" max="15113" width="10.5" style="3816" customWidth="1"/>
    <col min="15114" max="15114" width="12.125" style="3816" customWidth="1"/>
    <col min="15115" max="15115" width="12.25" style="3816" customWidth="1"/>
    <col min="15116" max="15116" width="9" style="3816"/>
    <col min="15117" max="15117" width="11" style="3816" bestFit="1" customWidth="1"/>
    <col min="15118" max="15118" width="9" style="3816"/>
    <col min="15119" max="15119" width="12.125" style="3816" bestFit="1" customWidth="1"/>
    <col min="15120" max="15360" width="9" style="3816"/>
    <col min="15361" max="15361" width="4" style="3816" customWidth="1"/>
    <col min="15362" max="15362" width="8" style="3816" customWidth="1"/>
    <col min="15363" max="15363" width="12.875" style="3816" customWidth="1"/>
    <col min="15364" max="15364" width="31.375" style="3816" customWidth="1"/>
    <col min="15365" max="15365" width="9.375" style="3816" customWidth="1"/>
    <col min="15366" max="15366" width="12.625" style="3816" customWidth="1"/>
    <col min="15367" max="15367" width="8" style="3816" customWidth="1"/>
    <col min="15368" max="15368" width="9.25" style="3816" customWidth="1"/>
    <col min="15369" max="15369" width="10.5" style="3816" customWidth="1"/>
    <col min="15370" max="15370" width="12.125" style="3816" customWidth="1"/>
    <col min="15371" max="15371" width="12.25" style="3816" customWidth="1"/>
    <col min="15372" max="15372" width="9" style="3816"/>
    <col min="15373" max="15373" width="11" style="3816" bestFit="1" customWidth="1"/>
    <col min="15374" max="15374" width="9" style="3816"/>
    <col min="15375" max="15375" width="12.125" style="3816" bestFit="1" customWidth="1"/>
    <col min="15376" max="15616" width="9" style="3816"/>
    <col min="15617" max="15617" width="4" style="3816" customWidth="1"/>
    <col min="15618" max="15618" width="8" style="3816" customWidth="1"/>
    <col min="15619" max="15619" width="12.875" style="3816" customWidth="1"/>
    <col min="15620" max="15620" width="31.375" style="3816" customWidth="1"/>
    <col min="15621" max="15621" width="9.375" style="3816" customWidth="1"/>
    <col min="15622" max="15622" width="12.625" style="3816" customWidth="1"/>
    <col min="15623" max="15623" width="8" style="3816" customWidth="1"/>
    <col min="15624" max="15624" width="9.25" style="3816" customWidth="1"/>
    <col min="15625" max="15625" width="10.5" style="3816" customWidth="1"/>
    <col min="15626" max="15626" width="12.125" style="3816" customWidth="1"/>
    <col min="15627" max="15627" width="12.25" style="3816" customWidth="1"/>
    <col min="15628" max="15628" width="9" style="3816"/>
    <col min="15629" max="15629" width="11" style="3816" bestFit="1" customWidth="1"/>
    <col min="15630" max="15630" width="9" style="3816"/>
    <col min="15631" max="15631" width="12.125" style="3816" bestFit="1" customWidth="1"/>
    <col min="15632" max="15872" width="9" style="3816"/>
    <col min="15873" max="15873" width="4" style="3816" customWidth="1"/>
    <col min="15874" max="15874" width="8" style="3816" customWidth="1"/>
    <col min="15875" max="15875" width="12.875" style="3816" customWidth="1"/>
    <col min="15876" max="15876" width="31.375" style="3816" customWidth="1"/>
    <col min="15877" max="15877" width="9.375" style="3816" customWidth="1"/>
    <col min="15878" max="15878" width="12.625" style="3816" customWidth="1"/>
    <col min="15879" max="15879" width="8" style="3816" customWidth="1"/>
    <col min="15880" max="15880" width="9.25" style="3816" customWidth="1"/>
    <col min="15881" max="15881" width="10.5" style="3816" customWidth="1"/>
    <col min="15882" max="15882" width="12.125" style="3816" customWidth="1"/>
    <col min="15883" max="15883" width="12.25" style="3816" customWidth="1"/>
    <col min="15884" max="15884" width="9" style="3816"/>
    <col min="15885" max="15885" width="11" style="3816" bestFit="1" customWidth="1"/>
    <col min="15886" max="15886" width="9" style="3816"/>
    <col min="15887" max="15887" width="12.125" style="3816" bestFit="1" customWidth="1"/>
    <col min="15888" max="16128" width="9" style="3816"/>
    <col min="16129" max="16129" width="4" style="3816" customWidth="1"/>
    <col min="16130" max="16130" width="8" style="3816" customWidth="1"/>
    <col min="16131" max="16131" width="12.875" style="3816" customWidth="1"/>
    <col min="16132" max="16132" width="31.375" style="3816" customWidth="1"/>
    <col min="16133" max="16133" width="9.375" style="3816" customWidth="1"/>
    <col min="16134" max="16134" width="12.625" style="3816" customWidth="1"/>
    <col min="16135" max="16135" width="8" style="3816" customWidth="1"/>
    <col min="16136" max="16136" width="9.25" style="3816" customWidth="1"/>
    <col min="16137" max="16137" width="10.5" style="3816" customWidth="1"/>
    <col min="16138" max="16138" width="12.125" style="3816" customWidth="1"/>
    <col min="16139" max="16139" width="12.25" style="3816" customWidth="1"/>
    <col min="16140" max="16140" width="9" style="3816"/>
    <col min="16141" max="16141" width="11" style="3816" bestFit="1" customWidth="1"/>
    <col min="16142" max="16142" width="9" style="3816"/>
    <col min="16143" max="16143" width="12.125" style="3816" bestFit="1" customWidth="1"/>
    <col min="16144" max="16384" width="9" style="3816"/>
  </cols>
  <sheetData>
    <row r="1" spans="1:15" s="3810" customFormat="1" ht="66" customHeight="1">
      <c r="A1" s="3815" t="s">
        <v>3498</v>
      </c>
      <c r="B1" s="3815" t="s">
        <v>3499</v>
      </c>
      <c r="C1" s="3815" t="s">
        <v>3500</v>
      </c>
      <c r="D1" s="3815" t="s">
        <v>3501</v>
      </c>
      <c r="E1" s="3815" t="s">
        <v>3502</v>
      </c>
      <c r="F1" s="3815" t="s">
        <v>3503</v>
      </c>
      <c r="G1" s="3814" t="s">
        <v>3504</v>
      </c>
      <c r="H1" s="3815" t="s">
        <v>3505</v>
      </c>
      <c r="I1" s="3815" t="s">
        <v>3506</v>
      </c>
      <c r="J1" s="3815" t="s">
        <v>3507</v>
      </c>
      <c r="K1" s="3815" t="s">
        <v>3508</v>
      </c>
    </row>
    <row r="2" spans="1:15" ht="25.5" customHeight="1">
      <c r="A2" s="3815"/>
      <c r="B2" s="3815"/>
      <c r="C2" s="3815"/>
      <c r="D2" s="3815"/>
      <c r="E2" s="3815"/>
      <c r="F2" s="3815"/>
      <c r="G2" s="3814"/>
      <c r="H2" s="3815"/>
      <c r="I2" s="3815"/>
      <c r="J2" s="3815"/>
      <c r="K2" s="3815"/>
      <c r="M2" s="3816">
        <f>SUM(M3:M69)</f>
        <v>172522.43900000001</v>
      </c>
      <c r="N2" s="3816">
        <v>20382</v>
      </c>
      <c r="O2" s="3816">
        <f>M2/N2</f>
        <v>8.4644509371013648</v>
      </c>
    </row>
    <row r="3" spans="1:15" ht="16.5">
      <c r="A3" s="3819">
        <v>1</v>
      </c>
      <c r="B3" s="3819" t="s">
        <v>3509</v>
      </c>
      <c r="C3" s="3812" t="s">
        <v>3510</v>
      </c>
      <c r="D3" s="3809" t="s">
        <v>3511</v>
      </c>
      <c r="E3" s="3809" t="s">
        <v>3512</v>
      </c>
      <c r="F3" s="3809">
        <v>455</v>
      </c>
      <c r="G3" s="3808">
        <v>13</v>
      </c>
      <c r="H3" s="3809">
        <v>1</v>
      </c>
      <c r="I3" s="3809" t="s">
        <v>3513</v>
      </c>
      <c r="J3" s="3809" t="s">
        <v>3514</v>
      </c>
      <c r="K3" s="3807" t="s">
        <v>3415</v>
      </c>
      <c r="M3" s="3816">
        <f>G3*F3</f>
        <v>5915</v>
      </c>
    </row>
    <row r="4" spans="1:15" s="3818" customFormat="1" ht="30" customHeight="1">
      <c r="A4" s="3819">
        <v>2</v>
      </c>
      <c r="B4" s="3819" t="s">
        <v>3515</v>
      </c>
      <c r="C4" s="3812" t="s">
        <v>3516</v>
      </c>
      <c r="D4" s="3809" t="s">
        <v>3517</v>
      </c>
      <c r="E4" s="3806" t="s">
        <v>3518</v>
      </c>
      <c r="F4" s="3806">
        <v>218.6</v>
      </c>
      <c r="G4" s="3805">
        <v>5.03</v>
      </c>
      <c r="H4" s="3806">
        <v>1.5</v>
      </c>
      <c r="I4" s="3806" t="s">
        <v>3519</v>
      </c>
      <c r="J4" s="3806" t="s">
        <v>3520</v>
      </c>
      <c r="K4" s="3807" t="s">
        <v>3415</v>
      </c>
      <c r="M4" s="3816">
        <f t="shared" ref="M4:M67" si="0">G4*F4</f>
        <v>1099.558</v>
      </c>
    </row>
    <row r="5" spans="1:15" s="3811" customFormat="1" ht="30" customHeight="1">
      <c r="A5" s="3819">
        <v>3</v>
      </c>
      <c r="B5" s="3819" t="s">
        <v>3515</v>
      </c>
      <c r="C5" s="3812" t="s">
        <v>3521</v>
      </c>
      <c r="D5" s="3809" t="s">
        <v>3522</v>
      </c>
      <c r="E5" s="3809" t="s">
        <v>3523</v>
      </c>
      <c r="F5" s="3809">
        <v>497</v>
      </c>
      <c r="G5" s="3808">
        <v>5.03</v>
      </c>
      <c r="H5" s="3809">
        <v>1.5</v>
      </c>
      <c r="I5" s="3809" t="s">
        <v>3524</v>
      </c>
      <c r="J5" s="3809" t="s">
        <v>3525</v>
      </c>
      <c r="K5" s="3807" t="s">
        <v>3415</v>
      </c>
      <c r="M5" s="3816">
        <f t="shared" si="0"/>
        <v>2499.9100000000003</v>
      </c>
    </row>
    <row r="6" spans="1:15" s="3818" customFormat="1" ht="30" customHeight="1">
      <c r="A6" s="3819">
        <v>4</v>
      </c>
      <c r="B6" s="3819" t="s">
        <v>3515</v>
      </c>
      <c r="C6" s="3804" t="s">
        <v>3526</v>
      </c>
      <c r="D6" s="3809" t="s">
        <v>3527</v>
      </c>
      <c r="E6" s="3806" t="s">
        <v>3528</v>
      </c>
      <c r="F6" s="3806">
        <v>150</v>
      </c>
      <c r="G6" s="3805">
        <v>7.6</v>
      </c>
      <c r="H6" s="3806">
        <v>1.5</v>
      </c>
      <c r="I6" s="3806" t="s">
        <v>3529</v>
      </c>
      <c r="J6" s="3806" t="s">
        <v>3530</v>
      </c>
      <c r="K6" s="3813" t="s">
        <v>3531</v>
      </c>
      <c r="M6" s="3816">
        <f t="shared" si="0"/>
        <v>1140</v>
      </c>
    </row>
    <row r="7" spans="1:15" s="3811" customFormat="1" ht="30" customHeight="1">
      <c r="A7" s="3819">
        <v>5</v>
      </c>
      <c r="B7" s="3819" t="s">
        <v>3532</v>
      </c>
      <c r="C7" s="3812" t="s">
        <v>3533</v>
      </c>
      <c r="D7" s="3807" t="s">
        <v>3534</v>
      </c>
      <c r="E7" s="3809" t="s">
        <v>3535</v>
      </c>
      <c r="F7" s="3809">
        <v>149.19999999999999</v>
      </c>
      <c r="G7" s="3808">
        <v>5.03</v>
      </c>
      <c r="H7" s="3809">
        <v>1.5</v>
      </c>
      <c r="I7" s="3809" t="s">
        <v>3536</v>
      </c>
      <c r="J7" s="3809" t="s">
        <v>3537</v>
      </c>
      <c r="K7" s="3807" t="s">
        <v>3538</v>
      </c>
      <c r="M7" s="3816">
        <f t="shared" si="0"/>
        <v>750.476</v>
      </c>
    </row>
    <row r="8" spans="1:15" ht="30" customHeight="1">
      <c r="A8" s="3819">
        <v>6</v>
      </c>
      <c r="B8" s="3819" t="s">
        <v>3532</v>
      </c>
      <c r="C8" s="3804" t="s">
        <v>3539</v>
      </c>
      <c r="D8" s="3809" t="s">
        <v>3540</v>
      </c>
      <c r="E8" s="3803" t="s">
        <v>3541</v>
      </c>
      <c r="F8" s="3809">
        <v>253.5</v>
      </c>
      <c r="G8" s="3808">
        <v>9.9</v>
      </c>
      <c r="H8" s="3809">
        <v>0.75</v>
      </c>
      <c r="I8" s="3817" t="s">
        <v>3542</v>
      </c>
      <c r="J8" s="3822" t="s">
        <v>3543</v>
      </c>
      <c r="K8" s="3807" t="s">
        <v>3538</v>
      </c>
      <c r="M8" s="3816">
        <f t="shared" si="0"/>
        <v>2509.65</v>
      </c>
    </row>
    <row r="9" spans="1:15" ht="30" customHeight="1">
      <c r="A9" s="3819">
        <v>7</v>
      </c>
      <c r="B9" s="3819" t="s">
        <v>3532</v>
      </c>
      <c r="C9" s="3804" t="s">
        <v>3539</v>
      </c>
      <c r="D9" s="3809" t="s">
        <v>3544</v>
      </c>
      <c r="E9" s="3803"/>
      <c r="F9" s="3809">
        <v>253.5</v>
      </c>
      <c r="G9" s="3808">
        <v>9.9</v>
      </c>
      <c r="H9" s="3809">
        <v>0.75</v>
      </c>
      <c r="I9" s="3817"/>
      <c r="J9" s="3822" t="s">
        <v>3543</v>
      </c>
      <c r="K9" s="3807" t="s">
        <v>3538</v>
      </c>
      <c r="M9" s="3816">
        <f t="shared" si="0"/>
        <v>2509.65</v>
      </c>
    </row>
    <row r="10" spans="1:15" ht="32.1" customHeight="1">
      <c r="A10" s="3819">
        <v>8</v>
      </c>
      <c r="B10" s="3819" t="s">
        <v>3532</v>
      </c>
      <c r="C10" s="3804" t="s">
        <v>3545</v>
      </c>
      <c r="D10" s="3809" t="s">
        <v>3546</v>
      </c>
      <c r="E10" s="3823" t="s">
        <v>3547</v>
      </c>
      <c r="F10" s="3823">
        <v>507</v>
      </c>
      <c r="G10" s="3824">
        <v>9.0500000000000007</v>
      </c>
      <c r="H10" s="3825">
        <v>0.74</v>
      </c>
      <c r="I10" s="3823" t="s">
        <v>3548</v>
      </c>
      <c r="J10" s="3826" t="s">
        <v>3549</v>
      </c>
      <c r="K10" s="3807" t="s">
        <v>3550</v>
      </c>
      <c r="M10" s="3816">
        <f t="shared" si="0"/>
        <v>4588.3500000000004</v>
      </c>
    </row>
    <row r="11" spans="1:15" s="3818" customFormat="1" ht="30" customHeight="1">
      <c r="A11" s="3819">
        <v>9</v>
      </c>
      <c r="B11" s="3819" t="s">
        <v>3551</v>
      </c>
      <c r="C11" s="3804" t="s">
        <v>3552</v>
      </c>
      <c r="D11" s="3809" t="s">
        <v>3553</v>
      </c>
      <c r="E11" s="3827" t="s">
        <v>3554</v>
      </c>
      <c r="F11" s="3819">
        <v>204</v>
      </c>
      <c r="G11" s="3828">
        <v>9.16</v>
      </c>
      <c r="H11" s="3829">
        <v>0.74</v>
      </c>
      <c r="I11" s="3830" t="s">
        <v>3555</v>
      </c>
      <c r="J11" s="3805" t="s">
        <v>3556</v>
      </c>
      <c r="K11" s="3830" t="s">
        <v>3557</v>
      </c>
      <c r="M11" s="3816">
        <f t="shared" si="0"/>
        <v>1868.64</v>
      </c>
    </row>
    <row r="12" spans="1:15" s="3818" customFormat="1" ht="30" customHeight="1">
      <c r="A12" s="3819">
        <v>10</v>
      </c>
      <c r="B12" s="3819" t="s">
        <v>3558</v>
      </c>
      <c r="C12" s="3804" t="s">
        <v>3552</v>
      </c>
      <c r="D12" s="3809" t="s">
        <v>3559</v>
      </c>
      <c r="E12" s="3827"/>
      <c r="F12" s="3819">
        <v>810</v>
      </c>
      <c r="G12" s="3828">
        <v>9.16</v>
      </c>
      <c r="H12" s="3829">
        <v>0.74</v>
      </c>
      <c r="I12" s="3830"/>
      <c r="J12" s="3805" t="s">
        <v>3556</v>
      </c>
      <c r="K12" s="3830"/>
      <c r="M12" s="3816">
        <f t="shared" si="0"/>
        <v>7419.6</v>
      </c>
    </row>
    <row r="13" spans="1:15" s="3818" customFormat="1" ht="30" customHeight="1">
      <c r="A13" s="3819">
        <v>11</v>
      </c>
      <c r="B13" s="3819" t="s">
        <v>3558</v>
      </c>
      <c r="C13" s="3804" t="s">
        <v>3560</v>
      </c>
      <c r="D13" s="3809" t="s">
        <v>3561</v>
      </c>
      <c r="E13" s="3823" t="s">
        <v>3562</v>
      </c>
      <c r="F13" s="3819">
        <v>420</v>
      </c>
      <c r="G13" s="3805">
        <v>8.5</v>
      </c>
      <c r="H13" s="3806">
        <v>0.7</v>
      </c>
      <c r="I13" s="3819" t="s">
        <v>3563</v>
      </c>
      <c r="J13" s="3819" t="s">
        <v>3564</v>
      </c>
      <c r="K13" s="3813" t="s">
        <v>3565</v>
      </c>
      <c r="M13" s="3816">
        <f t="shared" si="0"/>
        <v>3570</v>
      </c>
    </row>
    <row r="14" spans="1:15" s="3818" customFormat="1" ht="30" customHeight="1">
      <c r="A14" s="3819">
        <v>12</v>
      </c>
      <c r="B14" s="3819" t="s">
        <v>3558</v>
      </c>
      <c r="C14" s="3804" t="s">
        <v>3566</v>
      </c>
      <c r="D14" s="3809" t="s">
        <v>3567</v>
      </c>
      <c r="E14" s="3819" t="s">
        <v>3568</v>
      </c>
      <c r="F14" s="3819">
        <v>620</v>
      </c>
      <c r="G14" s="3805">
        <v>9.15</v>
      </c>
      <c r="H14" s="3806">
        <v>0.7</v>
      </c>
      <c r="I14" s="3819" t="s">
        <v>3569</v>
      </c>
      <c r="J14" s="3819" t="s">
        <v>3570</v>
      </c>
      <c r="K14" s="3813" t="s">
        <v>3571</v>
      </c>
      <c r="M14" s="3816">
        <f t="shared" si="0"/>
        <v>5673</v>
      </c>
    </row>
    <row r="15" spans="1:15" ht="35.25" customHeight="1">
      <c r="A15" s="3819">
        <v>13</v>
      </c>
      <c r="B15" s="3819" t="s">
        <v>3551</v>
      </c>
      <c r="C15" s="3804" t="s">
        <v>3572</v>
      </c>
      <c r="D15" s="3809" t="s">
        <v>3573</v>
      </c>
      <c r="E15" s="3826" t="s">
        <v>3574</v>
      </c>
      <c r="F15" s="3826">
        <v>540</v>
      </c>
      <c r="G15" s="3824">
        <v>8.6</v>
      </c>
      <c r="H15" s="3826">
        <v>0.7</v>
      </c>
      <c r="I15" s="3826" t="s">
        <v>3575</v>
      </c>
      <c r="J15" s="3826" t="s">
        <v>3576</v>
      </c>
      <c r="K15" s="3831" t="s">
        <v>3550</v>
      </c>
      <c r="M15" s="3816">
        <f t="shared" si="0"/>
        <v>4644</v>
      </c>
    </row>
    <row r="16" spans="1:15" ht="30" customHeight="1">
      <c r="A16" s="3819">
        <v>14</v>
      </c>
      <c r="B16" s="3819" t="s">
        <v>3551</v>
      </c>
      <c r="C16" s="3804" t="s">
        <v>3577</v>
      </c>
      <c r="D16" s="3809" t="s">
        <v>3578</v>
      </c>
      <c r="E16" s="3819" t="s">
        <v>3579</v>
      </c>
      <c r="F16" s="3823">
        <v>206</v>
      </c>
      <c r="G16" s="3824">
        <v>8.5500000000000007</v>
      </c>
      <c r="H16" s="3823">
        <v>0.8</v>
      </c>
      <c r="I16" s="3823" t="s">
        <v>3580</v>
      </c>
      <c r="J16" s="3823" t="s">
        <v>3581</v>
      </c>
      <c r="K16" s="3806" t="s">
        <v>3582</v>
      </c>
      <c r="M16" s="3816">
        <f t="shared" si="0"/>
        <v>1761.3000000000002</v>
      </c>
    </row>
    <row r="17" spans="1:13" ht="30" customHeight="1">
      <c r="A17" s="3819">
        <v>15</v>
      </c>
      <c r="B17" s="3819" t="s">
        <v>3583</v>
      </c>
      <c r="C17" s="3804" t="s">
        <v>3584</v>
      </c>
      <c r="D17" s="3809" t="s">
        <v>3585</v>
      </c>
      <c r="E17" s="3819" t="s">
        <v>3586</v>
      </c>
      <c r="F17" s="3823">
        <v>207</v>
      </c>
      <c r="G17" s="3824">
        <v>8.5500000000000007</v>
      </c>
      <c r="H17" s="3823">
        <v>0.8</v>
      </c>
      <c r="I17" s="3823" t="s">
        <v>3587</v>
      </c>
      <c r="J17" s="3823" t="s">
        <v>3588</v>
      </c>
      <c r="K17" s="3806" t="s">
        <v>3582</v>
      </c>
      <c r="M17" s="3816">
        <f t="shared" si="0"/>
        <v>1769.8500000000001</v>
      </c>
    </row>
    <row r="18" spans="1:13" ht="30" customHeight="1">
      <c r="A18" s="3819">
        <v>16</v>
      </c>
      <c r="B18" s="3819" t="s">
        <v>3583</v>
      </c>
      <c r="C18" s="3804" t="s">
        <v>3584</v>
      </c>
      <c r="D18" s="3809" t="s">
        <v>3589</v>
      </c>
      <c r="E18" s="3819" t="s">
        <v>3590</v>
      </c>
      <c r="F18" s="3823">
        <v>207</v>
      </c>
      <c r="G18" s="3824">
        <v>8.5500000000000007</v>
      </c>
      <c r="H18" s="3823">
        <v>0.8</v>
      </c>
      <c r="I18" s="3823" t="s">
        <v>3587</v>
      </c>
      <c r="J18" s="3823" t="s">
        <v>3588</v>
      </c>
      <c r="K18" s="3806" t="s">
        <v>3582</v>
      </c>
      <c r="M18" s="3816">
        <f t="shared" si="0"/>
        <v>1769.8500000000001</v>
      </c>
    </row>
    <row r="19" spans="1:13" s="3818" customFormat="1" ht="30" customHeight="1">
      <c r="A19" s="3819">
        <v>17</v>
      </c>
      <c r="B19" s="3819" t="s">
        <v>3583</v>
      </c>
      <c r="C19" s="3804" t="s">
        <v>3591</v>
      </c>
      <c r="D19" s="3809" t="s">
        <v>3592</v>
      </c>
      <c r="E19" s="3826" t="s">
        <v>3593</v>
      </c>
      <c r="F19" s="3823">
        <v>540</v>
      </c>
      <c r="G19" s="3824">
        <v>8.5</v>
      </c>
      <c r="H19" s="3826">
        <v>0.7</v>
      </c>
      <c r="I19" s="3826" t="s">
        <v>3594</v>
      </c>
      <c r="J19" s="3826" t="s">
        <v>3595</v>
      </c>
      <c r="K19" s="3831" t="s">
        <v>3596</v>
      </c>
      <c r="M19" s="3816">
        <f t="shared" si="0"/>
        <v>4590</v>
      </c>
    </row>
    <row r="20" spans="1:13" s="3811" customFormat="1" ht="30" customHeight="1">
      <c r="A20" s="3819">
        <v>18</v>
      </c>
      <c r="B20" s="3819" t="s">
        <v>3558</v>
      </c>
      <c r="C20" s="3804" t="s">
        <v>3597</v>
      </c>
      <c r="D20" s="3809" t="s">
        <v>3598</v>
      </c>
      <c r="E20" s="3806" t="s">
        <v>3599</v>
      </c>
      <c r="F20" s="3826">
        <v>507</v>
      </c>
      <c r="G20" s="3824">
        <v>9</v>
      </c>
      <c r="H20" s="3826">
        <v>0.75</v>
      </c>
      <c r="I20" s="3826" t="s">
        <v>3600</v>
      </c>
      <c r="J20" s="3826" t="s">
        <v>3601</v>
      </c>
      <c r="K20" s="3831" t="s">
        <v>3557</v>
      </c>
      <c r="M20" s="3816">
        <f t="shared" si="0"/>
        <v>4563</v>
      </c>
    </row>
    <row r="21" spans="1:13" s="3818" customFormat="1" ht="30.6" customHeight="1">
      <c r="A21" s="3819">
        <v>19</v>
      </c>
      <c r="B21" s="3819" t="s">
        <v>3558</v>
      </c>
      <c r="C21" s="3804" t="s">
        <v>3602</v>
      </c>
      <c r="D21" s="3809" t="s">
        <v>3603</v>
      </c>
      <c r="E21" s="3832" t="s">
        <v>3604</v>
      </c>
      <c r="F21" s="3806">
        <v>120</v>
      </c>
      <c r="G21" s="3805">
        <v>9</v>
      </c>
      <c r="H21" s="3813">
        <v>0.7</v>
      </c>
      <c r="I21" s="3832" t="s">
        <v>3605</v>
      </c>
      <c r="J21" s="3833" t="s">
        <v>3606</v>
      </c>
      <c r="K21" s="3834" t="s">
        <v>3557</v>
      </c>
      <c r="M21" s="3816">
        <f t="shared" si="0"/>
        <v>1080</v>
      </c>
    </row>
    <row r="22" spans="1:13" s="3818" customFormat="1" ht="30.6" customHeight="1">
      <c r="A22" s="3819">
        <v>20</v>
      </c>
      <c r="B22" s="3819" t="s">
        <v>3558</v>
      </c>
      <c r="C22" s="3804" t="s">
        <v>3602</v>
      </c>
      <c r="D22" s="3809" t="s">
        <v>3607</v>
      </c>
      <c r="E22" s="3832"/>
      <c r="F22" s="3806">
        <v>420</v>
      </c>
      <c r="G22" s="3805">
        <v>9</v>
      </c>
      <c r="H22" s="3813">
        <v>0.7</v>
      </c>
      <c r="I22" s="3832"/>
      <c r="J22" s="3833" t="s">
        <v>3606</v>
      </c>
      <c r="K22" s="3834"/>
      <c r="M22" s="3816">
        <f t="shared" si="0"/>
        <v>3780</v>
      </c>
    </row>
    <row r="23" spans="1:13" s="3811" customFormat="1" ht="30" customHeight="1">
      <c r="A23" s="3819">
        <v>21</v>
      </c>
      <c r="B23" s="3819" t="s">
        <v>3608</v>
      </c>
      <c r="C23" s="3804" t="s">
        <v>3609</v>
      </c>
      <c r="D23" s="3809" t="s">
        <v>3610</v>
      </c>
      <c r="E23" s="3826" t="s">
        <v>3611</v>
      </c>
      <c r="F23" s="3826">
        <v>700</v>
      </c>
      <c r="G23" s="3824">
        <v>5.3</v>
      </c>
      <c r="H23" s="3826">
        <v>0.7</v>
      </c>
      <c r="I23" s="3826" t="s">
        <v>3612</v>
      </c>
      <c r="J23" s="3826" t="s">
        <v>3613</v>
      </c>
      <c r="K23" s="3831" t="s">
        <v>3614</v>
      </c>
      <c r="M23" s="3816">
        <f t="shared" si="0"/>
        <v>3710</v>
      </c>
    </row>
    <row r="24" spans="1:13" ht="30" customHeight="1">
      <c r="A24" s="3819">
        <v>22</v>
      </c>
      <c r="B24" s="3819" t="s">
        <v>3608</v>
      </c>
      <c r="C24" s="3804" t="s">
        <v>3615</v>
      </c>
      <c r="D24" s="3809" t="s">
        <v>3616</v>
      </c>
      <c r="E24" s="3835" t="s">
        <v>3617</v>
      </c>
      <c r="F24" s="3836">
        <v>387</v>
      </c>
      <c r="G24" s="3837">
        <v>9.1999999999999993</v>
      </c>
      <c r="H24" s="3835">
        <v>0.75</v>
      </c>
      <c r="I24" s="3822" t="s">
        <v>3618</v>
      </c>
      <c r="J24" s="3822" t="s">
        <v>3619</v>
      </c>
      <c r="K24" s="3813" t="s">
        <v>3620</v>
      </c>
      <c r="M24" s="3816">
        <f t="shared" si="0"/>
        <v>3560.3999999999996</v>
      </c>
    </row>
    <row r="25" spans="1:13" ht="30" customHeight="1">
      <c r="A25" s="3819">
        <v>23</v>
      </c>
      <c r="B25" s="3819" t="s">
        <v>3608</v>
      </c>
      <c r="C25" s="3804" t="s">
        <v>3621</v>
      </c>
      <c r="D25" s="3807" t="s">
        <v>3622</v>
      </c>
      <c r="E25" s="3817" t="s">
        <v>3623</v>
      </c>
      <c r="F25" s="3836">
        <v>145.19999999999999</v>
      </c>
      <c r="G25" s="3838">
        <v>8</v>
      </c>
      <c r="H25" s="3839">
        <v>0.7</v>
      </c>
      <c r="I25" s="3840" t="s">
        <v>3624</v>
      </c>
      <c r="J25" s="3839" t="s">
        <v>3625</v>
      </c>
      <c r="K25" s="3841" t="s">
        <v>3626</v>
      </c>
      <c r="M25" s="3816">
        <f t="shared" si="0"/>
        <v>1161.5999999999999</v>
      </c>
    </row>
    <row r="26" spans="1:13" ht="30" customHeight="1">
      <c r="A26" s="3819">
        <v>24</v>
      </c>
      <c r="B26" s="3819" t="s">
        <v>3608</v>
      </c>
      <c r="C26" s="3804" t="s">
        <v>3621</v>
      </c>
      <c r="D26" s="3807" t="s">
        <v>3627</v>
      </c>
      <c r="E26" s="3817"/>
      <c r="F26" s="3836">
        <v>145.19999999999999</v>
      </c>
      <c r="G26" s="3838">
        <v>8</v>
      </c>
      <c r="H26" s="3839">
        <v>0.7</v>
      </c>
      <c r="I26" s="3840"/>
      <c r="J26" s="3839" t="s">
        <v>3625</v>
      </c>
      <c r="K26" s="3841"/>
      <c r="M26" s="3816">
        <f t="shared" si="0"/>
        <v>1161.5999999999999</v>
      </c>
    </row>
    <row r="27" spans="1:13" ht="30" customHeight="1">
      <c r="A27" s="3819">
        <v>25</v>
      </c>
      <c r="B27" s="3819" t="s">
        <v>3608</v>
      </c>
      <c r="C27" s="3804" t="s">
        <v>3621</v>
      </c>
      <c r="D27" s="3807" t="s">
        <v>3628</v>
      </c>
      <c r="E27" s="3817"/>
      <c r="F27" s="3836">
        <v>72.599999999999994</v>
      </c>
      <c r="G27" s="3838">
        <v>8</v>
      </c>
      <c r="H27" s="3839">
        <v>0.7</v>
      </c>
      <c r="I27" s="3840"/>
      <c r="J27" s="3839" t="s">
        <v>3625</v>
      </c>
      <c r="K27" s="3841"/>
      <c r="M27" s="3816">
        <f t="shared" si="0"/>
        <v>580.79999999999995</v>
      </c>
    </row>
    <row r="28" spans="1:13" s="3811" customFormat="1" ht="35.25" customHeight="1">
      <c r="A28" s="3819">
        <v>26</v>
      </c>
      <c r="B28" s="3819" t="s">
        <v>3608</v>
      </c>
      <c r="C28" s="3804" t="s">
        <v>3629</v>
      </c>
      <c r="D28" s="3807" t="s">
        <v>3630</v>
      </c>
      <c r="E28" s="3809" t="s">
        <v>3631</v>
      </c>
      <c r="F28" s="3826">
        <v>320</v>
      </c>
      <c r="G28" s="3824">
        <v>8.5</v>
      </c>
      <c r="H28" s="3826">
        <v>0.7</v>
      </c>
      <c r="I28" s="3831" t="s">
        <v>3632</v>
      </c>
      <c r="J28" s="3807" t="s">
        <v>3633</v>
      </c>
      <c r="K28" s="3809" t="s">
        <v>3557</v>
      </c>
      <c r="M28" s="3816">
        <f t="shared" si="0"/>
        <v>2720</v>
      </c>
    </row>
    <row r="29" spans="1:13" s="3811" customFormat="1" ht="30" customHeight="1">
      <c r="A29" s="3819">
        <v>27</v>
      </c>
      <c r="B29" s="3819" t="s">
        <v>3608</v>
      </c>
      <c r="C29" s="3804" t="s">
        <v>3634</v>
      </c>
      <c r="D29" s="3809" t="s">
        <v>3635</v>
      </c>
      <c r="E29" s="3809" t="s">
        <v>3636</v>
      </c>
      <c r="F29" s="3826">
        <v>1080</v>
      </c>
      <c r="G29" s="3842">
        <v>8</v>
      </c>
      <c r="H29" s="3843">
        <v>0.7</v>
      </c>
      <c r="I29" s="3831" t="s">
        <v>3637</v>
      </c>
      <c r="J29" s="3831" t="s">
        <v>3638</v>
      </c>
      <c r="K29" s="3809" t="s">
        <v>3557</v>
      </c>
      <c r="M29" s="3816">
        <f t="shared" si="0"/>
        <v>8640</v>
      </c>
    </row>
    <row r="30" spans="1:13" s="3818" customFormat="1" ht="30" customHeight="1">
      <c r="A30" s="3819">
        <v>28</v>
      </c>
      <c r="B30" s="3819" t="s">
        <v>3608</v>
      </c>
      <c r="C30" s="3804" t="s">
        <v>3639</v>
      </c>
      <c r="D30" s="3809" t="s">
        <v>3640</v>
      </c>
      <c r="E30" s="3809" t="s">
        <v>3641</v>
      </c>
      <c r="F30" s="3806">
        <v>40</v>
      </c>
      <c r="G30" s="3844">
        <v>7.5</v>
      </c>
      <c r="H30" s="3845">
        <v>0.75</v>
      </c>
      <c r="I30" s="3845" t="s">
        <v>3642</v>
      </c>
      <c r="J30" s="3845" t="s">
        <v>3643</v>
      </c>
      <c r="K30" s="3845" t="s">
        <v>3644</v>
      </c>
      <c r="M30" s="3816">
        <f t="shared" si="0"/>
        <v>300</v>
      </c>
    </row>
    <row r="31" spans="1:13" s="3818" customFormat="1" ht="30" customHeight="1">
      <c r="A31" s="3819">
        <v>29</v>
      </c>
      <c r="B31" s="3819" t="s">
        <v>3608</v>
      </c>
      <c r="C31" s="3804" t="s">
        <v>3645</v>
      </c>
      <c r="D31" s="3807" t="s">
        <v>3646</v>
      </c>
      <c r="E31" s="3845" t="s">
        <v>3647</v>
      </c>
      <c r="F31" s="3846">
        <v>43</v>
      </c>
      <c r="G31" s="3844">
        <v>8.8000000000000007</v>
      </c>
      <c r="H31" s="3845">
        <v>0.7</v>
      </c>
      <c r="I31" s="3845" t="s">
        <v>3648</v>
      </c>
      <c r="J31" s="3845" t="s">
        <v>3649</v>
      </c>
      <c r="K31" s="3845" t="s">
        <v>3557</v>
      </c>
      <c r="M31" s="3816">
        <f t="shared" si="0"/>
        <v>378.40000000000003</v>
      </c>
    </row>
    <row r="32" spans="1:13" s="3818" customFormat="1" ht="30" customHeight="1">
      <c r="A32" s="3819">
        <v>30</v>
      </c>
      <c r="B32" s="3819" t="s">
        <v>3608</v>
      </c>
      <c r="C32" s="3804" t="s">
        <v>3650</v>
      </c>
      <c r="D32" s="3807" t="s">
        <v>3651</v>
      </c>
      <c r="E32" s="3845" t="s">
        <v>3652</v>
      </c>
      <c r="F32" s="3846">
        <v>45</v>
      </c>
      <c r="G32" s="3844">
        <v>7</v>
      </c>
      <c r="H32" s="3845">
        <v>0.7</v>
      </c>
      <c r="I32" s="3845" t="s">
        <v>3653</v>
      </c>
      <c r="J32" s="3845" t="s">
        <v>3654</v>
      </c>
      <c r="K32" s="3845" t="s">
        <v>3655</v>
      </c>
      <c r="M32" s="3816">
        <f t="shared" si="0"/>
        <v>315</v>
      </c>
    </row>
    <row r="33" spans="1:13" s="3818" customFormat="1" ht="30" customHeight="1">
      <c r="A33" s="3819">
        <v>31</v>
      </c>
      <c r="B33" s="3819" t="s">
        <v>3608</v>
      </c>
      <c r="C33" s="3804" t="s">
        <v>3656</v>
      </c>
      <c r="D33" s="3807" t="s">
        <v>3657</v>
      </c>
      <c r="E33" s="3845" t="s">
        <v>3658</v>
      </c>
      <c r="F33" s="3846">
        <v>58.5</v>
      </c>
      <c r="G33" s="3844">
        <v>9.17</v>
      </c>
      <c r="H33" s="3845">
        <v>0.75</v>
      </c>
      <c r="I33" s="3845" t="s">
        <v>3659</v>
      </c>
      <c r="J33" s="3845" t="s">
        <v>3660</v>
      </c>
      <c r="K33" s="3845"/>
      <c r="M33" s="3816">
        <f t="shared" si="0"/>
        <v>536.44500000000005</v>
      </c>
    </row>
    <row r="34" spans="1:13" s="3818" customFormat="1" ht="30" customHeight="1">
      <c r="A34" s="3819">
        <v>32</v>
      </c>
      <c r="B34" s="3819" t="s">
        <v>3608</v>
      </c>
      <c r="C34" s="3804" t="s">
        <v>3661</v>
      </c>
      <c r="D34" s="3807" t="s">
        <v>3662</v>
      </c>
      <c r="E34" s="3845" t="s">
        <v>3663</v>
      </c>
      <c r="F34" s="3806">
        <v>289.5</v>
      </c>
      <c r="G34" s="3844">
        <v>5.39</v>
      </c>
      <c r="H34" s="3845">
        <v>0.75</v>
      </c>
      <c r="I34" s="3845" t="s">
        <v>3664</v>
      </c>
      <c r="J34" s="3845" t="s">
        <v>3595</v>
      </c>
      <c r="K34" s="3845" t="s">
        <v>3665</v>
      </c>
      <c r="M34" s="3816">
        <f t="shared" si="0"/>
        <v>1560.405</v>
      </c>
    </row>
    <row r="35" spans="1:13" s="3818" customFormat="1" ht="30" customHeight="1">
      <c r="A35" s="3819">
        <v>33</v>
      </c>
      <c r="B35" s="3819" t="s">
        <v>3608</v>
      </c>
      <c r="C35" s="3804" t="s">
        <v>3666</v>
      </c>
      <c r="D35" s="3807" t="s">
        <v>3667</v>
      </c>
      <c r="E35" s="3845" t="s">
        <v>3668</v>
      </c>
      <c r="F35" s="3846">
        <v>193</v>
      </c>
      <c r="G35" s="3844">
        <v>5.39</v>
      </c>
      <c r="H35" s="3845">
        <v>0.75</v>
      </c>
      <c r="I35" s="3845" t="s">
        <v>3664</v>
      </c>
      <c r="J35" s="3845" t="s">
        <v>3595</v>
      </c>
      <c r="K35" s="3845" t="s">
        <v>3665</v>
      </c>
      <c r="M35" s="3816">
        <f t="shared" si="0"/>
        <v>1040.27</v>
      </c>
    </row>
    <row r="36" spans="1:13" s="3818" customFormat="1" ht="30" customHeight="1">
      <c r="A36" s="3819">
        <v>34</v>
      </c>
      <c r="B36" s="3819" t="s">
        <v>3608</v>
      </c>
      <c r="C36" s="3804" t="s">
        <v>3669</v>
      </c>
      <c r="D36" s="3807" t="s">
        <v>3670</v>
      </c>
      <c r="E36" s="3845" t="s">
        <v>3671</v>
      </c>
      <c r="F36" s="3809">
        <v>222.5</v>
      </c>
      <c r="G36" s="3844">
        <v>5.4</v>
      </c>
      <c r="H36" s="3845">
        <v>0.7</v>
      </c>
      <c r="I36" s="3845" t="s">
        <v>3632</v>
      </c>
      <c r="J36" s="3845" t="s">
        <v>3672</v>
      </c>
      <c r="K36" s="3845" t="s">
        <v>3673</v>
      </c>
      <c r="M36" s="3816">
        <f t="shared" si="0"/>
        <v>1201.5</v>
      </c>
    </row>
    <row r="37" spans="1:13" s="3818" customFormat="1" ht="30" customHeight="1">
      <c r="A37" s="3819">
        <v>35</v>
      </c>
      <c r="B37" s="3819" t="s">
        <v>3674</v>
      </c>
      <c r="C37" s="3804" t="s">
        <v>3675</v>
      </c>
      <c r="D37" s="3809" t="s">
        <v>3676</v>
      </c>
      <c r="E37" s="3845" t="s">
        <v>3677</v>
      </c>
      <c r="F37" s="3845">
        <v>412.13</v>
      </c>
      <c r="G37" s="3844">
        <v>11</v>
      </c>
      <c r="H37" s="3845">
        <v>0.7</v>
      </c>
      <c r="I37" s="3845" t="s">
        <v>3678</v>
      </c>
      <c r="J37" s="3845" t="s">
        <v>3606</v>
      </c>
      <c r="K37" s="3847" t="s">
        <v>3679</v>
      </c>
      <c r="M37" s="3816">
        <f t="shared" si="0"/>
        <v>4533.43</v>
      </c>
    </row>
    <row r="38" spans="1:13" s="3811" customFormat="1" ht="35.25" customHeight="1">
      <c r="A38" s="3819">
        <v>36</v>
      </c>
      <c r="B38" s="3825" t="s">
        <v>3680</v>
      </c>
      <c r="C38" s="3804" t="s">
        <v>3681</v>
      </c>
      <c r="D38" s="3809" t="s">
        <v>3682</v>
      </c>
      <c r="E38" s="3825" t="s">
        <v>3683</v>
      </c>
      <c r="F38" s="3826">
        <v>1300</v>
      </c>
      <c r="G38" s="3824">
        <v>5.0999999999999996</v>
      </c>
      <c r="H38" s="3831">
        <v>0.7</v>
      </c>
      <c r="I38" s="3826" t="s">
        <v>3684</v>
      </c>
      <c r="J38" s="3826" t="s">
        <v>3685</v>
      </c>
      <c r="K38" s="3831" t="s">
        <v>3557</v>
      </c>
      <c r="M38" s="3816">
        <f t="shared" si="0"/>
        <v>6629.9999999999991</v>
      </c>
    </row>
    <row r="39" spans="1:13" s="3848" customFormat="1" ht="30" customHeight="1">
      <c r="A39" s="3819">
        <v>37</v>
      </c>
      <c r="B39" s="3819" t="s">
        <v>3686</v>
      </c>
      <c r="C39" s="3804" t="s">
        <v>3687</v>
      </c>
      <c r="D39" s="3809" t="s">
        <v>3688</v>
      </c>
      <c r="E39" s="3806" t="s">
        <v>3689</v>
      </c>
      <c r="F39" s="3806">
        <v>506</v>
      </c>
      <c r="G39" s="3805">
        <v>10.1</v>
      </c>
      <c r="H39" s="3806">
        <v>0.9</v>
      </c>
      <c r="I39" s="3806" t="s">
        <v>3690</v>
      </c>
      <c r="J39" s="3806" t="s">
        <v>3691</v>
      </c>
      <c r="K39" s="3806" t="s">
        <v>3692</v>
      </c>
      <c r="M39" s="3816">
        <f t="shared" si="0"/>
        <v>5110.5999999999995</v>
      </c>
    </row>
    <row r="40" spans="1:13" s="3848" customFormat="1" ht="30" customHeight="1">
      <c r="A40" s="3819">
        <v>38</v>
      </c>
      <c r="B40" s="3819" t="s">
        <v>3686</v>
      </c>
      <c r="C40" s="3804" t="s">
        <v>3693</v>
      </c>
      <c r="D40" s="3809" t="s">
        <v>3694</v>
      </c>
      <c r="E40" s="3806" t="s">
        <v>3695</v>
      </c>
      <c r="F40" s="3806">
        <v>2104</v>
      </c>
      <c r="G40" s="3805">
        <v>9.39</v>
      </c>
      <c r="H40" s="3806">
        <v>0.85</v>
      </c>
      <c r="I40" s="3806" t="s">
        <v>3696</v>
      </c>
      <c r="J40" s="3806" t="s">
        <v>3697</v>
      </c>
      <c r="K40" s="3833" t="s">
        <v>3698</v>
      </c>
      <c r="M40" s="3816">
        <f t="shared" si="0"/>
        <v>19756.560000000001</v>
      </c>
    </row>
    <row r="41" spans="1:13" s="3853" customFormat="1" ht="30" customHeight="1">
      <c r="A41" s="3819">
        <v>39</v>
      </c>
      <c r="B41" s="3806" t="s">
        <v>3699</v>
      </c>
      <c r="C41" s="3804" t="s">
        <v>3700</v>
      </c>
      <c r="D41" s="3809" t="s">
        <v>3701</v>
      </c>
      <c r="E41" s="3849" t="s">
        <v>3702</v>
      </c>
      <c r="F41" s="3850">
        <v>130</v>
      </c>
      <c r="G41" s="3851">
        <v>8.6</v>
      </c>
      <c r="H41" s="3852">
        <v>0.7</v>
      </c>
      <c r="I41" s="3849" t="s">
        <v>3703</v>
      </c>
      <c r="J41" s="3849" t="s">
        <v>3704</v>
      </c>
      <c r="K41" s="3813" t="s">
        <v>3705</v>
      </c>
      <c r="M41" s="3816">
        <f t="shared" si="0"/>
        <v>1118</v>
      </c>
    </row>
    <row r="42" spans="1:13" ht="42" customHeight="1">
      <c r="A42" s="3819">
        <v>40</v>
      </c>
      <c r="B42" s="3806" t="s">
        <v>3699</v>
      </c>
      <c r="C42" s="3804" t="s">
        <v>3706</v>
      </c>
      <c r="D42" s="3807" t="s">
        <v>3646</v>
      </c>
      <c r="E42" s="3854" t="s">
        <v>3707</v>
      </c>
      <c r="F42" s="3806">
        <v>109.08</v>
      </c>
      <c r="G42" s="3824">
        <v>10.1</v>
      </c>
      <c r="H42" s="3831">
        <v>0.79</v>
      </c>
      <c r="I42" s="3841" t="s">
        <v>3708</v>
      </c>
      <c r="J42" s="3831" t="s">
        <v>3697</v>
      </c>
      <c r="K42" s="3841" t="s">
        <v>3557</v>
      </c>
      <c r="M42" s="3816">
        <f t="shared" si="0"/>
        <v>1101.7079999999999</v>
      </c>
    </row>
    <row r="43" spans="1:13" ht="42" customHeight="1">
      <c r="A43" s="3819">
        <v>41</v>
      </c>
      <c r="B43" s="3806" t="s">
        <v>3699</v>
      </c>
      <c r="C43" s="3804" t="s">
        <v>3706</v>
      </c>
      <c r="D43" s="3807" t="s">
        <v>3709</v>
      </c>
      <c r="E43" s="3854"/>
      <c r="F43" s="3806">
        <v>72.72</v>
      </c>
      <c r="G43" s="3824">
        <v>10.1</v>
      </c>
      <c r="H43" s="3831">
        <v>0.79</v>
      </c>
      <c r="I43" s="3841"/>
      <c r="J43" s="3831" t="s">
        <v>3697</v>
      </c>
      <c r="K43" s="3841"/>
      <c r="M43" s="3816">
        <f t="shared" si="0"/>
        <v>734.47199999999998</v>
      </c>
    </row>
    <row r="44" spans="1:13" s="3818" customFormat="1" ht="30" customHeight="1">
      <c r="A44" s="3819">
        <v>42</v>
      </c>
      <c r="B44" s="3806" t="s">
        <v>3699</v>
      </c>
      <c r="C44" s="3804" t="s">
        <v>3710</v>
      </c>
      <c r="D44" s="3809" t="s">
        <v>3711</v>
      </c>
      <c r="E44" s="3819" t="s">
        <v>3712</v>
      </c>
      <c r="F44" s="3855">
        <v>98</v>
      </c>
      <c r="G44" s="3805">
        <v>8.8000000000000007</v>
      </c>
      <c r="H44" s="3856">
        <v>0.7</v>
      </c>
      <c r="I44" s="3856" t="s">
        <v>3713</v>
      </c>
      <c r="J44" s="3856" t="s">
        <v>3714</v>
      </c>
      <c r="K44" s="3813" t="s">
        <v>3715</v>
      </c>
      <c r="M44" s="3816">
        <f t="shared" si="0"/>
        <v>862.40000000000009</v>
      </c>
    </row>
    <row r="45" spans="1:13" s="3857" customFormat="1" ht="29.25" customHeight="1">
      <c r="A45" s="3819">
        <v>43</v>
      </c>
      <c r="B45" s="3806" t="s">
        <v>3699</v>
      </c>
      <c r="C45" s="3804" t="s">
        <v>3716</v>
      </c>
      <c r="D45" s="3807" t="s">
        <v>3717</v>
      </c>
      <c r="E45" s="3813" t="s">
        <v>3718</v>
      </c>
      <c r="F45" s="3855">
        <v>42</v>
      </c>
      <c r="G45" s="3805">
        <v>8.8000000000000007</v>
      </c>
      <c r="H45" s="3856">
        <v>0.7</v>
      </c>
      <c r="I45" s="3813" t="s">
        <v>3719</v>
      </c>
      <c r="J45" s="3813" t="s">
        <v>3633</v>
      </c>
      <c r="K45" s="3813" t="s">
        <v>3415</v>
      </c>
      <c r="M45" s="3816">
        <f t="shared" si="0"/>
        <v>369.6</v>
      </c>
    </row>
    <row r="46" spans="1:13" s="3811" customFormat="1" ht="30" customHeight="1">
      <c r="A46" s="3819">
        <v>44</v>
      </c>
      <c r="B46" s="3806" t="s">
        <v>3699</v>
      </c>
      <c r="C46" s="3804" t="s">
        <v>3720</v>
      </c>
      <c r="D46" s="3807" t="s">
        <v>3721</v>
      </c>
      <c r="E46" s="3807" t="s">
        <v>3722</v>
      </c>
      <c r="F46" s="3858">
        <v>99</v>
      </c>
      <c r="G46" s="3808">
        <v>9</v>
      </c>
      <c r="H46" s="3859">
        <v>0.7</v>
      </c>
      <c r="I46" s="3807" t="s">
        <v>3723</v>
      </c>
      <c r="J46" s="3807" t="s">
        <v>3685</v>
      </c>
      <c r="K46" s="3860" t="s">
        <v>3557</v>
      </c>
      <c r="M46" s="3816">
        <f t="shared" si="0"/>
        <v>891</v>
      </c>
    </row>
    <row r="47" spans="1:13" ht="30" customHeight="1">
      <c r="A47" s="3819">
        <v>45</v>
      </c>
      <c r="B47" s="3806" t="s">
        <v>3699</v>
      </c>
      <c r="C47" s="3804" t="s">
        <v>3724</v>
      </c>
      <c r="D47" s="3809" t="s">
        <v>3725</v>
      </c>
      <c r="E47" s="3813" t="s">
        <v>3726</v>
      </c>
      <c r="F47" s="3861">
        <v>30</v>
      </c>
      <c r="G47" s="3824">
        <v>9.5</v>
      </c>
      <c r="H47" s="3862">
        <v>0.7</v>
      </c>
      <c r="I47" s="3831" t="s">
        <v>3727</v>
      </c>
      <c r="J47" s="3856" t="s">
        <v>3728</v>
      </c>
      <c r="K47" s="3813" t="s">
        <v>3729</v>
      </c>
      <c r="M47" s="3816">
        <f t="shared" si="0"/>
        <v>285</v>
      </c>
    </row>
    <row r="48" spans="1:13" s="3818" customFormat="1" ht="16.5">
      <c r="A48" s="3819">
        <v>46</v>
      </c>
      <c r="B48" s="3806" t="s">
        <v>3699</v>
      </c>
      <c r="C48" s="3804" t="s">
        <v>3730</v>
      </c>
      <c r="D48" s="3807" t="s">
        <v>3731</v>
      </c>
      <c r="E48" s="3834" t="s">
        <v>3732</v>
      </c>
      <c r="F48" s="3855">
        <v>30</v>
      </c>
      <c r="G48" s="3805">
        <v>9.5</v>
      </c>
      <c r="H48" s="3856">
        <v>0.7</v>
      </c>
      <c r="I48" s="3831" t="s">
        <v>3727</v>
      </c>
      <c r="J48" s="3856" t="s">
        <v>3728</v>
      </c>
      <c r="K48" s="3863" t="s">
        <v>3557</v>
      </c>
      <c r="M48" s="3816">
        <f t="shared" si="0"/>
        <v>285</v>
      </c>
    </row>
    <row r="49" spans="1:13" s="3818" customFormat="1" ht="30" customHeight="1">
      <c r="A49" s="3819">
        <v>47</v>
      </c>
      <c r="B49" s="3806" t="s">
        <v>3699</v>
      </c>
      <c r="C49" s="3804" t="s">
        <v>3730</v>
      </c>
      <c r="D49" s="3807" t="s">
        <v>3733</v>
      </c>
      <c r="E49" s="3834"/>
      <c r="F49" s="3855">
        <v>30</v>
      </c>
      <c r="G49" s="3805">
        <v>9.5</v>
      </c>
      <c r="H49" s="3856">
        <v>0.7</v>
      </c>
      <c r="I49" s="3831" t="s">
        <v>3727</v>
      </c>
      <c r="J49" s="3856" t="s">
        <v>3728</v>
      </c>
      <c r="K49" s="3863" t="s">
        <v>3557</v>
      </c>
      <c r="M49" s="3816">
        <f t="shared" si="0"/>
        <v>285</v>
      </c>
    </row>
    <row r="50" spans="1:13" s="3818" customFormat="1" ht="30" customHeight="1">
      <c r="A50" s="3819">
        <v>48</v>
      </c>
      <c r="B50" s="3806" t="s">
        <v>3699</v>
      </c>
      <c r="C50" s="3804" t="s">
        <v>3730</v>
      </c>
      <c r="D50" s="3807" t="s">
        <v>3734</v>
      </c>
      <c r="E50" s="3834"/>
      <c r="F50" s="3855">
        <v>30</v>
      </c>
      <c r="G50" s="3805">
        <v>9.5</v>
      </c>
      <c r="H50" s="3856">
        <v>0.7</v>
      </c>
      <c r="I50" s="3831" t="s">
        <v>3727</v>
      </c>
      <c r="J50" s="3856" t="s">
        <v>3728</v>
      </c>
      <c r="K50" s="3863" t="s">
        <v>3557</v>
      </c>
      <c r="M50" s="3816">
        <f t="shared" si="0"/>
        <v>285</v>
      </c>
    </row>
    <row r="51" spans="1:13" s="3818" customFormat="1" ht="30" customHeight="1">
      <c r="A51" s="3819">
        <v>49</v>
      </c>
      <c r="B51" s="3806" t="s">
        <v>3699</v>
      </c>
      <c r="C51" s="3804" t="s">
        <v>3735</v>
      </c>
      <c r="D51" s="3809" t="s">
        <v>3736</v>
      </c>
      <c r="E51" s="3819" t="s">
        <v>3737</v>
      </c>
      <c r="F51" s="3819">
        <v>68</v>
      </c>
      <c r="G51" s="3805">
        <v>9.5</v>
      </c>
      <c r="H51" s="3856">
        <v>0.7</v>
      </c>
      <c r="I51" s="3831" t="s">
        <v>3727</v>
      </c>
      <c r="J51" s="3856" t="s">
        <v>3728</v>
      </c>
      <c r="K51" s="3813" t="s">
        <v>3729</v>
      </c>
      <c r="M51" s="3816">
        <f t="shared" si="0"/>
        <v>646</v>
      </c>
    </row>
    <row r="52" spans="1:13" s="3853" customFormat="1" ht="30" customHeight="1">
      <c r="A52" s="3819">
        <v>50</v>
      </c>
      <c r="B52" s="3806" t="s">
        <v>3699</v>
      </c>
      <c r="C52" s="3804" t="s">
        <v>3738</v>
      </c>
      <c r="D52" s="3809" t="s">
        <v>3739</v>
      </c>
      <c r="E52" s="3847" t="s">
        <v>3740</v>
      </c>
      <c r="F52" s="3861">
        <v>68</v>
      </c>
      <c r="G52" s="3851">
        <v>8</v>
      </c>
      <c r="H52" s="3852">
        <v>0.7</v>
      </c>
      <c r="I52" s="3833" t="s">
        <v>3741</v>
      </c>
      <c r="J52" s="3864" t="s">
        <v>3742</v>
      </c>
      <c r="K52" s="3806" t="s">
        <v>3557</v>
      </c>
      <c r="M52" s="3816">
        <f t="shared" si="0"/>
        <v>544</v>
      </c>
    </row>
    <row r="53" spans="1:13" s="3818" customFormat="1" ht="30" customHeight="1">
      <c r="A53" s="3819">
        <v>51</v>
      </c>
      <c r="B53" s="3806" t="s">
        <v>3699</v>
      </c>
      <c r="C53" s="3804" t="s">
        <v>3743</v>
      </c>
      <c r="D53" s="3809" t="s">
        <v>3733</v>
      </c>
      <c r="E53" s="3865" t="s">
        <v>3744</v>
      </c>
      <c r="F53" s="3833">
        <v>33</v>
      </c>
      <c r="G53" s="3844">
        <v>9.5</v>
      </c>
      <c r="H53" s="3833">
        <v>0.7</v>
      </c>
      <c r="I53" s="3831" t="s">
        <v>3727</v>
      </c>
      <c r="J53" s="3856" t="s">
        <v>3728</v>
      </c>
      <c r="K53" s="3806" t="s">
        <v>3557</v>
      </c>
      <c r="M53" s="3816">
        <f t="shared" si="0"/>
        <v>313.5</v>
      </c>
    </row>
    <row r="54" spans="1:13" s="3818" customFormat="1" ht="30" customHeight="1">
      <c r="A54" s="3819">
        <v>52</v>
      </c>
      <c r="B54" s="3806" t="s">
        <v>3699</v>
      </c>
      <c r="C54" s="3804" t="s">
        <v>3743</v>
      </c>
      <c r="D54" s="3809" t="s">
        <v>3745</v>
      </c>
      <c r="E54" s="3865"/>
      <c r="F54" s="3833">
        <v>66</v>
      </c>
      <c r="G54" s="3844">
        <v>9.5</v>
      </c>
      <c r="H54" s="3833">
        <v>0.7</v>
      </c>
      <c r="I54" s="3831" t="s">
        <v>3727</v>
      </c>
      <c r="J54" s="3856" t="s">
        <v>3728</v>
      </c>
      <c r="K54" s="3806" t="s">
        <v>3557</v>
      </c>
      <c r="M54" s="3816">
        <f t="shared" si="0"/>
        <v>627</v>
      </c>
    </row>
    <row r="55" spans="1:13" s="3811" customFormat="1" ht="30" customHeight="1">
      <c r="A55" s="3819">
        <v>53</v>
      </c>
      <c r="B55" s="3806" t="s">
        <v>3699</v>
      </c>
      <c r="C55" s="3804" t="s">
        <v>3746</v>
      </c>
      <c r="D55" s="3809" t="s">
        <v>3747</v>
      </c>
      <c r="E55" s="3826" t="s">
        <v>3748</v>
      </c>
      <c r="F55" s="3826">
        <v>98</v>
      </c>
      <c r="G55" s="3824">
        <v>9</v>
      </c>
      <c r="H55" s="3826">
        <v>1</v>
      </c>
      <c r="I55" s="3826" t="s">
        <v>3749</v>
      </c>
      <c r="J55" s="3809" t="s">
        <v>3750</v>
      </c>
      <c r="K55" s="3809" t="s">
        <v>3557</v>
      </c>
      <c r="M55" s="3816">
        <f t="shared" si="0"/>
        <v>882</v>
      </c>
    </row>
    <row r="56" spans="1:13" s="3811" customFormat="1" ht="30" customHeight="1">
      <c r="A56" s="3819">
        <v>54</v>
      </c>
      <c r="B56" s="3806" t="s">
        <v>3699</v>
      </c>
      <c r="C56" s="3804" t="s">
        <v>3751</v>
      </c>
      <c r="D56" s="3809" t="s">
        <v>3701</v>
      </c>
      <c r="E56" s="3826" t="s">
        <v>3752</v>
      </c>
      <c r="F56" s="3826">
        <v>33</v>
      </c>
      <c r="G56" s="3824">
        <v>9</v>
      </c>
      <c r="H56" s="3826">
        <v>0.7</v>
      </c>
      <c r="I56" s="3806" t="s">
        <v>3753</v>
      </c>
      <c r="J56" s="3826" t="s">
        <v>3754</v>
      </c>
      <c r="K56" s="3826" t="s">
        <v>3755</v>
      </c>
      <c r="M56" s="3816">
        <f t="shared" si="0"/>
        <v>297</v>
      </c>
    </row>
    <row r="57" spans="1:13" s="3818" customFormat="1" ht="30" customHeight="1">
      <c r="A57" s="3819">
        <v>55</v>
      </c>
      <c r="B57" s="3806" t="s">
        <v>3699</v>
      </c>
      <c r="C57" s="3804" t="s">
        <v>3756</v>
      </c>
      <c r="D57" s="3809" t="s">
        <v>3711</v>
      </c>
      <c r="E57" s="3806" t="s">
        <v>3757</v>
      </c>
      <c r="F57" s="3806">
        <v>30</v>
      </c>
      <c r="G57" s="3805">
        <v>9.5</v>
      </c>
      <c r="H57" s="3806">
        <v>0.8</v>
      </c>
      <c r="I57" s="3809" t="s">
        <v>3758</v>
      </c>
      <c r="J57" s="3813" t="s">
        <v>3759</v>
      </c>
      <c r="K57" s="3813" t="s">
        <v>3760</v>
      </c>
      <c r="M57" s="3816">
        <f t="shared" si="0"/>
        <v>285</v>
      </c>
    </row>
    <row r="58" spans="1:13" s="3818" customFormat="1" ht="30" customHeight="1">
      <c r="A58" s="3819">
        <v>56</v>
      </c>
      <c r="B58" s="3806" t="s">
        <v>3699</v>
      </c>
      <c r="C58" s="3804" t="s">
        <v>3761</v>
      </c>
      <c r="D58" s="3809" t="s">
        <v>3762</v>
      </c>
      <c r="E58" s="3832" t="s">
        <v>3763</v>
      </c>
      <c r="F58" s="3806">
        <v>34</v>
      </c>
      <c r="G58" s="3805">
        <v>9</v>
      </c>
      <c r="H58" s="3806">
        <v>0.7</v>
      </c>
      <c r="I58" s="3806" t="s">
        <v>3764</v>
      </c>
      <c r="J58" s="3806" t="s">
        <v>3765</v>
      </c>
      <c r="K58" s="3834" t="s">
        <v>3557</v>
      </c>
      <c r="M58" s="3816">
        <f t="shared" si="0"/>
        <v>306</v>
      </c>
    </row>
    <row r="59" spans="1:13" s="3818" customFormat="1" ht="30" customHeight="1">
      <c r="A59" s="3819">
        <v>57</v>
      </c>
      <c r="B59" s="3806" t="s">
        <v>3699</v>
      </c>
      <c r="C59" s="3804" t="s">
        <v>3761</v>
      </c>
      <c r="D59" s="3809" t="s">
        <v>3766</v>
      </c>
      <c r="E59" s="3832"/>
      <c r="F59" s="3806">
        <v>34</v>
      </c>
      <c r="G59" s="3805">
        <v>9</v>
      </c>
      <c r="H59" s="3806">
        <v>0.7</v>
      </c>
      <c r="I59" s="3807" t="s">
        <v>3764</v>
      </c>
      <c r="J59" s="3806" t="s">
        <v>3765</v>
      </c>
      <c r="K59" s="3834"/>
      <c r="M59" s="3816">
        <f t="shared" si="0"/>
        <v>306</v>
      </c>
    </row>
    <row r="60" spans="1:13" s="3811" customFormat="1" ht="30" customHeight="1">
      <c r="A60" s="3819">
        <v>58</v>
      </c>
      <c r="B60" s="3806" t="s">
        <v>3699</v>
      </c>
      <c r="C60" s="3804" t="s">
        <v>3767</v>
      </c>
      <c r="D60" s="3809" t="s">
        <v>3768</v>
      </c>
      <c r="E60" s="3807" t="s">
        <v>3769</v>
      </c>
      <c r="F60" s="3809">
        <v>61.7</v>
      </c>
      <c r="G60" s="3808">
        <v>10</v>
      </c>
      <c r="H60" s="3859">
        <v>0.8</v>
      </c>
      <c r="I60" s="3806" t="s">
        <v>3770</v>
      </c>
      <c r="J60" s="3809" t="s">
        <v>3771</v>
      </c>
      <c r="K60" s="3807" t="s">
        <v>3557</v>
      </c>
      <c r="M60" s="3816">
        <f t="shared" si="0"/>
        <v>617</v>
      </c>
    </row>
    <row r="61" spans="1:13" s="3857" customFormat="1" ht="30" customHeight="1">
      <c r="A61" s="3819">
        <v>59</v>
      </c>
      <c r="B61" s="3826" t="s">
        <v>3699</v>
      </c>
      <c r="C61" s="3804" t="s">
        <v>3772</v>
      </c>
      <c r="D61" s="3809" t="s">
        <v>3773</v>
      </c>
      <c r="E61" s="3806" t="s">
        <v>3774</v>
      </c>
      <c r="F61" s="3806">
        <v>90.7</v>
      </c>
      <c r="G61" s="3805">
        <v>10.45</v>
      </c>
      <c r="H61" s="3856">
        <v>0.8</v>
      </c>
      <c r="I61" s="3833" t="s">
        <v>3775</v>
      </c>
      <c r="J61" s="3806" t="s">
        <v>3776</v>
      </c>
      <c r="K61" s="3866" t="s">
        <v>3777</v>
      </c>
      <c r="M61" s="3816">
        <f t="shared" si="0"/>
        <v>947.81499999999994</v>
      </c>
    </row>
    <row r="62" spans="1:13" s="3818" customFormat="1" ht="30" customHeight="1">
      <c r="A62" s="3819">
        <v>60</v>
      </c>
      <c r="B62" s="3833" t="s">
        <v>3778</v>
      </c>
      <c r="C62" s="3804" t="s">
        <v>3779</v>
      </c>
      <c r="D62" s="3809" t="s">
        <v>3780</v>
      </c>
      <c r="E62" s="3833" t="s">
        <v>3781</v>
      </c>
      <c r="F62" s="3833">
        <v>950</v>
      </c>
      <c r="G62" s="3844">
        <v>8</v>
      </c>
      <c r="H62" s="3833">
        <v>0.7</v>
      </c>
      <c r="I62" s="3822" t="s">
        <v>3782</v>
      </c>
      <c r="J62" s="3809" t="s">
        <v>3783</v>
      </c>
      <c r="K62" s="3807" t="s">
        <v>3557</v>
      </c>
      <c r="M62" s="3816">
        <f t="shared" si="0"/>
        <v>7600</v>
      </c>
    </row>
    <row r="63" spans="1:13" s="3870" customFormat="1" ht="30" customHeight="1">
      <c r="A63" s="3819">
        <v>61</v>
      </c>
      <c r="B63" s="3833" t="s">
        <v>3778</v>
      </c>
      <c r="C63" s="3804" t="s">
        <v>3784</v>
      </c>
      <c r="D63" s="3867" t="s">
        <v>3785</v>
      </c>
      <c r="E63" s="3868" t="s">
        <v>3786</v>
      </c>
      <c r="F63" s="3826">
        <v>350</v>
      </c>
      <c r="G63" s="3824">
        <v>8</v>
      </c>
      <c r="H63" s="3826">
        <v>0.7</v>
      </c>
      <c r="I63" s="3826" t="s">
        <v>3787</v>
      </c>
      <c r="J63" s="3826" t="s">
        <v>3788</v>
      </c>
      <c r="K63" s="3869" t="s">
        <v>3789</v>
      </c>
      <c r="M63" s="3816">
        <f t="shared" si="0"/>
        <v>2800</v>
      </c>
    </row>
    <row r="64" spans="1:13" s="3870" customFormat="1" ht="30" customHeight="1">
      <c r="A64" s="3819">
        <v>62</v>
      </c>
      <c r="B64" s="3833" t="s">
        <v>3778</v>
      </c>
      <c r="C64" s="3804" t="s">
        <v>3784</v>
      </c>
      <c r="D64" s="3867" t="s">
        <v>3790</v>
      </c>
      <c r="E64" s="3868" t="s">
        <v>3791</v>
      </c>
      <c r="F64" s="3826">
        <v>600</v>
      </c>
      <c r="G64" s="3824">
        <v>8</v>
      </c>
      <c r="H64" s="3826">
        <v>0.7</v>
      </c>
      <c r="I64" s="3826" t="s">
        <v>3787</v>
      </c>
      <c r="J64" s="3826" t="s">
        <v>3788</v>
      </c>
      <c r="K64" s="3869" t="s">
        <v>3789</v>
      </c>
      <c r="M64" s="3816">
        <f t="shared" si="0"/>
        <v>4800</v>
      </c>
    </row>
    <row r="65" spans="1:13" s="3818" customFormat="1" ht="30" customHeight="1">
      <c r="A65" s="3819">
        <v>63</v>
      </c>
      <c r="B65" s="3806" t="s">
        <v>3792</v>
      </c>
      <c r="C65" s="3804" t="s">
        <v>3793</v>
      </c>
      <c r="D65" s="3809" t="s">
        <v>3794</v>
      </c>
      <c r="E65" s="3868" t="s">
        <v>3795</v>
      </c>
      <c r="F65" s="3833">
        <v>556</v>
      </c>
      <c r="G65" s="3844">
        <v>9.6</v>
      </c>
      <c r="H65" s="3833">
        <v>0.7</v>
      </c>
      <c r="I65" s="3809" t="s">
        <v>3796</v>
      </c>
      <c r="J65" s="3833" t="s">
        <v>3797</v>
      </c>
      <c r="K65" s="3871" t="s">
        <v>3798</v>
      </c>
      <c r="M65" s="3816">
        <f t="shared" si="0"/>
        <v>5337.5999999999995</v>
      </c>
    </row>
    <row r="66" spans="1:13" s="3811" customFormat="1" ht="30" customHeight="1">
      <c r="A66" s="3819">
        <v>64</v>
      </c>
      <c r="B66" s="3806" t="s">
        <v>3792</v>
      </c>
      <c r="C66" s="3812" t="s">
        <v>3799</v>
      </c>
      <c r="D66" s="3809" t="s">
        <v>3800</v>
      </c>
      <c r="E66" s="3809" t="s">
        <v>3801</v>
      </c>
      <c r="F66" s="3809">
        <v>242</v>
      </c>
      <c r="G66" s="3808">
        <v>10</v>
      </c>
      <c r="H66" s="3809">
        <v>0.7</v>
      </c>
      <c r="I66" s="3806" t="s">
        <v>3802</v>
      </c>
      <c r="J66" s="3809" t="s">
        <v>3803</v>
      </c>
      <c r="K66" s="3807" t="s">
        <v>3804</v>
      </c>
      <c r="M66" s="3816">
        <f t="shared" si="0"/>
        <v>2420</v>
      </c>
    </row>
    <row r="67" spans="1:13" s="3811" customFormat="1" ht="30" customHeight="1">
      <c r="A67" s="3819">
        <v>65</v>
      </c>
      <c r="B67" s="3809" t="s">
        <v>3805</v>
      </c>
      <c r="C67" s="3804" t="s">
        <v>3806</v>
      </c>
      <c r="D67" s="3809" t="s">
        <v>3807</v>
      </c>
      <c r="E67" s="3803" t="s">
        <v>3808</v>
      </c>
      <c r="F67" s="3826">
        <v>500</v>
      </c>
      <c r="G67" s="3824">
        <v>10</v>
      </c>
      <c r="H67" s="3826">
        <v>0.7</v>
      </c>
      <c r="I67" s="3826" t="s">
        <v>3809</v>
      </c>
      <c r="J67" s="3826" t="s">
        <v>3810</v>
      </c>
      <c r="K67" s="3841" t="s">
        <v>3557</v>
      </c>
      <c r="M67" s="3816">
        <f t="shared" si="0"/>
        <v>5000</v>
      </c>
    </row>
    <row r="68" spans="1:13" s="3811" customFormat="1" ht="30" customHeight="1">
      <c r="A68" s="3819">
        <v>66</v>
      </c>
      <c r="B68" s="3809" t="s">
        <v>3805</v>
      </c>
      <c r="C68" s="3804" t="s">
        <v>3806</v>
      </c>
      <c r="D68" s="3809" t="s">
        <v>3811</v>
      </c>
      <c r="E68" s="3803"/>
      <c r="F68" s="3826">
        <v>410</v>
      </c>
      <c r="G68" s="3824">
        <v>10</v>
      </c>
      <c r="H68" s="3826">
        <v>0.7</v>
      </c>
      <c r="I68" s="3809" t="s">
        <v>3809</v>
      </c>
      <c r="J68" s="3826" t="s">
        <v>3812</v>
      </c>
      <c r="K68" s="3841"/>
      <c r="M68" s="3816">
        <f t="shared" ref="M68:M69" si="1">G68*F68</f>
        <v>4100</v>
      </c>
    </row>
    <row r="69" spans="1:13" s="3811" customFormat="1" ht="44.45" customHeight="1">
      <c r="A69" s="3819">
        <v>67</v>
      </c>
      <c r="B69" s="3809" t="s">
        <v>3813</v>
      </c>
      <c r="C69" s="3804" t="s">
        <v>3814</v>
      </c>
      <c r="D69" s="3809" t="s">
        <v>3815</v>
      </c>
      <c r="E69" s="3872" t="s">
        <v>3816</v>
      </c>
      <c r="F69" s="3809">
        <v>138.5</v>
      </c>
      <c r="G69" s="3808">
        <v>15</v>
      </c>
      <c r="H69" s="3809">
        <v>1.5</v>
      </c>
      <c r="I69" s="3826" t="s">
        <v>3817</v>
      </c>
      <c r="J69" s="3809" t="s">
        <v>3818</v>
      </c>
      <c r="K69" s="3807" t="s">
        <v>3819</v>
      </c>
      <c r="M69" s="3816">
        <f t="shared" si="1"/>
        <v>2077.5</v>
      </c>
    </row>
    <row r="70" spans="1:13" s="3853" customFormat="1" ht="37.5" customHeight="1">
      <c r="A70" s="3819">
        <v>68</v>
      </c>
      <c r="B70" s="3806" t="s">
        <v>3820</v>
      </c>
      <c r="C70" s="3804" t="s">
        <v>3821</v>
      </c>
      <c r="D70" s="3809" t="s">
        <v>3822</v>
      </c>
      <c r="E70" s="3826" t="s">
        <v>3823</v>
      </c>
      <c r="F70" s="3826">
        <v>289.60000000000002</v>
      </c>
      <c r="G70" s="3824">
        <v>5</v>
      </c>
      <c r="H70" s="3823">
        <v>1.5</v>
      </c>
      <c r="I70" s="3826" t="s">
        <v>3824</v>
      </c>
      <c r="J70" s="3826" t="s">
        <v>3825</v>
      </c>
      <c r="K70" s="3831" t="s">
        <v>3557</v>
      </c>
      <c r="M70" s="3853">
        <f>G70*F70</f>
        <v>1448</v>
      </c>
    </row>
    <row r="71" spans="1:13" s="3853" customFormat="1" ht="37.5" customHeight="1">
      <c r="A71" s="3819">
        <v>69</v>
      </c>
      <c r="B71" s="3806" t="s">
        <v>3820</v>
      </c>
      <c r="C71" s="3804" t="s">
        <v>3826</v>
      </c>
      <c r="D71" s="3809" t="s">
        <v>3822</v>
      </c>
      <c r="E71" s="3826" t="s">
        <v>3827</v>
      </c>
      <c r="F71" s="3826">
        <v>122.88</v>
      </c>
      <c r="G71" s="3824">
        <v>3</v>
      </c>
      <c r="H71" s="3823">
        <v>0</v>
      </c>
      <c r="I71" s="3806" t="s">
        <v>3828</v>
      </c>
      <c r="J71" s="3826" t="s">
        <v>3825</v>
      </c>
      <c r="K71" s="3831" t="s">
        <v>3829</v>
      </c>
      <c r="M71" s="3853">
        <f t="shared" ref="M71:M79" si="2">G71*F71</f>
        <v>368.64</v>
      </c>
    </row>
    <row r="72" spans="1:13" ht="28.5" customHeight="1">
      <c r="A72" s="3819">
        <v>70</v>
      </c>
      <c r="B72" s="3806" t="s">
        <v>3830</v>
      </c>
      <c r="C72" s="3804" t="s">
        <v>3831</v>
      </c>
      <c r="D72" s="3809" t="s">
        <v>3832</v>
      </c>
      <c r="E72" s="3872" t="s">
        <v>3833</v>
      </c>
      <c r="F72" s="3847">
        <v>130</v>
      </c>
      <c r="G72" s="3851">
        <v>7.5</v>
      </c>
      <c r="H72" s="3852">
        <v>0.7</v>
      </c>
      <c r="I72" s="3806" t="s">
        <v>3834</v>
      </c>
      <c r="J72" s="3806" t="s">
        <v>3835</v>
      </c>
      <c r="K72" s="3831" t="s">
        <v>3836</v>
      </c>
      <c r="M72" s="3853">
        <f t="shared" si="2"/>
        <v>975</v>
      </c>
    </row>
    <row r="73" spans="1:13" s="3818" customFormat="1" ht="16.5">
      <c r="A73" s="3819">
        <v>71</v>
      </c>
      <c r="B73" s="3806" t="s">
        <v>3830</v>
      </c>
      <c r="C73" s="3873" t="s">
        <v>3837</v>
      </c>
      <c r="D73" s="3809" t="s">
        <v>3838</v>
      </c>
      <c r="E73" s="3832" t="s">
        <v>3839</v>
      </c>
      <c r="F73" s="3806">
        <v>117.5</v>
      </c>
      <c r="G73" s="3868">
        <v>10.9</v>
      </c>
      <c r="H73" s="3868">
        <v>0.8</v>
      </c>
      <c r="I73" s="3806" t="s">
        <v>3840</v>
      </c>
      <c r="J73" s="3806" t="s">
        <v>3841</v>
      </c>
      <c r="K73" s="3832" t="s">
        <v>3557</v>
      </c>
      <c r="M73" s="3853">
        <f t="shared" si="2"/>
        <v>1280.75</v>
      </c>
    </row>
    <row r="74" spans="1:13" s="3818" customFormat="1" ht="30" customHeight="1">
      <c r="A74" s="3819">
        <v>72</v>
      </c>
      <c r="B74" s="3806" t="s">
        <v>3830</v>
      </c>
      <c r="C74" s="3804" t="s">
        <v>3837</v>
      </c>
      <c r="D74" s="3809" t="s">
        <v>3842</v>
      </c>
      <c r="E74" s="3832"/>
      <c r="F74" s="3806">
        <v>117.5</v>
      </c>
      <c r="G74" s="3868">
        <v>10.9</v>
      </c>
      <c r="H74" s="3868">
        <v>0.8</v>
      </c>
      <c r="I74" s="3809" t="s">
        <v>3840</v>
      </c>
      <c r="J74" s="3806" t="s">
        <v>3841</v>
      </c>
      <c r="K74" s="3832"/>
      <c r="M74" s="3853">
        <f t="shared" si="2"/>
        <v>1280.75</v>
      </c>
    </row>
    <row r="75" spans="1:13" ht="30" customHeight="1">
      <c r="A75" s="3819">
        <v>73</v>
      </c>
      <c r="B75" s="3806" t="s">
        <v>3843</v>
      </c>
      <c r="C75" s="3804" t="s">
        <v>3844</v>
      </c>
      <c r="D75" s="3809" t="s">
        <v>3630</v>
      </c>
      <c r="E75" s="3806" t="s">
        <v>3845</v>
      </c>
      <c r="F75" s="3823">
        <v>900</v>
      </c>
      <c r="G75" s="3824">
        <v>7.6</v>
      </c>
      <c r="H75" s="3862">
        <v>0.6</v>
      </c>
      <c r="I75" s="3847" t="s">
        <v>3632</v>
      </c>
      <c r="J75" s="3823" t="s">
        <v>3633</v>
      </c>
      <c r="K75" s="3831" t="s">
        <v>3415</v>
      </c>
      <c r="M75" s="3853">
        <f t="shared" si="2"/>
        <v>6840</v>
      </c>
    </row>
    <row r="76" spans="1:13" ht="30" customHeight="1">
      <c r="A76" s="3819">
        <v>74</v>
      </c>
      <c r="B76" s="3806" t="s">
        <v>3846</v>
      </c>
      <c r="C76" s="3804" t="s">
        <v>3847</v>
      </c>
      <c r="D76" s="3809" t="s">
        <v>3848</v>
      </c>
      <c r="E76" s="3806" t="s">
        <v>3849</v>
      </c>
      <c r="F76" s="3823">
        <v>570</v>
      </c>
      <c r="G76" s="3824">
        <v>8.4</v>
      </c>
      <c r="H76" s="3831">
        <v>0.75</v>
      </c>
      <c r="I76" s="3847" t="s">
        <v>3850</v>
      </c>
      <c r="J76" s="3823" t="s">
        <v>3851</v>
      </c>
      <c r="K76" s="3831" t="s">
        <v>3852</v>
      </c>
      <c r="M76" s="3853">
        <f t="shared" si="2"/>
        <v>4788</v>
      </c>
    </row>
    <row r="77" spans="1:13" ht="30" customHeight="1">
      <c r="A77" s="3819">
        <v>75</v>
      </c>
      <c r="B77" s="3806" t="s">
        <v>3846</v>
      </c>
      <c r="C77" s="3804" t="s">
        <v>3853</v>
      </c>
      <c r="D77" s="3809" t="s">
        <v>3854</v>
      </c>
      <c r="E77" s="3806" t="s">
        <v>3855</v>
      </c>
      <c r="F77" s="3823">
        <v>322.87</v>
      </c>
      <c r="G77" s="3824">
        <v>8.4</v>
      </c>
      <c r="H77" s="3831">
        <v>0.75</v>
      </c>
      <c r="I77" s="3847" t="s">
        <v>3850</v>
      </c>
      <c r="J77" s="3823" t="s">
        <v>3851</v>
      </c>
      <c r="K77" s="3831" t="s">
        <v>3852</v>
      </c>
      <c r="M77" s="3853">
        <f t="shared" si="2"/>
        <v>2712.1080000000002</v>
      </c>
    </row>
    <row r="78" spans="1:13" ht="28.5" customHeight="1">
      <c r="A78" s="3819">
        <v>76</v>
      </c>
      <c r="B78" s="3822"/>
      <c r="C78" s="3804" t="s">
        <v>3856</v>
      </c>
      <c r="D78" s="3809" t="s">
        <v>3857</v>
      </c>
      <c r="E78" s="3806" t="s">
        <v>3858</v>
      </c>
      <c r="F78" s="3847">
        <v>1820</v>
      </c>
      <c r="G78" s="3851">
        <v>8.6</v>
      </c>
      <c r="H78" s="3847">
        <v>0.7</v>
      </c>
      <c r="I78" s="3847" t="s">
        <v>3859</v>
      </c>
      <c r="J78" s="3847" t="s">
        <v>3860</v>
      </c>
      <c r="K78" s="3831" t="s">
        <v>3861</v>
      </c>
      <c r="M78" s="3853">
        <f t="shared" si="2"/>
        <v>15652</v>
      </c>
    </row>
    <row r="79" spans="1:13" ht="28.5" customHeight="1">
      <c r="A79" s="3819">
        <v>77</v>
      </c>
      <c r="B79" s="3822"/>
      <c r="C79" s="3804" t="s">
        <v>3856</v>
      </c>
      <c r="D79" s="3809" t="s">
        <v>3857</v>
      </c>
      <c r="E79" s="3806"/>
      <c r="F79" s="3847">
        <v>32</v>
      </c>
      <c r="G79" s="3851">
        <v>4</v>
      </c>
      <c r="H79" s="3847">
        <v>0.5</v>
      </c>
      <c r="I79" s="3847" t="s">
        <v>3859</v>
      </c>
      <c r="J79" s="3847" t="s">
        <v>3860</v>
      </c>
      <c r="K79" s="3831" t="s">
        <v>3557</v>
      </c>
      <c r="M79" s="3853">
        <f t="shared" si="2"/>
        <v>128</v>
      </c>
    </row>
    <row r="80" spans="1:13" ht="30" customHeight="1">
      <c r="F80" s="3816">
        <f>SUM(F70:F79)</f>
        <v>4422.3500000000004</v>
      </c>
      <c r="L80" s="3816">
        <f>M80/F80</f>
        <v>8.0213569708412944</v>
      </c>
      <c r="M80" s="3816">
        <f>SUM(M70:M79)</f>
        <v>35473.248</v>
      </c>
    </row>
  </sheetData>
  <autoFilter ref="A2:B79"/>
  <mergeCells count="33">
    <mergeCell ref="E73:E74"/>
    <mergeCell ref="K73:K74"/>
    <mergeCell ref="E48:E50"/>
    <mergeCell ref="E53:E54"/>
    <mergeCell ref="E58:E59"/>
    <mergeCell ref="K58:K59"/>
    <mergeCell ref="E67:E68"/>
    <mergeCell ref="K67:K68"/>
    <mergeCell ref="E25:E27"/>
    <mergeCell ref="I25:I27"/>
    <mergeCell ref="K25:K27"/>
    <mergeCell ref="E42:E43"/>
    <mergeCell ref="I42:I43"/>
    <mergeCell ref="K42:K43"/>
    <mergeCell ref="E11:E12"/>
    <mergeCell ref="I11:I12"/>
    <mergeCell ref="K11:K12"/>
    <mergeCell ref="E21:E22"/>
    <mergeCell ref="I21:I22"/>
    <mergeCell ref="K21:K22"/>
    <mergeCell ref="G1:G2"/>
    <mergeCell ref="H1:H2"/>
    <mergeCell ref="I1:I2"/>
    <mergeCell ref="J1:J2"/>
    <mergeCell ref="K1:K2"/>
    <mergeCell ref="E8:E9"/>
    <mergeCell ref="I8:I9"/>
    <mergeCell ref="A1:A2"/>
    <mergeCell ref="B1:B2"/>
    <mergeCell ref="C1:C2"/>
    <mergeCell ref="D1:D2"/>
    <mergeCell ref="E1:E2"/>
    <mergeCell ref="F1:F2"/>
  </mergeCells>
  <phoneticPr fontId="135" type="noConversion"/>
  <pageMargins left="0.75" right="0.75" top="1" bottom="1" header="0.51" footer="0.51"/>
  <pageSetup paperSize="9"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-1963</v>
      </c>
      <c r="G1" s="1378">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8" t="e">
        <f ca="1">ROUND(D2/10000,4)</f>
        <v>#DIV/0!</v>
      </c>
      <c r="C2" s="1387" t="s">
        <v>879</v>
      </c>
      <c r="D2" s="1471" t="e">
        <f ca="1">C40+J29+L46</f>
        <v>#DIV/0!</v>
      </c>
      <c r="E2" s="1388" t="s">
        <v>880</v>
      </c>
      <c r="F2" s="1389"/>
      <c r="G2" s="2699"/>
      <c r="H2" s="2688"/>
      <c r="I2" s="2688"/>
      <c r="J2" s="2688"/>
      <c r="K2" s="2689"/>
      <c r="L2" s="2688"/>
      <c r="M2" s="2688"/>
    </row>
    <row r="3" spans="1:37" ht="18" customHeight="1" thickBot="1">
      <c r="A3" s="1390" t="s">
        <v>881</v>
      </c>
      <c r="B3" s="1391">
        <f ca="1">IF(ISERROR(D2/F43),0,ROUND(D2/F43,0))</f>
        <v>0</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2105</v>
      </c>
      <c r="E6" s="302" t="s">
        <v>696</v>
      </c>
      <c r="F6" s="303">
        <f ca="1">INDIRECT("'数据-取费表'!u"&amp;$G$1)</f>
        <v>0</v>
      </c>
      <c r="G6" s="1384"/>
      <c r="H6" s="1069" t="s">
        <v>398</v>
      </c>
      <c r="I6" s="3638" t="s">
        <v>694</v>
      </c>
      <c r="J6" s="301">
        <f ca="1">ROUND(M6*M8*M7*(1-M9),0)</f>
        <v>0</v>
      </c>
      <c r="K6" s="1376" t="s">
        <v>2106</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3405</v>
      </c>
      <c r="G10" s="1384"/>
      <c r="H10" s="1069" t="s">
        <v>402</v>
      </c>
      <c r="I10" s="1365" t="s">
        <v>700</v>
      </c>
      <c r="J10" s="301">
        <f ca="1">ROUND(IF(M10="押一",J6/12*M11,IF(M10="押二",J6/12*2*M11,IF(M10="押三",J6/12*3*M11,J11*M11))),0)</f>
        <v>0</v>
      </c>
      <c r="K10" s="1377" t="s">
        <v>2117</v>
      </c>
      <c r="L10" s="313" t="s">
        <v>701</v>
      </c>
      <c r="M10" s="1116" t="s">
        <v>3405</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ROUND(IF(AND(项目基本情况!B11="自然人",项目基本情况!B10="北京市"),C6*F31/(1+'数据-取费表'!C42),C32+C33+C34),0)</f>
        <v>0</v>
      </c>
      <c r="D31" s="1345" t="s">
        <v>720</v>
      </c>
      <c r="E31" s="1344" t="s">
        <v>770</v>
      </c>
      <c r="F31" s="2313" t="str">
        <f>IF(项目基本情况!B11="企业","——",IF(M47="住宅",IF(F6*F7*F8/12/(1+'数据-取费表'!F30)&gt;100000,4%,2.5%),IF(F6*F7*F8/12/(1+'数据-取费表'!F30)&gt;100000,12%,7%)))</f>
        <v>——</v>
      </c>
      <c r="G31" s="1384"/>
      <c r="H31" s="2801" t="s">
        <v>2299</v>
      </c>
      <c r="I31" s="1398"/>
      <c r="J31" s="1399"/>
      <c r="K31" s="2468"/>
      <c r="L31" s="2691"/>
      <c r="M31" s="2692"/>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3331</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IF(项目基本情况!B11="自然人","——",ROUND(F34*F35,0))</f>
        <v>0</v>
      </c>
      <c r="D34" s="324" t="s">
        <v>731</v>
      </c>
      <c r="E34" s="302" t="s">
        <v>732</v>
      </c>
      <c r="F34" s="325">
        <f>'数据-取费表'!B52</f>
        <v>24</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0</v>
      </c>
      <c r="D36" s="1344" t="s">
        <v>771</v>
      </c>
      <c r="E36" s="302" t="s">
        <v>712</v>
      </c>
      <c r="F36" s="328">
        <f ca="1">INDIRECT("'数据-取费表'!Ak"&amp;$G$1)</f>
        <v>0</v>
      </c>
      <c r="G36" s="1384"/>
      <c r="H36" s="2693"/>
      <c r="I36" s="1398"/>
      <c r="J36" s="1399"/>
      <c r="K36" s="2537"/>
      <c r="L36" s="2693"/>
      <c r="M36" s="2693"/>
    </row>
    <row r="37" spans="1:18" ht="18" customHeight="1">
      <c r="A37" s="982" t="s">
        <v>437</v>
      </c>
      <c r="B37" s="302" t="s">
        <v>742</v>
      </c>
      <c r="C37" s="21">
        <f ca="1">ROUND(C13*F37,0)</f>
        <v>0</v>
      </c>
      <c r="D37" s="1344" t="s">
        <v>743</v>
      </c>
      <c r="E37" s="302" t="s">
        <v>744</v>
      </c>
      <c r="F37" s="330">
        <f ca="1">INDIRECT("'数据-取费表'!Al"&amp;$G$1)</f>
        <v>0</v>
      </c>
      <c r="G37" s="1384"/>
      <c r="H37" s="2693"/>
      <c r="I37" s="1398"/>
      <c r="J37" s="1399"/>
      <c r="K37" s="2537"/>
      <c r="L37" s="2693"/>
      <c r="M37" s="2693"/>
    </row>
    <row r="38" spans="1:18" ht="18" customHeight="1" thickBot="1">
      <c r="A38" s="1089" t="s">
        <v>684</v>
      </c>
      <c r="B38" s="1090" t="s">
        <v>728</v>
      </c>
      <c r="C38" s="1091">
        <f ca="1">ROUND(C5*F38,0)</f>
        <v>0</v>
      </c>
      <c r="D38" s="1092" t="s">
        <v>748</v>
      </c>
      <c r="E38" s="1090" t="s">
        <v>744</v>
      </c>
      <c r="F38" s="1086">
        <f ca="1">INDIRECT("'数据-取费表'!Am"&amp;$G$1)</f>
        <v>0</v>
      </c>
      <c r="G38" s="1384"/>
      <c r="H38" s="2693"/>
      <c r="I38" s="1398"/>
      <c r="J38" s="1399"/>
      <c r="K38" s="2697"/>
      <c r="L38" s="2693"/>
      <c r="M38" s="2693"/>
    </row>
    <row r="39" spans="1:18" ht="24.6" customHeight="1" thickTop="1">
      <c r="A39" s="1079" t="s">
        <v>394</v>
      </c>
      <c r="B39" s="1094" t="s">
        <v>772</v>
      </c>
      <c r="C39" s="310">
        <f ca="1">C5-C30</f>
        <v>0</v>
      </c>
      <c r="D39" s="1095" t="s">
        <v>773</v>
      </c>
      <c r="E39" s="1096"/>
      <c r="F39" s="1097"/>
      <c r="G39" s="1384"/>
      <c r="H39" s="2693"/>
      <c r="I39" s="1398"/>
      <c r="J39" s="1399"/>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7"/>
      <c r="L41" s="1191"/>
      <c r="M41" s="1191"/>
    </row>
    <row r="42" spans="1:18" ht="18" customHeight="1">
      <c r="A42" s="308"/>
      <c r="B42" s="309"/>
      <c r="C42" s="310"/>
      <c r="D42" s="327"/>
      <c r="E42" s="302" t="s">
        <v>766</v>
      </c>
      <c r="F42" s="312">
        <f ca="1">INDIRECT("'数据-取费表'!v"&amp;$G$1)</f>
        <v>0</v>
      </c>
      <c r="G42" s="1384"/>
      <c r="H42" s="1191"/>
      <c r="I42" s="1398"/>
      <c r="J42" s="1399"/>
      <c r="K42" s="2537"/>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3424" t="s">
        <v>3347</v>
      </c>
      <c r="B45" s="1400"/>
      <c r="C45" s="1472" t="e">
        <f ca="1">ROUND((C68-C40)/10000,4)</f>
        <v>#DIV/0!</v>
      </c>
      <c r="D45" s="3425" t="s">
        <v>3348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3406</v>
      </c>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t="s">
        <v>3407</v>
      </c>
      <c r="K48" s="1423" t="s">
        <v>820</v>
      </c>
      <c r="L48" s="1424">
        <f ca="1">INDIRECT("'数据-取费表'!f"&amp;$G$1)</f>
        <v>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0</v>
      </c>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0</v>
      </c>
      <c r="I51" s="1432" t="s">
        <v>829</v>
      </c>
      <c r="J51" s="1433">
        <f>IF(J49="",J50,J49+J50-YEAR('数据-取费表'!B2))</f>
        <v>-1963</v>
      </c>
      <c r="K51" s="1434" t="s">
        <v>830</v>
      </c>
      <c r="L51" s="1435">
        <f ca="1">ROUND(-PV(INDIRECT("'数据-取费表'!h"&amp;$G$1),J51,(C39-C13*C76),0),0)</f>
        <v>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-1963</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6">
        <f ca="1">IF(M47="住宅",IF(D1="——",MAX(J51,L48),MAX(J51,L48-'数据-取费表'!B24)),IF(D1="——",MIN(J51,L48),MIN(J51,L48-'数据-取费表'!B24)))</f>
        <v>-1963</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t="s">
        <v>3408</v>
      </c>
      <c r="K56" s="1421" t="s">
        <v>843</v>
      </c>
      <c r="L56" s="1424">
        <f ca="1">IF(L48&lt;J51,"——",L48-J51)</f>
        <v>1963</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2428</v>
      </c>
      <c r="B1" s="2825"/>
      <c r="C1" s="2837"/>
      <c r="D1" s="2837"/>
      <c r="E1" s="2826"/>
      <c r="F1" s="2827"/>
      <c r="G1" s="2828"/>
      <c r="J1" s="2831" t="s">
        <v>2307</v>
      </c>
      <c r="K1" s="2832"/>
      <c r="L1" s="2832"/>
      <c r="M1" s="2832"/>
      <c r="N1" s="2832"/>
      <c r="O1" s="2832"/>
      <c r="P1" s="2832"/>
      <c r="Q1" s="2832"/>
      <c r="R1" s="2833"/>
      <c r="S1" s="2834"/>
      <c r="T1" s="2834"/>
      <c r="U1" s="2834"/>
    </row>
    <row r="2" spans="1:22" s="2846" customFormat="1" ht="13.15" customHeight="1">
      <c r="A2" s="1385" t="s">
        <v>2308</v>
      </c>
      <c r="B2" s="2836" t="e">
        <f>IF(D2="——",C40,C40+E2)</f>
        <v>#DIV/0!</v>
      </c>
      <c r="C2" s="2837" t="s">
        <v>2309</v>
      </c>
      <c r="D2" s="3436" t="s">
        <v>3354</v>
      </c>
      <c r="E2" s="3437"/>
      <c r="F2" s="2839"/>
      <c r="G2" s="2840"/>
      <c r="H2" s="2841"/>
      <c r="I2" s="2842"/>
      <c r="J2" s="3641" t="s">
        <v>2310</v>
      </c>
      <c r="K2" s="3642"/>
      <c r="L2" s="2843" t="s">
        <v>2311</v>
      </c>
      <c r="M2" s="2843" t="s">
        <v>2312</v>
      </c>
      <c r="N2" s="2843" t="s">
        <v>2313</v>
      </c>
      <c r="O2" s="2843" t="s">
        <v>2314</v>
      </c>
      <c r="P2" s="2843" t="s">
        <v>2315</v>
      </c>
      <c r="Q2" s="2844" t="s">
        <v>2316</v>
      </c>
      <c r="R2" s="2845" t="s">
        <v>2317</v>
      </c>
      <c r="S2" s="2834"/>
      <c r="T2" s="2834"/>
      <c r="U2" s="2834"/>
      <c r="V2" s="2842"/>
    </row>
    <row r="3" spans="1:22" s="2846" customFormat="1" ht="13.15" customHeight="1">
      <c r="A3" s="2847" t="s">
        <v>2318</v>
      </c>
      <c r="B3" s="2848" t="e">
        <f>ROUND(B2*10000/B4,0)</f>
        <v>#DIV/0!</v>
      </c>
      <c r="C3" s="2837" t="s">
        <v>2319</v>
      </c>
      <c r="D3" s="2837"/>
      <c r="E3" s="2838"/>
      <c r="F3" s="2839"/>
      <c r="G3" s="2840"/>
      <c r="H3" s="2841"/>
      <c r="I3" s="2842"/>
      <c r="J3" s="3643" t="s">
        <v>2320</v>
      </c>
      <c r="K3" s="3644"/>
      <c r="L3" s="2849"/>
      <c r="M3" s="2849"/>
      <c r="N3" s="2849"/>
      <c r="O3" s="2849"/>
      <c r="P3" s="2849"/>
      <c r="Q3" s="2850"/>
      <c r="R3" s="2851">
        <f>SUM(L3:Q3)</f>
        <v>0</v>
      </c>
      <c r="S3" s="2834"/>
      <c r="T3" s="2834"/>
      <c r="U3" s="2834"/>
      <c r="V3" s="2842"/>
    </row>
    <row r="4" spans="1:22" s="2846" customFormat="1" ht="13.15" customHeight="1">
      <c r="A4" s="2852" t="s">
        <v>2321</v>
      </c>
      <c r="B4" s="2853"/>
      <c r="C4" s="2837"/>
      <c r="D4" s="2837"/>
      <c r="E4" s="2838"/>
      <c r="F4" s="2839"/>
      <c r="G4" s="2840"/>
      <c r="H4" s="2841"/>
      <c r="I4" s="2842"/>
      <c r="J4" s="3643" t="s">
        <v>2322</v>
      </c>
      <c r="K4" s="3644"/>
      <c r="L4" s="2854"/>
      <c r="M4" s="2854"/>
      <c r="N4" s="2854"/>
      <c r="O4" s="2854"/>
      <c r="P4" s="2854"/>
      <c r="Q4" s="2855"/>
      <c r="R4" s="2856">
        <f>SUM(L4:Q4)</f>
        <v>0</v>
      </c>
      <c r="S4" s="2834"/>
      <c r="T4" s="2834"/>
      <c r="U4" s="2834"/>
      <c r="V4" s="2842"/>
    </row>
    <row r="5" spans="1:22" s="2846" customFormat="1" ht="13.15" customHeight="1" thickBot="1">
      <c r="A5" s="2857" t="s">
        <v>2323</v>
      </c>
      <c r="B5" s="2858"/>
      <c r="C5" s="2837"/>
      <c r="D5" s="2859"/>
      <c r="E5" s="2839"/>
      <c r="F5" s="2839"/>
      <c r="G5" s="2840"/>
      <c r="H5" s="2841"/>
      <c r="I5" s="2842"/>
      <c r="J5" s="2860" t="s">
        <v>2324</v>
      </c>
      <c r="K5" s="2861"/>
      <c r="L5" s="2861"/>
      <c r="M5" s="2862"/>
      <c r="N5" s="2862"/>
      <c r="O5" s="2862"/>
      <c r="P5" s="2862"/>
      <c r="Q5" s="2862"/>
      <c r="R5" s="2845">
        <f>SUM(R14,R19,R24,R25,R27,R28)</f>
        <v>0</v>
      </c>
      <c r="S5" s="2834"/>
      <c r="T5" s="2834" t="s">
        <v>2325</v>
      </c>
      <c r="U5" s="2834" t="e">
        <f>ROUND(R5*10000/365/R3,1)</f>
        <v>#DIV/0!</v>
      </c>
      <c r="V5" s="2842"/>
    </row>
    <row r="6" spans="1:22" s="2846" customFormat="1" ht="13.15" customHeight="1" thickBot="1">
      <c r="A6" s="3645" t="s">
        <v>2326</v>
      </c>
      <c r="B6" s="3646"/>
      <c r="C6" s="3647"/>
      <c r="D6" s="2863"/>
      <c r="E6" s="2864"/>
      <c r="F6" s="2865"/>
      <c r="G6" s="2866"/>
      <c r="H6" s="2841"/>
      <c r="I6" s="2842"/>
      <c r="J6" s="3648">
        <v>1</v>
      </c>
      <c r="K6" s="3649" t="s">
        <v>2327</v>
      </c>
      <c r="L6" s="2867" t="s">
        <v>2328</v>
      </c>
      <c r="M6" s="2868" t="s">
        <v>2329</v>
      </c>
      <c r="N6" s="2868" t="s">
        <v>2330</v>
      </c>
      <c r="O6" s="2868" t="s">
        <v>2331</v>
      </c>
      <c r="P6" s="2868" t="s">
        <v>2332</v>
      </c>
      <c r="Q6" s="2868" t="s">
        <v>2333</v>
      </c>
      <c r="R6" s="2851" t="s">
        <v>2334</v>
      </c>
      <c r="S6" s="2834"/>
      <c r="T6" s="2834" t="s">
        <v>2335</v>
      </c>
      <c r="U6" s="2834"/>
      <c r="V6" s="2842"/>
    </row>
    <row r="7" spans="1:22" s="2846" customFormat="1" ht="13.15" customHeight="1">
      <c r="A7" s="2869" t="s">
        <v>2336</v>
      </c>
      <c r="B7" s="2870"/>
      <c r="C7" s="2871"/>
      <c r="D7" s="2872">
        <f>SUM(D9,D10,D11,D17,0)</f>
        <v>0</v>
      </c>
      <c r="E7" s="2873" t="e">
        <f>E9+E10+E11+E17</f>
        <v>#DIV/0!</v>
      </c>
      <c r="F7" s="2874"/>
      <c r="G7" s="2875"/>
      <c r="H7" s="2841"/>
      <c r="I7" s="2842"/>
      <c r="J7" s="3648"/>
      <c r="K7" s="3650"/>
      <c r="L7" s="2876" t="s">
        <v>2337</v>
      </c>
      <c r="M7" s="2877"/>
      <c r="N7" s="2853"/>
      <c r="O7" s="2878"/>
      <c r="P7" s="2878"/>
      <c r="Q7" s="2879">
        <v>365</v>
      </c>
      <c r="R7" s="2880">
        <f>ROUND(M7*N7*O7*P7*Q7/10000,0)</f>
        <v>0</v>
      </c>
      <c r="S7" s="2834"/>
      <c r="T7" s="2834" t="s">
        <v>2338</v>
      </c>
      <c r="U7" s="2834"/>
      <c r="V7" s="2842"/>
    </row>
    <row r="8" spans="1:22" s="2846" customFormat="1" ht="13.15" customHeight="1">
      <c r="A8" s="2881" t="s">
        <v>2339</v>
      </c>
      <c r="B8" s="3652" t="s">
        <v>2340</v>
      </c>
      <c r="C8" s="3653"/>
      <c r="D8" s="2882" t="s">
        <v>2341</v>
      </c>
      <c r="E8" s="2883" t="s">
        <v>2342</v>
      </c>
      <c r="F8" s="2884" t="s">
        <v>2343</v>
      </c>
      <c r="G8" s="2885"/>
      <c r="H8" s="2841"/>
      <c r="I8" s="2842"/>
      <c r="J8" s="3648"/>
      <c r="K8" s="3650"/>
      <c r="L8" s="2876" t="s">
        <v>2344</v>
      </c>
      <c r="M8" s="2877"/>
      <c r="N8" s="2853"/>
      <c r="O8" s="2878"/>
      <c r="P8" s="2878"/>
      <c r="Q8" s="2879">
        <v>365</v>
      </c>
      <c r="R8" s="2880">
        <f t="shared" ref="R8:R13" si="0">ROUND(M8*N8*O8*P8*Q8/10000,0)</f>
        <v>0</v>
      </c>
      <c r="S8" s="2834"/>
      <c r="T8" s="2834" t="s">
        <v>2345</v>
      </c>
      <c r="U8" s="2834"/>
      <c r="V8" s="2842"/>
    </row>
    <row r="9" spans="1:22" s="2846" customFormat="1" ht="13.15" customHeight="1">
      <c r="A9" s="2881">
        <v>1</v>
      </c>
      <c r="B9" s="3652" t="s">
        <v>2346</v>
      </c>
      <c r="C9" s="3653"/>
      <c r="D9" s="2882">
        <f>ROUND(D6*E9,0)</f>
        <v>0</v>
      </c>
      <c r="E9" s="2886"/>
      <c r="F9" s="2887" t="s">
        <v>2347</v>
      </c>
      <c r="G9" s="2866"/>
      <c r="H9" s="2841"/>
      <c r="I9" s="2842"/>
      <c r="J9" s="3648"/>
      <c r="K9" s="3650"/>
      <c r="L9" s="2876" t="s">
        <v>2348</v>
      </c>
      <c r="M9" s="2877"/>
      <c r="N9" s="2853"/>
      <c r="O9" s="2878"/>
      <c r="P9" s="2878"/>
      <c r="Q9" s="2879">
        <v>365</v>
      </c>
      <c r="R9" s="2880">
        <f t="shared" si="0"/>
        <v>0</v>
      </c>
      <c r="S9" s="2834"/>
      <c r="T9" s="2834"/>
      <c r="U9" s="2834"/>
      <c r="V9" s="2842"/>
    </row>
    <row r="10" spans="1:22" s="2846" customFormat="1" ht="13.15" customHeight="1">
      <c r="A10" s="2881">
        <v>2</v>
      </c>
      <c r="B10" s="3652" t="s">
        <v>2349</v>
      </c>
      <c r="C10" s="3653"/>
      <c r="D10" s="2882">
        <f>ROUND(D6*E10,0)</f>
        <v>0</v>
      </c>
      <c r="E10" s="2886"/>
      <c r="F10" s="2887" t="s">
        <v>2350</v>
      </c>
      <c r="G10" s="2866"/>
      <c r="H10" s="2841"/>
      <c r="I10" s="2842"/>
      <c r="J10" s="3648"/>
      <c r="K10" s="3650"/>
      <c r="L10" s="2876" t="s">
        <v>2351</v>
      </c>
      <c r="M10" s="2877"/>
      <c r="N10" s="2853"/>
      <c r="O10" s="2878"/>
      <c r="P10" s="2878"/>
      <c r="Q10" s="2879">
        <v>365</v>
      </c>
      <c r="R10" s="2880">
        <f t="shared" si="0"/>
        <v>0</v>
      </c>
      <c r="S10" s="2834"/>
      <c r="T10" s="2834"/>
      <c r="U10" s="2834"/>
      <c r="V10" s="2842"/>
    </row>
    <row r="11" spans="1:22" s="2846" customFormat="1" ht="13.15" customHeight="1">
      <c r="A11" s="2881">
        <v>3</v>
      </c>
      <c r="B11" s="3652" t="s">
        <v>2352</v>
      </c>
      <c r="C11" s="3653"/>
      <c r="D11" s="2882">
        <f>D12+D14+D15+D16</f>
        <v>0</v>
      </c>
      <c r="E11" s="2888" t="e">
        <f>D11/D6</f>
        <v>#DIV/0!</v>
      </c>
      <c r="F11" s="2884"/>
      <c r="G11" s="2885"/>
      <c r="H11" s="2841"/>
      <c r="I11" s="2842"/>
      <c r="J11" s="3648"/>
      <c r="K11" s="3650"/>
      <c r="L11" s="2876" t="s">
        <v>2353</v>
      </c>
      <c r="M11" s="2877"/>
      <c r="N11" s="2853"/>
      <c r="O11" s="2878"/>
      <c r="P11" s="2878"/>
      <c r="Q11" s="2879">
        <v>365</v>
      </c>
      <c r="R11" s="2880">
        <f t="shared" si="0"/>
        <v>0</v>
      </c>
      <c r="S11" s="2834"/>
      <c r="T11" s="2834"/>
      <c r="U11" s="2834"/>
      <c r="V11" s="2842"/>
    </row>
    <row r="12" spans="1:22" s="2846" customFormat="1" ht="13.15" customHeight="1">
      <c r="A12" s="2889" t="s">
        <v>2354</v>
      </c>
      <c r="B12" s="3654" t="s">
        <v>2355</v>
      </c>
      <c r="C12" s="3655"/>
      <c r="D12" s="2890">
        <f>ROUND(D13*1.2%*(1-30%),0)</f>
        <v>0</v>
      </c>
      <c r="E12" s="2891">
        <v>1.2E-2</v>
      </c>
      <c r="F12" s="2884" t="s">
        <v>2356</v>
      </c>
      <c r="G12" s="2885"/>
      <c r="H12" s="2841"/>
      <c r="I12" s="2842"/>
      <c r="J12" s="3648"/>
      <c r="K12" s="3650"/>
      <c r="L12" s="2876" t="s">
        <v>2357</v>
      </c>
      <c r="M12" s="2877"/>
      <c r="N12" s="2853"/>
      <c r="O12" s="2878"/>
      <c r="P12" s="2878"/>
      <c r="Q12" s="2879">
        <v>365</v>
      </c>
      <c r="R12" s="2880">
        <f t="shared" si="0"/>
        <v>0</v>
      </c>
      <c r="S12" s="2834"/>
      <c r="T12" s="2834"/>
      <c r="U12" s="2834"/>
      <c r="V12" s="2842"/>
    </row>
    <row r="13" spans="1:22" s="2846" customFormat="1" ht="13.15" customHeight="1">
      <c r="A13" s="2889"/>
      <c r="B13" s="2892"/>
      <c r="C13" s="2893" t="s">
        <v>2358</v>
      </c>
      <c r="D13" s="2894"/>
      <c r="E13" s="2895"/>
      <c r="F13" s="2884"/>
      <c r="G13" s="2885"/>
      <c r="H13" s="2841"/>
      <c r="I13" s="2842"/>
      <c r="J13" s="3648"/>
      <c r="K13" s="3650"/>
      <c r="L13" s="2876" t="s">
        <v>2359</v>
      </c>
      <c r="M13" s="2877"/>
      <c r="N13" s="2853"/>
      <c r="O13" s="2878"/>
      <c r="P13" s="2878"/>
      <c r="Q13" s="2879">
        <v>365</v>
      </c>
      <c r="R13" s="2880">
        <f t="shared" si="0"/>
        <v>0</v>
      </c>
      <c r="S13" s="2834"/>
      <c r="T13" s="2834"/>
      <c r="U13" s="2834"/>
      <c r="V13" s="2842"/>
    </row>
    <row r="14" spans="1:22" s="2846" customFormat="1" ht="13.15" customHeight="1">
      <c r="A14" s="2889" t="s">
        <v>2360</v>
      </c>
      <c r="B14" s="3654" t="s">
        <v>2361</v>
      </c>
      <c r="C14" s="3655"/>
      <c r="D14" s="2890">
        <f>ROUND(E14*B5/10000,0)</f>
        <v>0</v>
      </c>
      <c r="E14" s="2879"/>
      <c r="F14" s="2884" t="s">
        <v>2362</v>
      </c>
      <c r="G14" s="2885"/>
      <c r="H14" s="2841"/>
      <c r="I14" s="2842"/>
      <c r="J14" s="3648"/>
      <c r="K14" s="3651"/>
      <c r="L14" s="2896" t="s">
        <v>2363</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2364</v>
      </c>
      <c r="B15" s="3654" t="s">
        <v>2365</v>
      </c>
      <c r="C15" s="3655"/>
      <c r="D15" s="2890">
        <f>ROUND(D6*E15,0)</f>
        <v>0</v>
      </c>
      <c r="E15" s="2891">
        <v>5.5E-2</v>
      </c>
      <c r="F15" s="2884" t="s">
        <v>2366</v>
      </c>
      <c r="G15" s="2866"/>
      <c r="H15" s="2841"/>
      <c r="I15" s="2842"/>
      <c r="J15" s="3648">
        <v>2</v>
      </c>
      <c r="K15" s="3649" t="s">
        <v>2367</v>
      </c>
      <c r="L15" s="2876" t="s">
        <v>2368</v>
      </c>
      <c r="M15" s="2877" t="s">
        <v>2369</v>
      </c>
      <c r="N15" s="2877" t="s">
        <v>2370</v>
      </c>
      <c r="O15" s="2878" t="s">
        <v>2371</v>
      </c>
      <c r="P15" s="2878" t="s">
        <v>2333</v>
      </c>
      <c r="Q15" s="2853" t="s">
        <v>2372</v>
      </c>
      <c r="R15" s="2900" t="s">
        <v>2334</v>
      </c>
      <c r="S15" s="2834"/>
      <c r="T15" s="2834"/>
      <c r="U15" s="2834"/>
      <c r="V15" s="2842"/>
    </row>
    <row r="16" spans="1:22" s="2846" customFormat="1" ht="13.15" customHeight="1">
      <c r="A16" s="2889" t="s">
        <v>2373</v>
      </c>
      <c r="B16" s="3654" t="s">
        <v>2374</v>
      </c>
      <c r="C16" s="3655"/>
      <c r="D16" s="2901">
        <f>D6*E16</f>
        <v>0</v>
      </c>
      <c r="E16" s="2902"/>
      <c r="F16" s="2887" t="s">
        <v>2375</v>
      </c>
      <c r="G16" s="2866"/>
      <c r="H16" s="2841"/>
      <c r="I16" s="2842"/>
      <c r="J16" s="3648"/>
      <c r="K16" s="3650"/>
      <c r="L16" s="2876" t="s">
        <v>2376</v>
      </c>
      <c r="M16" s="2877"/>
      <c r="N16" s="2877"/>
      <c r="O16" s="2878"/>
      <c r="P16" s="2879">
        <v>365</v>
      </c>
      <c r="Q16" s="2853"/>
      <c r="R16" s="2900">
        <f>ROUND(M16*N16*O16*P16/10000,0)</f>
        <v>0</v>
      </c>
      <c r="S16" s="2834"/>
      <c r="T16" s="2834"/>
      <c r="U16" s="2834"/>
      <c r="V16" s="2842"/>
    </row>
    <row r="17" spans="1:22" s="2846" customFormat="1" ht="13.15" customHeight="1" thickBot="1">
      <c r="A17" s="2903">
        <v>4</v>
      </c>
      <c r="B17" s="3656" t="s">
        <v>2377</v>
      </c>
      <c r="C17" s="3657"/>
      <c r="D17" s="2904">
        <f>ROUND(D6*E17,0)</f>
        <v>0</v>
      </c>
      <c r="E17" s="2905"/>
      <c r="F17" s="2906" t="s">
        <v>2378</v>
      </c>
      <c r="G17" s="2866"/>
      <c r="H17" s="2841"/>
      <c r="I17" s="2842"/>
      <c r="J17" s="3648"/>
      <c r="K17" s="3650"/>
      <c r="L17" s="2876" t="s">
        <v>2379</v>
      </c>
      <c r="M17" s="2877"/>
      <c r="N17" s="2877"/>
      <c r="O17" s="2878"/>
      <c r="P17" s="2879">
        <v>365</v>
      </c>
      <c r="Q17" s="2853"/>
      <c r="R17" s="2900">
        <f>ROUND(M17*N17*O17*P17/10000,0)</f>
        <v>0</v>
      </c>
      <c r="S17" s="2834"/>
      <c r="T17" s="2834"/>
      <c r="U17" s="2834"/>
      <c r="V17" s="2842"/>
    </row>
    <row r="18" spans="1:22" s="2846" customFormat="1" ht="13.15" customHeight="1" thickBot="1">
      <c r="A18" s="2869" t="s">
        <v>2380</v>
      </c>
      <c r="B18" s="2870"/>
      <c r="C18" s="2870"/>
      <c r="D18" s="2907">
        <f>ROUND(D6*E18,0)</f>
        <v>0</v>
      </c>
      <c r="E18" s="2908"/>
      <c r="F18" s="2909" t="s">
        <v>2381</v>
      </c>
      <c r="G18" s="2866"/>
      <c r="H18" s="2841"/>
      <c r="I18" s="2842"/>
      <c r="J18" s="3648"/>
      <c r="K18" s="3650"/>
      <c r="L18" s="2876" t="s">
        <v>2382</v>
      </c>
      <c r="M18" s="2877"/>
      <c r="N18" s="2877"/>
      <c r="O18" s="2878"/>
      <c r="P18" s="2879">
        <v>365</v>
      </c>
      <c r="Q18" s="2853"/>
      <c r="R18" s="2900">
        <f>ROUND(M18*N18*O18*P18/10000,0)</f>
        <v>0</v>
      </c>
      <c r="S18" s="2834"/>
      <c r="T18" s="2834"/>
      <c r="U18" s="2834"/>
      <c r="V18" s="2842"/>
    </row>
    <row r="19" spans="1:22" s="2846" customFormat="1" ht="13.15" customHeight="1" thickBot="1">
      <c r="A19" s="2910" t="s">
        <v>2383</v>
      </c>
      <c r="B19" s="2864"/>
      <c r="C19" s="2864"/>
      <c r="D19" s="2864"/>
      <c r="E19" s="2864"/>
      <c r="F19" s="2865"/>
      <c r="G19" s="2885"/>
      <c r="H19" s="2841"/>
      <c r="I19" s="2842"/>
      <c r="J19" s="3648"/>
      <c r="K19" s="3651"/>
      <c r="L19" s="2896" t="s">
        <v>2363</v>
      </c>
      <c r="M19" s="2897"/>
      <c r="N19" s="2897">
        <f>SUM(N16:N18)</f>
        <v>0</v>
      </c>
      <c r="O19" s="2898"/>
      <c r="P19" s="2911" t="s">
        <v>2427</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648">
        <v>3</v>
      </c>
      <c r="K20" s="3649" t="s">
        <v>2384</v>
      </c>
      <c r="L20" s="2876" t="s">
        <v>2385</v>
      </c>
      <c r="M20" s="2877" t="s">
        <v>2386</v>
      </c>
      <c r="N20" s="2914" t="s">
        <v>2387</v>
      </c>
      <c r="O20" s="2878" t="s">
        <v>2388</v>
      </c>
      <c r="P20" s="2879" t="s">
        <v>2389</v>
      </c>
      <c r="Q20" s="2853" t="s">
        <v>2390</v>
      </c>
      <c r="R20" s="2900" t="s">
        <v>2391</v>
      </c>
      <c r="S20" s="2915"/>
      <c r="T20" s="2915"/>
      <c r="U20" s="2915"/>
      <c r="V20" s="2842"/>
    </row>
    <row r="21" spans="1:22" s="2846" customFormat="1" ht="13.15" customHeight="1">
      <c r="A21" s="2869"/>
      <c r="B21" s="2870"/>
      <c r="C21" s="2916" t="s">
        <v>2392</v>
      </c>
      <c r="D21" s="2917" t="s">
        <v>2393</v>
      </c>
      <c r="E21" s="2918" t="s">
        <v>2394</v>
      </c>
      <c r="F21" s="2913"/>
      <c r="G21" s="2885"/>
      <c r="H21" s="2841"/>
      <c r="I21" s="2842"/>
      <c r="J21" s="3648"/>
      <c r="K21" s="3650"/>
      <c r="L21" s="2876" t="s">
        <v>2395</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2396</v>
      </c>
      <c r="D22" s="2921" t="s">
        <v>2397</v>
      </c>
      <c r="E22" s="2922" t="s">
        <v>2398</v>
      </c>
      <c r="F22" s="2913"/>
      <c r="G22" s="2923"/>
      <c r="H22" s="2841"/>
      <c r="I22" s="2842"/>
      <c r="J22" s="3648"/>
      <c r="K22" s="3650"/>
      <c r="L22" s="2876" t="s">
        <v>2399</v>
      </c>
      <c r="M22" s="2877"/>
      <c r="N22" s="2877"/>
      <c r="O22" s="2878"/>
      <c r="P22" s="2879">
        <v>365</v>
      </c>
      <c r="Q22" s="2853"/>
      <c r="R22" s="2919">
        <f>ROUND(M22*N22*O22*P22/10000,0)</f>
        <v>0</v>
      </c>
      <c r="S22" s="2915"/>
      <c r="T22" s="2915"/>
      <c r="U22" s="2915"/>
      <c r="V22" s="2842"/>
    </row>
    <row r="23" spans="1:22" s="2846" customFormat="1" ht="13.15" customHeight="1">
      <c r="A23" s="2924">
        <v>1</v>
      </c>
      <c r="B23" s="2925" t="s">
        <v>2400</v>
      </c>
      <c r="C23" s="2926">
        <f>D6</f>
        <v>0</v>
      </c>
      <c r="D23" s="2927">
        <f>C23*(1+D24)</f>
        <v>0</v>
      </c>
      <c r="E23" s="2928">
        <f>D23*(1+E24)</f>
        <v>0</v>
      </c>
      <c r="F23" s="2929"/>
      <c r="G23" s="2930"/>
      <c r="H23" s="2841"/>
      <c r="I23" s="2842"/>
      <c r="J23" s="3648"/>
      <c r="K23" s="3650"/>
      <c r="L23" s="2876" t="s">
        <v>2401</v>
      </c>
      <c r="M23" s="2877"/>
      <c r="N23" s="2877"/>
      <c r="O23" s="2878"/>
      <c r="P23" s="2879">
        <v>365</v>
      </c>
      <c r="Q23" s="2853"/>
      <c r="R23" s="2919">
        <f>ROUND(M23*N23*O23*P23/10000,0)</f>
        <v>0</v>
      </c>
      <c r="S23" s="2834"/>
      <c r="T23" s="2834"/>
      <c r="U23" s="2834"/>
      <c r="V23" s="2842"/>
    </row>
    <row r="24" spans="1:22" s="2846" customFormat="1" ht="13.15" customHeight="1">
      <c r="A24" s="2931"/>
      <c r="B24" s="2932" t="s">
        <v>2402</v>
      </c>
      <c r="C24" s="2933"/>
      <c r="D24" s="2934"/>
      <c r="E24" s="2935"/>
      <c r="F24" s="2936"/>
      <c r="G24" s="2930"/>
      <c r="H24" s="2841"/>
      <c r="I24" s="2842"/>
      <c r="J24" s="3648"/>
      <c r="K24" s="3651"/>
      <c r="L24" s="2896" t="s">
        <v>2363</v>
      </c>
      <c r="M24" s="2897">
        <f>SUM(M21:M23)</f>
        <v>0</v>
      </c>
      <c r="N24" s="2897"/>
      <c r="O24" s="2898"/>
      <c r="P24" s="2911" t="s">
        <v>2427</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2403</v>
      </c>
      <c r="L25" s="2939"/>
      <c r="M25" s="2939"/>
      <c r="N25" s="2939"/>
      <c r="O25" s="2939"/>
      <c r="P25" s="2940"/>
      <c r="Q25" s="2941">
        <v>0</v>
      </c>
      <c r="R25" s="2912">
        <f>ROUND(R14*Q25,0)</f>
        <v>0</v>
      </c>
      <c r="S25" s="2834"/>
      <c r="T25" s="2834"/>
      <c r="U25" s="2834"/>
      <c r="V25" s="2942"/>
    </row>
    <row r="26" spans="1:22" s="2943" customFormat="1" ht="13.15" customHeight="1">
      <c r="A26" s="2924">
        <v>2</v>
      </c>
      <c r="B26" s="2925" t="s">
        <v>2404</v>
      </c>
      <c r="C26" s="2926">
        <f>D7</f>
        <v>0</v>
      </c>
      <c r="D26" s="2927">
        <f>D23*D27</f>
        <v>0</v>
      </c>
      <c r="E26" s="2928">
        <f>E23*E27</f>
        <v>0</v>
      </c>
      <c r="F26" s="2929"/>
      <c r="G26" s="2930"/>
      <c r="H26" s="2841"/>
      <c r="I26" s="2842"/>
      <c r="J26" s="3658">
        <v>5</v>
      </c>
      <c r="K26" s="2944" t="s">
        <v>2405</v>
      </c>
      <c r="L26" s="2945"/>
      <c r="M26" s="2946"/>
      <c r="N26" s="2947" t="s">
        <v>2406</v>
      </c>
      <c r="O26" s="2947" t="s">
        <v>2407</v>
      </c>
      <c r="P26" s="2948" t="s">
        <v>2408</v>
      </c>
      <c r="Q26" s="2948" t="s">
        <v>2409</v>
      </c>
      <c r="R26" s="2851" t="s">
        <v>2334</v>
      </c>
      <c r="S26" s="2949"/>
      <c r="T26" s="2949"/>
      <c r="U26" s="2949"/>
      <c r="V26" s="2942"/>
    </row>
    <row r="27" spans="1:22" s="2846" customFormat="1" ht="13.15" customHeight="1">
      <c r="A27" s="2931"/>
      <c r="B27" s="2932" t="s">
        <v>2410</v>
      </c>
      <c r="C27" s="2950" t="e">
        <f>E7</f>
        <v>#DIV/0!</v>
      </c>
      <c r="D27" s="2934"/>
      <c r="E27" s="2935"/>
      <c r="F27" s="2936"/>
      <c r="G27" s="2930"/>
      <c r="H27" s="2951"/>
      <c r="I27" s="2942"/>
      <c r="J27" s="3659"/>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2411</v>
      </c>
      <c r="F28" s="2936"/>
      <c r="G28" s="2923"/>
      <c r="H28" s="2951"/>
      <c r="I28" s="2942"/>
      <c r="J28" s="2957">
        <v>6</v>
      </c>
      <c r="K28" s="2958" t="s">
        <v>2412</v>
      </c>
      <c r="L28" s="2959" t="s">
        <v>2413</v>
      </c>
      <c r="M28" s="2960"/>
      <c r="N28" s="2959" t="s">
        <v>2414</v>
      </c>
      <c r="O28" s="2961"/>
      <c r="P28" s="2959" t="s">
        <v>2415</v>
      </c>
      <c r="Q28" s="2962">
        <v>1.4999999999999999E-2</v>
      </c>
      <c r="R28" s="2963"/>
      <c r="S28" s="2915"/>
      <c r="T28" s="2915"/>
      <c r="U28" s="2915"/>
      <c r="V28" s="2942"/>
    </row>
    <row r="29" spans="1:22" s="2943" customFormat="1" ht="13.15" customHeight="1">
      <c r="A29" s="2924">
        <v>3</v>
      </c>
      <c r="B29" s="2925" t="s">
        <v>2416</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2410</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2417</v>
      </c>
      <c r="K31" s="2832"/>
      <c r="L31" s="2832"/>
      <c r="M31" s="2832"/>
      <c r="N31" s="2832"/>
      <c r="O31" s="2832"/>
      <c r="P31" s="2832"/>
      <c r="Q31" s="2832"/>
      <c r="R31" s="2833"/>
      <c r="S31" s="2915"/>
      <c r="T31" s="2834"/>
      <c r="U31" s="2834"/>
      <c r="V31" s="2942"/>
    </row>
    <row r="32" spans="1:22" s="2943" customFormat="1" ht="13.15" customHeight="1">
      <c r="A32" s="2924">
        <v>4</v>
      </c>
      <c r="B32" s="2925" t="s">
        <v>2418</v>
      </c>
      <c r="C32" s="2926">
        <f>C23-C26-C29</f>
        <v>0</v>
      </c>
      <c r="D32" s="2927">
        <f>D23-D26-D29</f>
        <v>0</v>
      </c>
      <c r="E32" s="2928">
        <f>E23-E26-E29</f>
        <v>0</v>
      </c>
      <c r="F32" s="2929"/>
      <c r="G32" s="2923"/>
      <c r="H32" s="2841"/>
      <c r="I32" s="2842"/>
      <c r="J32" s="3641" t="s">
        <v>2310</v>
      </c>
      <c r="K32" s="3642"/>
      <c r="L32" s="2843" t="s">
        <v>2311</v>
      </c>
      <c r="M32" s="2843" t="s">
        <v>2312</v>
      </c>
      <c r="N32" s="2843" t="s">
        <v>2313</v>
      </c>
      <c r="O32" s="2843" t="s">
        <v>2314</v>
      </c>
      <c r="P32" s="2843" t="s">
        <v>2315</v>
      </c>
      <c r="Q32" s="2844" t="s">
        <v>2316</v>
      </c>
      <c r="R32" s="2966" t="s">
        <v>2317</v>
      </c>
      <c r="S32" s="2915"/>
      <c r="T32" s="2834"/>
      <c r="U32" s="2834"/>
      <c r="V32" s="2942"/>
    </row>
    <row r="33" spans="1:23" s="2846" customFormat="1" ht="13.15" customHeight="1">
      <c r="A33" s="2924"/>
      <c r="B33" s="2925"/>
      <c r="C33" s="2926"/>
      <c r="D33" s="2967"/>
      <c r="E33" s="2968"/>
      <c r="F33" s="2929"/>
      <c r="G33" s="2923"/>
      <c r="H33" s="2951"/>
      <c r="I33" s="2942"/>
      <c r="J33" s="3643" t="s">
        <v>2320</v>
      </c>
      <c r="K33" s="3644"/>
      <c r="L33" s="2849"/>
      <c r="M33" s="2849"/>
      <c r="N33" s="2849"/>
      <c r="O33" s="2849"/>
      <c r="P33" s="2849"/>
      <c r="Q33" s="2850"/>
      <c r="R33" s="2969">
        <f>SUM(L33:Q33)</f>
        <v>0</v>
      </c>
      <c r="S33" s="2915"/>
      <c r="T33" s="2834"/>
      <c r="U33" s="2834"/>
      <c r="V33" s="2842"/>
    </row>
    <row r="34" spans="1:23" s="2846" customFormat="1" ht="13.15" customHeight="1">
      <c r="A34" s="2924">
        <v>5</v>
      </c>
      <c r="B34" s="2925" t="s">
        <v>2419</v>
      </c>
      <c r="C34" s="2970"/>
      <c r="D34" s="2971"/>
      <c r="E34" s="2972"/>
      <c r="F34" s="2929"/>
      <c r="G34" s="2923"/>
      <c r="H34" s="2951"/>
      <c r="I34" s="2942"/>
      <c r="J34" s="3643" t="s">
        <v>2322</v>
      </c>
      <c r="K34" s="3644"/>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2420</v>
      </c>
      <c r="C35" s="2974"/>
      <c r="D35" s="2975"/>
      <c r="E35" s="2976"/>
      <c r="F35" s="2929"/>
      <c r="G35" s="2977"/>
      <c r="H35" s="2841"/>
      <c r="I35" s="2942"/>
      <c r="J35" s="2860" t="s">
        <v>2324</v>
      </c>
      <c r="K35" s="2861"/>
      <c r="L35" s="2861"/>
      <c r="M35" s="2862"/>
      <c r="N35" s="2862"/>
      <c r="O35" s="2862"/>
      <c r="P35" s="2862"/>
      <c r="Q35" s="2862"/>
      <c r="R35" s="2978">
        <f>R40+R41+R43</f>
        <v>0</v>
      </c>
      <c r="S35" s="2915"/>
      <c r="T35" s="2834" t="s">
        <v>2325</v>
      </c>
      <c r="U35" s="2834"/>
      <c r="V35" s="2842"/>
    </row>
    <row r="36" spans="1:23" s="2846" customFormat="1" ht="13.15" customHeight="1" thickBot="1">
      <c r="A36" s="2924">
        <v>7</v>
      </c>
      <c r="B36" s="2979" t="s">
        <v>2421</v>
      </c>
      <c r="C36" s="2980"/>
      <c r="D36" s="2981"/>
      <c r="E36" s="2982"/>
      <c r="F36" s="2983">
        <f>C36+D36+E36</f>
        <v>0</v>
      </c>
      <c r="G36" s="2923"/>
      <c r="H36" s="2841"/>
      <c r="I36" s="2842"/>
      <c r="J36" s="3648">
        <v>1</v>
      </c>
      <c r="K36" s="3649" t="s">
        <v>2422</v>
      </c>
      <c r="L36" s="2867"/>
      <c r="M36" s="2868"/>
      <c r="N36" s="2868"/>
      <c r="O36" s="2868"/>
      <c r="P36" s="2868"/>
      <c r="Q36" s="2868"/>
      <c r="R36" s="2851" t="s">
        <v>2334</v>
      </c>
      <c r="S36" s="2915"/>
      <c r="T36" s="2834" t="s">
        <v>2335</v>
      </c>
      <c r="U36" s="2834"/>
      <c r="V36" s="2842"/>
    </row>
    <row r="37" spans="1:23" s="2846" customFormat="1" ht="13.15" customHeight="1">
      <c r="A37" s="2924"/>
      <c r="B37" s="2925"/>
      <c r="C37" s="2925"/>
      <c r="D37" s="2925"/>
      <c r="E37" s="2925"/>
      <c r="F37" s="2929"/>
      <c r="G37" s="2923"/>
      <c r="H37" s="2841"/>
      <c r="I37" s="2842"/>
      <c r="J37" s="3648"/>
      <c r="K37" s="3650"/>
      <c r="L37" s="2876"/>
      <c r="M37" s="2877"/>
      <c r="N37" s="2853"/>
      <c r="O37" s="2878"/>
      <c r="P37" s="2878"/>
      <c r="Q37" s="2879"/>
      <c r="R37" s="2880"/>
      <c r="S37" s="2915"/>
      <c r="T37" s="2834" t="s">
        <v>2338</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648"/>
      <c r="K38" s="3650"/>
      <c r="L38" s="2876"/>
      <c r="M38" s="2877"/>
      <c r="N38" s="2853"/>
      <c r="O38" s="2878"/>
      <c r="P38" s="2878"/>
      <c r="Q38" s="2879"/>
      <c r="R38" s="2880"/>
      <c r="S38" s="2915"/>
      <c r="T38" s="2834" t="s">
        <v>2345</v>
      </c>
      <c r="U38" s="2834"/>
      <c r="V38" s="2842"/>
    </row>
    <row r="39" spans="1:23" s="2846" customFormat="1" ht="13.15" customHeight="1">
      <c r="A39" s="2924">
        <v>9</v>
      </c>
      <c r="B39" s="2925" t="s">
        <v>2423</v>
      </c>
      <c r="C39" s="2890" t="e">
        <f>C38</f>
        <v>#DIV/0!</v>
      </c>
      <c r="D39" s="2925">
        <f>D38/(1+D34)^C36</f>
        <v>0</v>
      </c>
      <c r="E39" s="2925">
        <f>E38/(1+E34)^(C36+D36)</f>
        <v>0</v>
      </c>
      <c r="F39" s="2929"/>
      <c r="G39" s="2984"/>
      <c r="H39" s="2841"/>
      <c r="I39" s="2842"/>
      <c r="J39" s="3648"/>
      <c r="K39" s="3650"/>
      <c r="L39" s="2876"/>
      <c r="M39" s="2877"/>
      <c r="N39" s="2853"/>
      <c r="O39" s="2878"/>
      <c r="P39" s="2878"/>
      <c r="Q39" s="2879"/>
      <c r="R39" s="2880"/>
      <c r="S39" s="2915"/>
      <c r="T39" s="2834"/>
      <c r="U39" s="2834"/>
      <c r="V39" s="2842"/>
    </row>
    <row r="40" spans="1:23" s="2846" customFormat="1" ht="13.15" customHeight="1">
      <c r="A40" s="2985">
        <v>10</v>
      </c>
      <c r="B40" s="2925" t="s">
        <v>2424</v>
      </c>
      <c r="C40" s="2986" t="e">
        <f>C39+D39+E39</f>
        <v>#DIV/0!</v>
      </c>
      <c r="D40" s="2987"/>
      <c r="E40" s="2987"/>
      <c r="F40" s="2988"/>
      <c r="G40" s="2923"/>
      <c r="H40" s="2841"/>
      <c r="I40" s="2842"/>
      <c r="J40" s="3648"/>
      <c r="K40" s="3651"/>
      <c r="L40" s="2896" t="s">
        <v>2363</v>
      </c>
      <c r="M40" s="2897"/>
      <c r="N40" s="2897"/>
      <c r="O40" s="2898"/>
      <c r="P40" s="2898"/>
      <c r="Q40" s="2899"/>
      <c r="R40" s="2845">
        <f>SUM(R37:R39)</f>
        <v>0</v>
      </c>
      <c r="S40" s="2915"/>
      <c r="T40" s="2834"/>
      <c r="U40" s="2834"/>
      <c r="V40" s="2842"/>
    </row>
    <row r="41" spans="1:23" s="2846" customFormat="1" ht="13.15" customHeight="1" thickBot="1">
      <c r="A41" s="2989">
        <v>11</v>
      </c>
      <c r="B41" s="2990" t="s">
        <v>2425</v>
      </c>
      <c r="C41" s="2990" t="e">
        <f>ROUND(C40*10000/B4,0)</f>
        <v>#DIV/0!</v>
      </c>
      <c r="D41" s="2991"/>
      <c r="E41" s="2991"/>
      <c r="F41" s="2992"/>
      <c r="G41" s="2993"/>
      <c r="H41" s="2841"/>
      <c r="I41" s="2842"/>
      <c r="J41" s="2937">
        <v>2</v>
      </c>
      <c r="K41" s="2938" t="s">
        <v>2403</v>
      </c>
      <c r="L41" s="2939"/>
      <c r="M41" s="2939"/>
      <c r="N41" s="2939"/>
      <c r="O41" s="2939"/>
      <c r="P41" s="2940"/>
      <c r="Q41" s="2941"/>
      <c r="R41" s="2912">
        <f>ROUND(R40*Q41,0)</f>
        <v>0</v>
      </c>
      <c r="S41" s="2915"/>
      <c r="T41" s="2834"/>
      <c r="U41" s="2949"/>
      <c r="V41" s="2842"/>
    </row>
    <row r="42" spans="1:23" s="2846" customFormat="1" ht="13.15" customHeight="1">
      <c r="G42" s="2993"/>
      <c r="H42" s="2841"/>
      <c r="I42" s="2842"/>
      <c r="J42" s="3658">
        <v>3</v>
      </c>
      <c r="K42" s="2944" t="s">
        <v>2405</v>
      </c>
      <c r="L42" s="2945"/>
      <c r="M42" s="2946"/>
      <c r="N42" s="2947" t="s">
        <v>2406</v>
      </c>
      <c r="O42" s="2947" t="s">
        <v>2407</v>
      </c>
      <c r="P42" s="2948" t="s">
        <v>2408</v>
      </c>
      <c r="Q42" s="2948" t="s">
        <v>2409</v>
      </c>
      <c r="R42" s="2851" t="s">
        <v>2334</v>
      </c>
      <c r="S42" s="2949"/>
      <c r="T42" s="2949"/>
      <c r="U42" s="2834"/>
      <c r="V42" s="2842"/>
    </row>
    <row r="43" spans="1:23" ht="13.15" customHeight="1">
      <c r="A43" s="2846"/>
      <c r="B43" s="2846"/>
      <c r="C43" s="2846"/>
      <c r="D43" s="2846"/>
      <c r="E43" s="2846"/>
      <c r="F43" s="2846"/>
      <c r="I43" s="2829"/>
      <c r="J43" s="3659"/>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2412</v>
      </c>
      <c r="L44" s="2997" t="s">
        <v>2413</v>
      </c>
      <c r="M44" s="2960"/>
      <c r="N44" s="2997" t="s">
        <v>2414</v>
      </c>
      <c r="O44" s="2960"/>
      <c r="P44" s="2997" t="s">
        <v>2415</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56" sqref="J5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0"/>
      <c r="G1" s="1489"/>
      <c r="H1" s="1489"/>
      <c r="I1" s="1489"/>
      <c r="J1" s="1489"/>
      <c r="K1" s="1489"/>
      <c r="L1" s="1489"/>
      <c r="M1" s="1489"/>
      <c r="N1" s="1489"/>
      <c r="O1" s="1489"/>
      <c r="P1" s="1489"/>
      <c r="Q1" s="1489"/>
      <c r="R1" s="1489"/>
      <c r="S1" s="1489"/>
    </row>
    <row r="2" spans="1:22" ht="15.75">
      <c r="A2" s="1870" t="s">
        <v>1461</v>
      </c>
      <c r="B2" s="1871">
        <f ca="1">SUMIF(B6:B13,"&lt;&gt;#ref!",B6:B13)</f>
        <v>100619</v>
      </c>
      <c r="C2" s="1872" t="s">
        <v>1650</v>
      </c>
      <c r="D2" s="1873" t="s">
        <v>1651</v>
      </c>
      <c r="E2" s="2600">
        <f>SUM(E6:E13)</f>
        <v>27202.300000000003</v>
      </c>
      <c r="F2" s="2700"/>
      <c r="G2" s="1489"/>
      <c r="H2" s="1489"/>
      <c r="I2" s="1489"/>
      <c r="J2" s="1489"/>
      <c r="K2" s="1489"/>
      <c r="L2" s="1489"/>
      <c r="M2" s="1489"/>
      <c r="N2" s="1489"/>
      <c r="O2" s="1489"/>
      <c r="P2" s="1489"/>
      <c r="Q2" s="1489"/>
      <c r="R2" s="1489"/>
      <c r="S2" s="1489"/>
    </row>
    <row r="3" spans="1:22" ht="15.75">
      <c r="A3" s="1870" t="s">
        <v>686</v>
      </c>
      <c r="B3" s="2594">
        <f ca="1">ROUND(B2*10000/E2,0)</f>
        <v>36989</v>
      </c>
      <c r="C3" s="1872" t="s">
        <v>1658</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6" t="s">
        <v>1652</v>
      </c>
      <c r="B5" s="3660" t="s">
        <v>1653</v>
      </c>
      <c r="C5" s="3661"/>
      <c r="D5" s="2701"/>
      <c r="E5" s="1874" t="s">
        <v>1654</v>
      </c>
      <c r="F5" s="1875" t="s">
        <v>1655</v>
      </c>
      <c r="G5" s="1489"/>
      <c r="H5" s="1489"/>
      <c r="I5" s="1489"/>
      <c r="J5" s="1489"/>
      <c r="K5" s="1489"/>
      <c r="L5" s="1489"/>
      <c r="M5" s="1489"/>
      <c r="N5" s="1489"/>
      <c r="O5" s="1489"/>
      <c r="P5" s="1489"/>
      <c r="Q5" s="1489"/>
      <c r="R5" s="1489"/>
      <c r="S5" s="1489"/>
    </row>
    <row r="6" spans="1:22">
      <c r="A6" s="2597" t="str">
        <f>'数据-取费表'!AN6</f>
        <v>收益法</v>
      </c>
      <c r="B6" s="2595">
        <f ca="1">IF(F6="是",'数据-取费表'!AO6,0)</f>
        <v>100619</v>
      </c>
      <c r="C6" s="1872" t="s">
        <v>1650</v>
      </c>
      <c r="D6" s="2702"/>
      <c r="E6" s="2599">
        <f>IF(OR(A6=0,F6="否"),0,'数据-取费表'!K6+'数据-取费表'!S6)</f>
        <v>27202.300000000003</v>
      </c>
      <c r="F6" s="1876" t="s">
        <v>1656</v>
      </c>
      <c r="G6" s="1489"/>
      <c r="H6" s="1489"/>
      <c r="I6" s="1489"/>
      <c r="J6" s="1489"/>
      <c r="K6" s="1489"/>
      <c r="L6" s="1489"/>
      <c r="M6" s="1489"/>
      <c r="N6" s="1489"/>
      <c r="O6" s="1489"/>
      <c r="P6" s="1489"/>
      <c r="Q6" s="1489"/>
      <c r="R6" s="1489"/>
      <c r="S6" s="1489"/>
    </row>
    <row r="7" spans="1:22">
      <c r="A7" s="2597">
        <f>'数据-取费表'!AN7</f>
        <v>0</v>
      </c>
      <c r="B7" s="2595" t="e">
        <f ca="1">IF(F7="是",'数据-取费表'!AO7,0)</f>
        <v>#REF!</v>
      </c>
      <c r="C7" s="1872" t="s">
        <v>1650</v>
      </c>
      <c r="D7" s="2702"/>
      <c r="E7" s="2599">
        <f>IF(OR(A7=0,F7="否"),0,'数据-取费表'!K7+'数据-取费表'!S7)</f>
        <v>0</v>
      </c>
      <c r="F7" s="1876" t="s">
        <v>1656</v>
      </c>
      <c r="G7" s="1489"/>
      <c r="H7" s="1489"/>
      <c r="I7" s="1489"/>
      <c r="J7" s="1489"/>
      <c r="K7" s="1489"/>
      <c r="L7" s="1489"/>
      <c r="M7" s="1489"/>
      <c r="N7" s="1489"/>
      <c r="O7" s="1489"/>
      <c r="P7" s="1489"/>
      <c r="Q7" s="1489"/>
      <c r="R7" s="1489"/>
      <c r="S7" s="1489"/>
    </row>
    <row r="8" spans="1:22">
      <c r="A8" s="2597">
        <f>'数据-取费表'!AN8</f>
        <v>0</v>
      </c>
      <c r="B8" s="2595" t="e">
        <f ca="1">IF(F8="是",'数据-取费表'!AO8,0)</f>
        <v>#REF!</v>
      </c>
      <c r="C8" s="1872" t="s">
        <v>1650</v>
      </c>
      <c r="D8" s="2702"/>
      <c r="E8" s="2599">
        <f>IF(OR(A8=0,F8="否"),0,'数据-取费表'!K8+'数据-取费表'!S8)</f>
        <v>0</v>
      </c>
      <c r="F8" s="1876" t="s">
        <v>1656</v>
      </c>
      <c r="G8" s="1489"/>
      <c r="H8" s="1489"/>
      <c r="I8" s="1489"/>
      <c r="J8" s="1489"/>
      <c r="K8" s="1489"/>
      <c r="L8" s="1489"/>
      <c r="M8" s="1489"/>
      <c r="N8" s="1489"/>
      <c r="O8" s="1489"/>
      <c r="P8" s="1489"/>
      <c r="Q8" s="1489"/>
      <c r="R8" s="1489"/>
      <c r="S8" s="1489"/>
    </row>
    <row r="9" spans="1:22">
      <c r="A9" s="2597">
        <f>'数据-取费表'!AN9</f>
        <v>0</v>
      </c>
      <c r="B9" s="2595" t="e">
        <f ca="1">IF(F9="是",'数据-取费表'!AO9,0)</f>
        <v>#REF!</v>
      </c>
      <c r="C9" s="1872" t="s">
        <v>1650</v>
      </c>
      <c r="D9" s="2702"/>
      <c r="E9" s="2599">
        <f>IF(OR(A9=0,F9="否"),0,'数据-取费表'!K9+'数据-取费表'!S9)</f>
        <v>0</v>
      </c>
      <c r="F9" s="1876" t="s">
        <v>1656</v>
      </c>
      <c r="G9" s="1489"/>
      <c r="H9" s="1489"/>
      <c r="I9" s="1489"/>
      <c r="J9" s="1489"/>
      <c r="K9" s="1489"/>
      <c r="L9" s="1489"/>
      <c r="M9" s="1489"/>
      <c r="N9" s="1489"/>
      <c r="O9" s="1489"/>
      <c r="P9" s="1489"/>
      <c r="Q9" s="1489"/>
      <c r="R9" s="1489"/>
      <c r="S9" s="1489"/>
    </row>
    <row r="10" spans="1:22">
      <c r="A10" s="2597">
        <f>'数据-取费表'!AN10</f>
        <v>0</v>
      </c>
      <c r="B10" s="2595" t="e">
        <f ca="1">IF(F10="是",'数据-取费表'!AO10,0)</f>
        <v>#REF!</v>
      </c>
      <c r="C10" s="1872" t="s">
        <v>1650</v>
      </c>
      <c r="D10" s="2702"/>
      <c r="E10" s="2599">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7">
        <f>'数据-取费表'!AN11</f>
        <v>0</v>
      </c>
      <c r="B11" s="2595" t="e">
        <f ca="1">IF(F11="是",'数据-取费表'!AO11,0)</f>
        <v>#REF!</v>
      </c>
      <c r="C11" s="1872" t="s">
        <v>1650</v>
      </c>
      <c r="D11" s="2702"/>
      <c r="E11" s="2599">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7">
        <f>'数据-取费表'!AN12</f>
        <v>0</v>
      </c>
      <c r="B12" s="2595" t="e">
        <f ca="1">IF(F12="是",'数据-取费表'!AO12,0)</f>
        <v>#REF!</v>
      </c>
      <c r="C12" s="1872" t="s">
        <v>1650</v>
      </c>
      <c r="D12" s="2702"/>
      <c r="E12" s="2599">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98">
        <f>'数据-取费表'!AN13</f>
        <v>0</v>
      </c>
      <c r="B13" s="2595" t="e">
        <f ca="1">IF(F13="是",'数据-取费表'!AO13,0)</f>
        <v>#REF!</v>
      </c>
      <c r="C13" s="1877" t="s">
        <v>1650</v>
      </c>
      <c r="D13" s="2703"/>
      <c r="E13" s="2599">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1"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19"/>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6"/>
      <c r="M2" s="2707"/>
      <c r="N2" s="2707"/>
      <c r="O2" s="270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27202.300000000003</v>
      </c>
      <c r="E3" s="907"/>
      <c r="F3" s="1888"/>
      <c r="G3" s="907"/>
      <c r="H3" s="907"/>
      <c r="I3" s="907"/>
      <c r="J3" s="907"/>
      <c r="K3" s="1884"/>
      <c r="L3" s="2706"/>
      <c r="M3" s="2707"/>
      <c r="N3" s="2707"/>
      <c r="O3" s="2707"/>
      <c r="P3" s="1885"/>
      <c r="Q3" s="1886"/>
      <c r="R3" s="1886"/>
      <c r="S3" s="1886"/>
      <c r="T3" s="1886"/>
      <c r="U3" s="1886"/>
      <c r="V3" s="1886"/>
      <c r="W3" s="1886"/>
      <c r="X3" s="1886"/>
      <c r="Y3" s="1886"/>
      <c r="Z3" s="1886"/>
      <c r="AA3" s="1886"/>
      <c r="AB3" s="1886"/>
      <c r="AC3" s="1061"/>
    </row>
    <row r="4" spans="1:29" ht="15">
      <c r="A4" s="355" t="s">
        <v>1665</v>
      </c>
      <c r="B4" s="356"/>
      <c r="C4" s="3680" t="s">
        <v>1666</v>
      </c>
      <c r="D4" s="3681"/>
      <c r="E4" s="3682" t="s">
        <v>1667</v>
      </c>
      <c r="F4" s="3683"/>
      <c r="G4" s="3680" t="s">
        <v>1668</v>
      </c>
      <c r="H4" s="3681"/>
      <c r="I4" s="3680" t="s">
        <v>1669</v>
      </c>
      <c r="J4" s="3681"/>
      <c r="K4" s="1889" t="s">
        <v>1670</v>
      </c>
      <c r="L4" s="2708"/>
      <c r="M4" s="2709"/>
      <c r="N4" s="2709"/>
      <c r="O4" s="2709"/>
      <c r="P4" s="3684" t="s">
        <v>1671</v>
      </c>
      <c r="Q4" s="3685"/>
      <c r="R4" s="3667" t="s">
        <v>1667</v>
      </c>
      <c r="S4" s="3668"/>
      <c r="T4" s="3667" t="s">
        <v>1668</v>
      </c>
      <c r="U4" s="3668"/>
      <c r="V4" s="3692" t="s">
        <v>1669</v>
      </c>
      <c r="W4" s="3692"/>
      <c r="X4" s="1355"/>
      <c r="Y4" s="3667" t="s">
        <v>1671</v>
      </c>
      <c r="Z4" s="3668"/>
      <c r="AA4" s="3662" t="s">
        <v>1667</v>
      </c>
      <c r="AB4" s="3662" t="s">
        <v>1668</v>
      </c>
      <c r="AC4" s="3662" t="s">
        <v>1669</v>
      </c>
    </row>
    <row r="5" spans="1:29" ht="15">
      <c r="A5" s="358"/>
      <c r="B5" s="359"/>
      <c r="C5" s="3673" t="s">
        <v>1672</v>
      </c>
      <c r="D5" s="3674"/>
      <c r="E5" s="3671" t="s">
        <v>1673</v>
      </c>
      <c r="F5" s="3672"/>
      <c r="G5" s="3673" t="s">
        <v>1674</v>
      </c>
      <c r="H5" s="3674"/>
      <c r="I5" s="3673" t="s">
        <v>1675</v>
      </c>
      <c r="J5" s="3674"/>
      <c r="K5" s="1890"/>
      <c r="L5" s="2708"/>
      <c r="M5" s="2709"/>
      <c r="N5" s="2709"/>
      <c r="O5" s="2709"/>
      <c r="P5" s="3686"/>
      <c r="Q5" s="3687"/>
      <c r="R5" s="3669"/>
      <c r="S5" s="3670"/>
      <c r="T5" s="3669"/>
      <c r="U5" s="3670"/>
      <c r="V5" s="3692"/>
      <c r="W5" s="3692"/>
      <c r="X5" s="1355"/>
      <c r="Y5" s="3669"/>
      <c r="Z5" s="3670"/>
      <c r="AA5" s="3663"/>
      <c r="AB5" s="3663"/>
      <c r="AC5" s="3663"/>
    </row>
    <row r="6" spans="1:29" ht="15.75" thickBot="1">
      <c r="A6" s="360"/>
      <c r="B6" s="361"/>
      <c r="C6" s="3675" t="s">
        <v>1676</v>
      </c>
      <c r="D6" s="3676"/>
      <c r="E6" s="3677" t="s">
        <v>1676</v>
      </c>
      <c r="F6" s="3678"/>
      <c r="G6" s="3675" t="s">
        <v>1676</v>
      </c>
      <c r="H6" s="3676"/>
      <c r="I6" s="3675" t="s">
        <v>1676</v>
      </c>
      <c r="J6" s="3676"/>
      <c r="K6" s="1890" t="s">
        <v>1677</v>
      </c>
      <c r="L6" s="2708"/>
      <c r="M6" s="2709"/>
      <c r="N6" s="2709"/>
      <c r="O6" s="2709"/>
      <c r="P6" s="3688"/>
      <c r="Q6" s="3689"/>
      <c r="R6" s="3669"/>
      <c r="S6" s="3670"/>
      <c r="T6" s="3690"/>
      <c r="U6" s="3691"/>
      <c r="V6" s="3692"/>
      <c r="W6" s="3692"/>
      <c r="X6" s="1355"/>
      <c r="Y6" s="3690"/>
      <c r="Z6" s="3691"/>
      <c r="AA6" s="3664"/>
      <c r="AB6" s="3664"/>
      <c r="AC6" s="3664"/>
    </row>
    <row r="7" spans="1:29" s="108" customFormat="1" ht="15.75" thickBot="1">
      <c r="A7" s="362" t="s">
        <v>1678</v>
      </c>
      <c r="B7" s="363"/>
      <c r="C7" s="364">
        <f>'数据-取费表'!B2</f>
        <v>45160</v>
      </c>
      <c r="D7" s="365">
        <v>100</v>
      </c>
      <c r="E7" s="366"/>
      <c r="F7" s="367">
        <f>SUMIF(58:58,YEAR(E7)&amp;"-"&amp;MONTH(E7),59:59)</f>
        <v>0</v>
      </c>
      <c r="G7" s="366"/>
      <c r="H7" s="365">
        <f>SUMIF(58:58,YEAR(G7)&amp;"-"&amp;MONTH(G7),59:59)</f>
        <v>0</v>
      </c>
      <c r="I7" s="366"/>
      <c r="J7" s="365">
        <f>SUMIF(58:58,YEAR(I7)&amp;"-"&amp;MONTH(I7),59:59)</f>
        <v>0</v>
      </c>
      <c r="K7" s="1891"/>
      <c r="L7" s="2710"/>
      <c r="M7" s="2711"/>
      <c r="N7" s="2711"/>
      <c r="O7" s="2711"/>
      <c r="P7" s="3665" t="s">
        <v>1679</v>
      </c>
      <c r="Q7" s="3693"/>
      <c r="R7" s="701" t="s">
        <v>20</v>
      </c>
      <c r="S7" s="702">
        <f t="shared" ref="S7:S15" si="0">F7</f>
        <v>0</v>
      </c>
      <c r="T7" s="701" t="s">
        <v>20</v>
      </c>
      <c r="U7" s="702">
        <f t="shared" ref="U7:U15" si="1">H7</f>
        <v>0</v>
      </c>
      <c r="V7" s="701" t="s">
        <v>20</v>
      </c>
      <c r="W7" s="702">
        <f t="shared" ref="W7:W15" si="2">J7</f>
        <v>0</v>
      </c>
      <c r="X7" s="703"/>
      <c r="Y7" s="3665" t="s">
        <v>1679</v>
      </c>
      <c r="Z7" s="3666"/>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0"/>
      <c r="M8" s="2711"/>
      <c r="N8" s="2711"/>
      <c r="O8" s="2711"/>
      <c r="P8" s="3665" t="s">
        <v>1682</v>
      </c>
      <c r="Q8" s="3666"/>
      <c r="R8" s="701" t="s">
        <v>20</v>
      </c>
      <c r="S8" s="702">
        <f t="shared" si="0"/>
        <v>100</v>
      </c>
      <c r="T8" s="701" t="s">
        <v>20</v>
      </c>
      <c r="U8" s="702">
        <f t="shared" si="1"/>
        <v>100</v>
      </c>
      <c r="V8" s="701" t="s">
        <v>20</v>
      </c>
      <c r="W8" s="702">
        <f t="shared" si="2"/>
        <v>100</v>
      </c>
      <c r="X8" s="703"/>
      <c r="Y8" s="3665" t="s">
        <v>1682</v>
      </c>
      <c r="Z8" s="3666"/>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0"/>
      <c r="M9" s="2711"/>
      <c r="N9" s="2711"/>
      <c r="O9" s="2711"/>
      <c r="P9" s="3679" t="s">
        <v>1685</v>
      </c>
      <c r="Q9" s="1343" t="str">
        <f t="shared" ref="Q9:Q15" si="6">B9</f>
        <v>用途</v>
      </c>
      <c r="R9" s="701" t="s">
        <v>14</v>
      </c>
      <c r="S9" s="702">
        <f t="shared" si="0"/>
        <v>100</v>
      </c>
      <c r="T9" s="701" t="s">
        <v>14</v>
      </c>
      <c r="U9" s="702">
        <f t="shared" si="1"/>
        <v>100</v>
      </c>
      <c r="V9" s="701" t="s">
        <v>14</v>
      </c>
      <c r="W9" s="702">
        <f t="shared" si="2"/>
        <v>100</v>
      </c>
      <c r="X9" s="703"/>
      <c r="Y9" s="3609" t="s">
        <v>1686</v>
      </c>
      <c r="Z9" s="52" t="str">
        <f t="shared" ref="Z9:Z15" si="7">Q9</f>
        <v>用途</v>
      </c>
      <c r="AA9" s="704">
        <f t="shared" si="3"/>
        <v>1</v>
      </c>
      <c r="AB9" s="704">
        <f t="shared" si="4"/>
        <v>1</v>
      </c>
      <c r="AC9" s="704">
        <f t="shared" si="5"/>
        <v>1</v>
      </c>
    </row>
    <row r="10" spans="1:29" s="378" customFormat="1" ht="27">
      <c r="A10" s="374"/>
      <c r="B10" s="375" t="s">
        <v>1687</v>
      </c>
      <c r="C10" s="3427"/>
      <c r="D10" s="127">
        <v>100</v>
      </c>
      <c r="E10" s="3428"/>
      <c r="F10" s="376">
        <f>SUMIF(65:65,E10,66:66)-SUMIF(65:65,C10,66:66)+100</f>
        <v>100</v>
      </c>
      <c r="G10" s="3427"/>
      <c r="H10" s="127">
        <f>SUMIF(65:65,G10,66:66)-SUMIF(65:65,C10,66:66)+100</f>
        <v>100</v>
      </c>
      <c r="I10" s="3427"/>
      <c r="J10" s="127">
        <f>SUMIF(65:65,I10,66:66)-SUMIF(65:65,C10,66:66)+100</f>
        <v>100</v>
      </c>
      <c r="K10" s="1891"/>
      <c r="L10" s="2712"/>
      <c r="M10" s="2713"/>
      <c r="N10" s="2713"/>
      <c r="O10" s="2713"/>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4"/>
      <c r="M11" s="2709"/>
      <c r="N11" s="2709"/>
      <c r="O11" s="2709"/>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0"/>
      <c r="M12" s="2711"/>
      <c r="N12" s="2711"/>
      <c r="O12" s="2711"/>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5"/>
      <c r="M13" s="2709"/>
      <c r="N13" s="2709"/>
      <c r="O13" s="2709"/>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5"/>
      <c r="M14" s="2709"/>
      <c r="N14" s="2709"/>
      <c r="O14" s="2709"/>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5"/>
      <c r="M15" s="2709"/>
      <c r="N15" s="2709"/>
      <c r="O15" s="2709"/>
      <c r="P15" s="3706" t="s">
        <v>1690</v>
      </c>
      <c r="Q15" s="1352" t="str">
        <f t="shared" si="6"/>
        <v>居住社区成熟度</v>
      </c>
      <c r="R15" s="705" t="s">
        <v>18</v>
      </c>
      <c r="S15" s="706">
        <f t="shared" si="0"/>
        <v>100</v>
      </c>
      <c r="T15" s="705" t="s">
        <v>18</v>
      </c>
      <c r="U15" s="706">
        <f t="shared" si="1"/>
        <v>100</v>
      </c>
      <c r="V15" s="705" t="s">
        <v>18</v>
      </c>
      <c r="W15" s="706">
        <f t="shared" si="2"/>
        <v>100</v>
      </c>
      <c r="X15" s="1355"/>
      <c r="Y15" s="3699"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5"/>
      <c r="M16" s="2709"/>
      <c r="N16" s="2709"/>
      <c r="O16" s="2709"/>
      <c r="P16" s="3707"/>
      <c r="Q16" s="1352"/>
      <c r="R16" s="705"/>
      <c r="S16" s="706"/>
      <c r="T16" s="705"/>
      <c r="U16" s="706"/>
      <c r="V16" s="705"/>
      <c r="W16" s="706"/>
      <c r="X16" s="1355"/>
      <c r="Y16" s="3700"/>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5"/>
      <c r="M17" s="2709"/>
      <c r="N17" s="2709"/>
      <c r="O17" s="2709"/>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5"/>
      <c r="M18" s="2709"/>
      <c r="N18" s="2709"/>
      <c r="O18" s="2709"/>
      <c r="P18" s="3707"/>
      <c r="Q18" s="1352"/>
      <c r="R18" s="705"/>
      <c r="S18" s="706"/>
      <c r="T18" s="705"/>
      <c r="U18" s="706"/>
      <c r="V18" s="705"/>
      <c r="W18" s="706"/>
      <c r="X18" s="1355"/>
      <c r="Y18" s="3700"/>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5"/>
      <c r="M19" s="2709"/>
      <c r="N19" s="2709"/>
      <c r="O19" s="2709"/>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5"/>
      <c r="M20" s="2709"/>
      <c r="N20" s="2709"/>
      <c r="O20" s="2709"/>
      <c r="P20" s="3707"/>
      <c r="Q20" s="1352"/>
      <c r="R20" s="705"/>
      <c r="S20" s="706"/>
      <c r="T20" s="705"/>
      <c r="U20" s="706"/>
      <c r="V20" s="705"/>
      <c r="W20" s="706"/>
      <c r="X20" s="1355"/>
      <c r="Y20" s="3700"/>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5"/>
      <c r="M21" s="2709"/>
      <c r="N21" s="2709"/>
      <c r="O21" s="2709"/>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5"/>
      <c r="M22" s="2709"/>
      <c r="N22" s="2709"/>
      <c r="O22" s="2709"/>
      <c r="P22" s="3707"/>
      <c r="Q22" s="1352"/>
      <c r="R22" s="705"/>
      <c r="S22" s="706"/>
      <c r="T22" s="705"/>
      <c r="U22" s="706"/>
      <c r="V22" s="705"/>
      <c r="W22" s="706"/>
      <c r="X22" s="1355"/>
      <c r="Y22" s="3700"/>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5"/>
      <c r="M23" s="2709"/>
      <c r="N23" s="2709"/>
      <c r="O23" s="2709"/>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5"/>
      <c r="M24" s="2709"/>
      <c r="N24" s="2709"/>
      <c r="O24" s="2709"/>
      <c r="P24" s="3707"/>
      <c r="Q24" s="1352"/>
      <c r="R24" s="705"/>
      <c r="S24" s="706"/>
      <c r="T24" s="705"/>
      <c r="U24" s="706"/>
      <c r="V24" s="705"/>
      <c r="W24" s="706"/>
      <c r="X24" s="1355"/>
      <c r="Y24" s="3700"/>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5"/>
      <c r="M25" s="2709"/>
      <c r="N25" s="2709"/>
      <c r="O25" s="2709"/>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5"/>
      <c r="M26" s="2709"/>
      <c r="N26" s="2709"/>
      <c r="O26" s="2709"/>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0"/>
      <c r="M27" s="2711"/>
      <c r="N27" s="2711"/>
      <c r="O27" s="2711"/>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5"/>
      <c r="M28" s="2709"/>
      <c r="N28" s="2709"/>
      <c r="O28" s="2709"/>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5"/>
      <c r="M29" s="2709"/>
      <c r="N29" s="2709"/>
      <c r="O29" s="2709"/>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5"/>
      <c r="M30" s="2709"/>
      <c r="N30" s="2709"/>
      <c r="O30" s="2709"/>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5"/>
      <c r="M31" s="2709"/>
      <c r="N31" s="2709"/>
      <c r="O31" s="2709"/>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1693</v>
      </c>
      <c r="B32" s="63" t="s">
        <v>1694</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5"/>
      <c r="M32" s="2709"/>
      <c r="N32" s="2709"/>
      <c r="O32" s="2709"/>
      <c r="P32" s="3701" t="s">
        <v>1695</v>
      </c>
      <c r="Q32" s="1352" t="str">
        <f t="shared" si="11"/>
        <v>建筑类型</v>
      </c>
      <c r="R32" s="705" t="s">
        <v>18</v>
      </c>
      <c r="S32" s="706">
        <f t="shared" si="12"/>
        <v>100</v>
      </c>
      <c r="T32" s="705" t="s">
        <v>18</v>
      </c>
      <c r="U32" s="706">
        <f t="shared" si="13"/>
        <v>100</v>
      </c>
      <c r="V32" s="705" t="s">
        <v>18</v>
      </c>
      <c r="W32" s="706">
        <f t="shared" si="14"/>
        <v>100</v>
      </c>
      <c r="X32" s="1355"/>
      <c r="Y32" s="3704"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4"/>
      <c r="M33" s="2716"/>
      <c r="N33" s="2716"/>
      <c r="O33" s="2716"/>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1697</v>
      </c>
      <c r="C34" s="1911" t="s">
        <v>3406</v>
      </c>
      <c r="D34" s="386">
        <v>100</v>
      </c>
      <c r="E34" s="1911" t="s">
        <v>3406</v>
      </c>
      <c r="F34" s="412">
        <f>SUMIF(105:105,E34,106:106)-SUMIF(105:105,C34,106:106)+100</f>
        <v>100</v>
      </c>
      <c r="G34" s="1911" t="s">
        <v>3406</v>
      </c>
      <c r="H34" s="386">
        <f>SUMIF(105:105,G34,106:106)-SUMIF(105:105,C34,106:106)+100</f>
        <v>100</v>
      </c>
      <c r="I34" s="1911" t="s">
        <v>3406</v>
      </c>
      <c r="J34" s="386">
        <f>SUMIF(105:105,I34,106:106)-SUMIF(105:105,C34,106:106)+100</f>
        <v>100</v>
      </c>
      <c r="K34" s="377">
        <v>2</v>
      </c>
      <c r="L34" s="2715"/>
      <c r="M34" s="2709"/>
      <c r="N34" s="2709"/>
      <c r="O34" s="2709"/>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5"/>
      <c r="M35" s="2709"/>
      <c r="N35" s="2709"/>
      <c r="O35" s="2709"/>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1699</v>
      </c>
      <c r="C36" s="1906" t="s">
        <v>3409</v>
      </c>
      <c r="D36" s="386">
        <v>100</v>
      </c>
      <c r="E36" s="1906" t="s">
        <v>3409</v>
      </c>
      <c r="F36" s="412">
        <f>SUMIF(109:109,E36,110:110)-SUMIF(109:109,C36,110:110)+100</f>
        <v>100</v>
      </c>
      <c r="G36" s="1906" t="s">
        <v>3409</v>
      </c>
      <c r="H36" s="386">
        <f>SUMIF(109:109,G36,110:110)-SUMIF(109:109,C36,110:110)+100</f>
        <v>100</v>
      </c>
      <c r="I36" s="1906" t="s">
        <v>3409</v>
      </c>
      <c r="J36" s="386">
        <f>SUMIF(109:109,I36,110:110)-SUMIF(109:109,C36,110:110)+100</f>
        <v>100</v>
      </c>
      <c r="K36" s="377">
        <v>2</v>
      </c>
      <c r="L36" s="2715"/>
      <c r="M36" s="2709"/>
      <c r="N36" s="2709"/>
      <c r="O36" s="2709"/>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0"/>
      <c r="M37" s="2711"/>
      <c r="N37" s="2711"/>
      <c r="O37" s="2711"/>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1701</v>
      </c>
      <c r="C38" s="1906" t="s">
        <v>3410</v>
      </c>
      <c r="D38" s="386">
        <v>100</v>
      </c>
      <c r="E38" s="1906" t="s">
        <v>3410</v>
      </c>
      <c r="F38" s="412">
        <f>SUMIF(114:114,E38,115:115)-SUMIF(114:114,C38,115:115)+100</f>
        <v>100</v>
      </c>
      <c r="G38" s="1906" t="s">
        <v>3410</v>
      </c>
      <c r="H38" s="386">
        <f>SUMIF(114:114,G38,115:115)-SUMIF(114:114,C38,115:115)+100</f>
        <v>100</v>
      </c>
      <c r="I38" s="1906" t="s">
        <v>3410</v>
      </c>
      <c r="J38" s="386">
        <f>SUMIF(114:114,I38,115:115)-SUMIF(114:114,C38,115:115)+100</f>
        <v>100</v>
      </c>
      <c r="K38" s="377">
        <v>2</v>
      </c>
      <c r="L38" s="2715"/>
      <c r="M38" s="2709"/>
      <c r="N38" s="2709"/>
      <c r="O38" s="2709"/>
      <c r="P38" s="3702" t="s">
        <v>1695</v>
      </c>
      <c r="Q38" s="1352" t="str">
        <f t="shared" si="11"/>
        <v>物业管理</v>
      </c>
      <c r="R38" s="705" t="s">
        <v>18</v>
      </c>
      <c r="S38" s="706">
        <f t="shared" si="12"/>
        <v>100</v>
      </c>
      <c r="T38" s="705" t="s">
        <v>18</v>
      </c>
      <c r="U38" s="706">
        <f t="shared" si="13"/>
        <v>100</v>
      </c>
      <c r="V38" s="705" t="s">
        <v>18</v>
      </c>
      <c r="W38" s="706">
        <f t="shared" si="14"/>
        <v>100</v>
      </c>
      <c r="X38" s="1355"/>
      <c r="Y38" s="3704" t="s">
        <v>1695</v>
      </c>
      <c r="Z38" s="1356" t="str">
        <f t="shared" si="18"/>
        <v>物业管理</v>
      </c>
      <c r="AA38" s="1353">
        <f t="shared" si="15"/>
        <v>1</v>
      </c>
      <c r="AB38" s="1353">
        <f t="shared" si="16"/>
        <v>1</v>
      </c>
      <c r="AC38" s="1353">
        <f t="shared" si="17"/>
        <v>1</v>
      </c>
    </row>
    <row r="39" spans="1:29" ht="15">
      <c r="A39" s="423"/>
      <c r="B39" s="375" t="s">
        <v>1702</v>
      </c>
      <c r="C39" s="1906" t="s">
        <v>3394</v>
      </c>
      <c r="D39" s="386">
        <v>100</v>
      </c>
      <c r="E39" s="1906" t="s">
        <v>3394</v>
      </c>
      <c r="F39" s="412">
        <f>SUMIF(116:116,E39,117:117)-SUMIF(116:116,C39,117:117)+100</f>
        <v>100</v>
      </c>
      <c r="G39" s="1906" t="s">
        <v>3394</v>
      </c>
      <c r="H39" s="386">
        <f>SUMIF(116:116,G39,117:117)-SUMIF(116:116,C39,117:117)+100</f>
        <v>100</v>
      </c>
      <c r="I39" s="1906" t="s">
        <v>3394</v>
      </c>
      <c r="J39" s="386">
        <f>SUMIF(116:116,I39,117:117)-SUMIF(116:116,C39,117:117)+100</f>
        <v>100</v>
      </c>
      <c r="K39" s="377">
        <v>1</v>
      </c>
      <c r="L39" s="2715"/>
      <c r="M39" s="2709"/>
      <c r="N39" s="2709"/>
      <c r="O39" s="2709"/>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1703</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5"/>
      <c r="M40" s="2709"/>
      <c r="N40" s="2709"/>
      <c r="O40" s="2709"/>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4"/>
      <c r="M41" s="2716"/>
      <c r="N41" s="2716"/>
      <c r="O41" s="2716"/>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5"/>
      <c r="M42" s="2709"/>
      <c r="N42" s="2709"/>
      <c r="O42" s="2709"/>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1706</v>
      </c>
      <c r="C43" s="1906" t="s">
        <v>3390</v>
      </c>
      <c r="D43" s="386">
        <v>100</v>
      </c>
      <c r="E43" s="1906" t="s">
        <v>3390</v>
      </c>
      <c r="F43" s="412">
        <f>SUMIF(124:124,E43,125:125)-SUMIF(124:124,C43,125:125)+100</f>
        <v>100</v>
      </c>
      <c r="G43" s="1906" t="s">
        <v>3390</v>
      </c>
      <c r="H43" s="386">
        <f>SUMIF(124:124,G43,125:125)-SUMIF(124:124,C43,125:125)+100</f>
        <v>100</v>
      </c>
      <c r="I43" s="1906" t="s">
        <v>3390</v>
      </c>
      <c r="J43" s="386">
        <f>SUMIF(124:124,I43,125:125)-SUMIF(124:124,C43,125:125)+100</f>
        <v>100</v>
      </c>
      <c r="K43" s="377">
        <v>2</v>
      </c>
      <c r="L43" s="2715"/>
      <c r="M43" s="2709"/>
      <c r="N43" s="2709"/>
      <c r="O43" s="2709"/>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0"/>
      <c r="M44" s="2711"/>
      <c r="N44" s="2711"/>
      <c r="O44" s="2711"/>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5"/>
      <c r="M45" s="2709"/>
      <c r="N45" s="2709"/>
      <c r="O45" s="2709"/>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5"/>
      <c r="M46" s="2709"/>
      <c r="N46" s="2709"/>
      <c r="O46" s="2709"/>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2"/>
      <c r="L47" s="2717"/>
      <c r="M47" s="2718"/>
      <c r="N47" s="2709"/>
      <c r="O47" s="2718"/>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1708</v>
      </c>
      <c r="B48" s="438"/>
      <c r="C48" s="1160" t="e">
        <f>R49</f>
        <v>#DIV/0!</v>
      </c>
      <c r="D48" s="2315" t="s">
        <v>2137</v>
      </c>
      <c r="E48" s="1161" t="e">
        <f>R48</f>
        <v>#DIV/0!</v>
      </c>
      <c r="F48" s="2316"/>
      <c r="G48" s="1160" t="e">
        <f>T48</f>
        <v>#DIV/0!</v>
      </c>
      <c r="H48" s="2316"/>
      <c r="I48" s="1161" t="e">
        <f>V48</f>
        <v>#DIV/0!</v>
      </c>
      <c r="J48" s="2316"/>
      <c r="K48" s="2317">
        <f>F48+H48+J48</f>
        <v>0</v>
      </c>
      <c r="L48" s="2717"/>
      <c r="M48" s="2718"/>
      <c r="N48" s="2718"/>
      <c r="O48" s="2718"/>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3"/>
      <c r="L49" s="2717"/>
      <c r="M49" s="2718"/>
      <c r="N49" s="2718"/>
      <c r="O49" s="2718"/>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4" t="s">
        <v>1713</v>
      </c>
      <c r="B57" s="690"/>
      <c r="C57" s="695"/>
      <c r="D57" s="695"/>
      <c r="E57" s="695"/>
      <c r="F57" s="696"/>
      <c r="G57" s="696"/>
      <c r="H57" s="695"/>
      <c r="I57" s="695"/>
      <c r="J57" s="695"/>
      <c r="K57" s="941"/>
      <c r="L57" s="942"/>
      <c r="M57" s="940"/>
      <c r="N57" s="940"/>
      <c r="O57" s="940"/>
      <c r="P57" s="1916"/>
      <c r="Q57" s="453"/>
    </row>
    <row r="58" spans="1:29" s="457" customFormat="1" ht="15">
      <c r="A58" s="454" t="s">
        <v>1714</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1715</v>
      </c>
      <c r="B60" s="465"/>
      <c r="C60" s="466"/>
      <c r="D60" s="467"/>
      <c r="E60" s="467"/>
      <c r="F60" s="467"/>
      <c r="G60" s="467"/>
      <c r="H60" s="467"/>
      <c r="I60" s="467"/>
      <c r="J60" s="467"/>
      <c r="K60" s="467"/>
      <c r="L60" s="467"/>
      <c r="M60" s="468"/>
      <c r="N60" s="467"/>
      <c r="O60" s="468"/>
      <c r="P60" s="1918"/>
      <c r="Q60" s="453"/>
    </row>
    <row r="61" spans="1:29" s="108" customFormat="1" ht="15">
      <c r="A61" s="470" t="s">
        <v>1716</v>
      </c>
      <c r="B61" s="459"/>
      <c r="C61" s="471" t="s">
        <v>1717</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1718</v>
      </c>
      <c r="B63" s="477" t="s">
        <v>1684</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1687</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1733</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1734</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1693</v>
      </c>
      <c r="B100" s="477" t="s">
        <v>1735</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1737</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1738</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1739</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1740</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1741</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1742</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1743</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7">
        <v>6</v>
      </c>
      <c r="C139" s="868">
        <v>96</v>
      </c>
      <c r="D139" s="1938" t="s">
        <v>1754</v>
      </c>
      <c r="E139" s="869">
        <v>100</v>
      </c>
      <c r="F139" s="870">
        <v>102.5</v>
      </c>
      <c r="G139" s="1938" t="s">
        <v>1754</v>
      </c>
      <c r="H139" s="871">
        <v>105</v>
      </c>
      <c r="I139" s="1939" t="s">
        <v>1755</v>
      </c>
      <c r="J139" s="868">
        <v>20</v>
      </c>
      <c r="K139" s="872">
        <f>C145/(J139-2)</f>
        <v>4.0555555555555553E-3</v>
      </c>
    </row>
    <row r="140" spans="1:17" ht="15">
      <c r="B140" s="873">
        <v>5</v>
      </c>
      <c r="C140" s="874">
        <v>100</v>
      </c>
      <c r="D140" s="874"/>
      <c r="E140" s="875"/>
      <c r="F140" s="876">
        <v>102</v>
      </c>
      <c r="G140" s="874"/>
      <c r="H140" s="877"/>
      <c r="I140" s="1940" t="s">
        <v>1756</v>
      </c>
      <c r="J140" s="271">
        <f>ROUNDUP((J139-1)/2,0)</f>
        <v>10</v>
      </c>
      <c r="K140" s="878">
        <v>100</v>
      </c>
    </row>
    <row r="141" spans="1:17" ht="15">
      <c r="B141" s="873">
        <v>4</v>
      </c>
      <c r="C141" s="874">
        <v>102</v>
      </c>
      <c r="D141" s="874"/>
      <c r="E141" s="875"/>
      <c r="F141" s="876">
        <v>101.5</v>
      </c>
      <c r="G141" s="874"/>
      <c r="H141" s="877"/>
      <c r="I141" s="1940" t="s">
        <v>1757</v>
      </c>
      <c r="J141" s="271">
        <v>1</v>
      </c>
      <c r="K141" s="879">
        <f>ROUND(100+(J141-J140)*K139*100,1)</f>
        <v>96.4</v>
      </c>
    </row>
    <row r="142" spans="1:17" ht="15">
      <c r="B142" s="873">
        <v>3</v>
      </c>
      <c r="C142" s="874">
        <v>103</v>
      </c>
      <c r="D142" s="874"/>
      <c r="E142" s="875"/>
      <c r="F142" s="876">
        <v>101</v>
      </c>
      <c r="G142" s="874"/>
      <c r="H142" s="877"/>
      <c r="I142" s="1940" t="s">
        <v>1758</v>
      </c>
      <c r="J142" s="271">
        <f>J139</f>
        <v>20</v>
      </c>
      <c r="K142" s="880">
        <v>95</v>
      </c>
    </row>
    <row r="143" spans="1:17" ht="15">
      <c r="B143" s="873">
        <v>2</v>
      </c>
      <c r="C143" s="874">
        <v>100</v>
      </c>
      <c r="D143" s="874"/>
      <c r="E143" s="875"/>
      <c r="F143" s="876">
        <v>100.5</v>
      </c>
      <c r="G143" s="874"/>
      <c r="H143" s="877"/>
      <c r="I143" s="1940" t="s">
        <v>1759</v>
      </c>
      <c r="J143" s="874">
        <v>15</v>
      </c>
      <c r="K143" s="879">
        <f>ROUND(100+(J143-J140)*K139*100,1)</f>
        <v>102</v>
      </c>
    </row>
    <row r="144" spans="1:17" ht="15">
      <c r="B144" s="873">
        <v>1</v>
      </c>
      <c r="C144" s="874">
        <v>98</v>
      </c>
      <c r="D144" s="1941" t="s">
        <v>1760</v>
      </c>
      <c r="E144" s="875">
        <v>102</v>
      </c>
      <c r="F144" s="881">
        <v>100</v>
      </c>
      <c r="G144" s="1941" t="s">
        <v>1760</v>
      </c>
      <c r="H144" s="877">
        <v>105</v>
      </c>
      <c r="I144" s="1940" t="s">
        <v>1759</v>
      </c>
      <c r="J144" s="874">
        <v>18</v>
      </c>
      <c r="K144" s="879">
        <f>ROUND(100+(J144-J140)*K139*100,1)</f>
        <v>103.2</v>
      </c>
    </row>
    <row r="145" spans="2:11" ht="15.75" thickBot="1">
      <c r="B145" s="1942" t="s">
        <v>1761</v>
      </c>
      <c r="C145" s="882">
        <f>ROUND(MAX(C139:C144)/MIN(C139:C144)-1,3)</f>
        <v>7.2999999999999995E-2</v>
      </c>
      <c r="D145" s="883"/>
      <c r="E145" s="883"/>
      <c r="F145" s="1943" t="s">
        <v>1762</v>
      </c>
      <c r="G145" s="1944"/>
      <c r="H145" s="1945"/>
      <c r="I145" s="1946" t="s">
        <v>1759</v>
      </c>
      <c r="J145" s="884">
        <v>8</v>
      </c>
      <c r="K145" s="885">
        <f>ROUND(100+(J145-J140)*K139*100,1)</f>
        <v>99.2</v>
      </c>
    </row>
    <row r="147" spans="2:11">
      <c r="B147" s="1927" t="s">
        <v>1763</v>
      </c>
    </row>
    <row r="148" spans="2:11">
      <c r="B148" s="1927"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60" zoomScaleNormal="70" workbookViewId="0">
      <selection activeCell="K44" sqref="K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19"/>
      <c r="F1" s="1879"/>
      <c r="G1" s="1235" t="s">
        <v>1766</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7"/>
      <c r="M2" s="2728"/>
      <c r="N2" s="2728"/>
      <c r="O2" s="2728"/>
      <c r="P2" s="1950"/>
      <c r="Q2" s="912"/>
      <c r="R2" s="912"/>
      <c r="S2" s="912"/>
      <c r="T2" s="912"/>
      <c r="U2" s="912"/>
      <c r="V2" s="912"/>
      <c r="W2" s="912"/>
      <c r="X2" s="912"/>
      <c r="Y2" s="912"/>
      <c r="Z2" s="912"/>
      <c r="AA2" s="912"/>
      <c r="AB2" s="912"/>
      <c r="AC2" s="1951"/>
    </row>
    <row r="3" spans="1:29" s="352" customFormat="1" ht="28.5" customHeight="1" thickBot="1">
      <c r="A3" s="203" t="s">
        <v>1463</v>
      </c>
      <c r="B3" s="558">
        <f>IF(C2="——",C49,ROUND(B2*10000/D3,0))</f>
        <v>0</v>
      </c>
      <c r="C3" s="354" t="s">
        <v>1767</v>
      </c>
      <c r="D3" s="353">
        <f>IF(D1="",'数据-汇总表'!E3,SUMIF('数据-汇总表'!$C19:$C33,D1,'数据-汇总表'!$E19:$E33))</f>
        <v>27202.300000000003</v>
      </c>
      <c r="E3" s="1952"/>
      <c r="F3" s="909"/>
      <c r="G3" s="908"/>
      <c r="H3" s="908"/>
      <c r="I3" s="908"/>
      <c r="J3" s="908"/>
      <c r="K3" s="910"/>
      <c r="L3" s="2727"/>
      <c r="M3" s="2728"/>
      <c r="N3" s="2728"/>
      <c r="O3" s="2728"/>
      <c r="P3" s="1950"/>
      <c r="Q3" s="912"/>
      <c r="R3" s="912"/>
      <c r="S3" s="912"/>
      <c r="T3" s="912"/>
      <c r="U3" s="912"/>
      <c r="V3" s="912"/>
      <c r="W3" s="912"/>
      <c r="X3" s="912"/>
      <c r="Y3" s="912"/>
      <c r="Z3" s="912"/>
      <c r="AA3" s="912"/>
      <c r="AB3" s="912"/>
      <c r="AC3" s="1952"/>
    </row>
    <row r="4" spans="1:29" ht="15">
      <c r="A4" s="355" t="s">
        <v>1768</v>
      </c>
      <c r="B4" s="356"/>
      <c r="C4" s="3680" t="s">
        <v>1769</v>
      </c>
      <c r="D4" s="3681"/>
      <c r="E4" s="3682" t="s">
        <v>1770</v>
      </c>
      <c r="F4" s="3683"/>
      <c r="G4" s="3680" t="s">
        <v>1771</v>
      </c>
      <c r="H4" s="3681"/>
      <c r="I4" s="3680" t="s">
        <v>1772</v>
      </c>
      <c r="J4" s="3681"/>
      <c r="K4" s="559" t="s">
        <v>1773</v>
      </c>
      <c r="L4" s="2708"/>
      <c r="M4" s="2709"/>
      <c r="N4" s="2709"/>
      <c r="O4" s="2709"/>
      <c r="P4" s="3684" t="s">
        <v>1774</v>
      </c>
      <c r="Q4" s="3685"/>
      <c r="R4" s="3667" t="s">
        <v>1770</v>
      </c>
      <c r="S4" s="3668"/>
      <c r="T4" s="3667" t="s">
        <v>1771</v>
      </c>
      <c r="U4" s="3668"/>
      <c r="V4" s="3692" t="s">
        <v>1772</v>
      </c>
      <c r="W4" s="3692"/>
      <c r="X4" s="1355"/>
      <c r="Y4" s="3667" t="s">
        <v>1774</v>
      </c>
      <c r="Z4" s="3668"/>
      <c r="AA4" s="3662" t="s">
        <v>1770</v>
      </c>
      <c r="AB4" s="3692" t="s">
        <v>1771</v>
      </c>
      <c r="AC4" s="3662" t="s">
        <v>1772</v>
      </c>
    </row>
    <row r="5" spans="1:29" ht="15">
      <c r="A5" s="358"/>
      <c r="B5" s="359"/>
      <c r="C5" s="3673" t="s">
        <v>1672</v>
      </c>
      <c r="D5" s="3674"/>
      <c r="E5" s="3671" t="s">
        <v>1673</v>
      </c>
      <c r="F5" s="3672"/>
      <c r="G5" s="3673" t="s">
        <v>1674</v>
      </c>
      <c r="H5" s="3674"/>
      <c r="I5" s="3673" t="s">
        <v>1675</v>
      </c>
      <c r="J5" s="3674"/>
      <c r="K5" s="559"/>
      <c r="L5" s="2708"/>
      <c r="M5" s="2709"/>
      <c r="N5" s="2709"/>
      <c r="O5" s="2709"/>
      <c r="P5" s="3686"/>
      <c r="Q5" s="3687"/>
      <c r="R5" s="3669"/>
      <c r="S5" s="3670"/>
      <c r="T5" s="3669"/>
      <c r="U5" s="3670"/>
      <c r="V5" s="3692"/>
      <c r="W5" s="3692"/>
      <c r="X5" s="1355"/>
      <c r="Y5" s="3669"/>
      <c r="Z5" s="3670"/>
      <c r="AA5" s="3663"/>
      <c r="AB5" s="3692"/>
      <c r="AC5" s="3663"/>
    </row>
    <row r="6" spans="1:29" ht="15.75" thickBot="1">
      <c r="A6" s="360"/>
      <c r="B6" s="361"/>
      <c r="C6" s="3675" t="s">
        <v>1676</v>
      </c>
      <c r="D6" s="3676"/>
      <c r="E6" s="3677" t="s">
        <v>1676</v>
      </c>
      <c r="F6" s="3678"/>
      <c r="G6" s="3675" t="s">
        <v>1676</v>
      </c>
      <c r="H6" s="3676"/>
      <c r="I6" s="3675" t="s">
        <v>1676</v>
      </c>
      <c r="J6" s="3676"/>
      <c r="K6" s="559" t="s">
        <v>1677</v>
      </c>
      <c r="L6" s="2708"/>
      <c r="M6" s="2709"/>
      <c r="N6" s="2709"/>
      <c r="O6" s="2709"/>
      <c r="P6" s="3688"/>
      <c r="Q6" s="3689"/>
      <c r="R6" s="3669"/>
      <c r="S6" s="3670"/>
      <c r="T6" s="3690"/>
      <c r="U6" s="3691"/>
      <c r="V6" s="3692"/>
      <c r="W6" s="3692"/>
      <c r="X6" s="1355"/>
      <c r="Y6" s="3690"/>
      <c r="Z6" s="3691"/>
      <c r="AA6" s="3664"/>
      <c r="AB6" s="3692"/>
      <c r="AC6" s="3664"/>
    </row>
    <row r="7" spans="1:29" s="108" customFormat="1" ht="15.75" thickBot="1">
      <c r="A7" s="362" t="s">
        <v>1678</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10"/>
      <c r="M7" s="2711"/>
      <c r="N7" s="2711"/>
      <c r="O7" s="2711"/>
      <c r="P7" s="3665" t="s">
        <v>1679</v>
      </c>
      <c r="Q7" s="3693"/>
      <c r="R7" s="701" t="s">
        <v>14</v>
      </c>
      <c r="S7" s="702">
        <f t="shared" ref="S7:S15" si="0">F7</f>
        <v>0</v>
      </c>
      <c r="T7" s="701" t="s">
        <v>14</v>
      </c>
      <c r="U7" s="702">
        <f t="shared" ref="U7:U15" si="1">H7</f>
        <v>0</v>
      </c>
      <c r="V7" s="701" t="s">
        <v>14</v>
      </c>
      <c r="W7" s="702">
        <f t="shared" ref="W7:W15" si="2">J7</f>
        <v>0</v>
      </c>
      <c r="X7" s="703"/>
      <c r="Y7" s="3665" t="s">
        <v>1679</v>
      </c>
      <c r="Z7" s="3666"/>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665" t="s">
        <v>1682</v>
      </c>
      <c r="Q8" s="3666"/>
      <c r="R8" s="701" t="s">
        <v>14</v>
      </c>
      <c r="S8" s="702">
        <f t="shared" si="0"/>
        <v>100</v>
      </c>
      <c r="T8" s="701" t="s">
        <v>14</v>
      </c>
      <c r="U8" s="702">
        <f t="shared" si="1"/>
        <v>100</v>
      </c>
      <c r="V8" s="701" t="s">
        <v>14</v>
      </c>
      <c r="W8" s="702">
        <f t="shared" si="2"/>
        <v>100</v>
      </c>
      <c r="X8" s="703"/>
      <c r="Y8" s="3665" t="s">
        <v>1682</v>
      </c>
      <c r="Z8" s="3666"/>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679" t="s">
        <v>1685</v>
      </c>
      <c r="Q9" s="1343" t="str">
        <f t="shared" ref="Q9:Q15" si="6">B9</f>
        <v>用途</v>
      </c>
      <c r="R9" s="701" t="s">
        <v>14</v>
      </c>
      <c r="S9" s="702">
        <f t="shared" si="0"/>
        <v>100</v>
      </c>
      <c r="T9" s="701" t="s">
        <v>14</v>
      </c>
      <c r="U9" s="702">
        <f t="shared" si="1"/>
        <v>100</v>
      </c>
      <c r="V9" s="701" t="s">
        <v>14</v>
      </c>
      <c r="W9" s="702">
        <f t="shared" si="2"/>
        <v>100</v>
      </c>
      <c r="X9" s="703"/>
      <c r="Y9" s="3609" t="s">
        <v>1686</v>
      </c>
      <c r="Z9" s="52" t="str">
        <f t="shared" ref="Z9:Z15" si="7">Q9</f>
        <v>用途</v>
      </c>
      <c r="AA9" s="704">
        <f t="shared" si="3"/>
        <v>1</v>
      </c>
      <c r="AB9" s="704">
        <f t="shared" si="4"/>
        <v>1</v>
      </c>
      <c r="AC9" s="704">
        <f t="shared" si="5"/>
        <v>1</v>
      </c>
    </row>
    <row r="10" spans="1:29" s="378" customFormat="1" ht="27">
      <c r="A10" s="374"/>
      <c r="B10" s="375" t="s">
        <v>1687</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15">
      <c r="A15" s="391" t="s">
        <v>1689</v>
      </c>
      <c r="B15" s="61" t="s">
        <v>1776</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06" t="s">
        <v>1690</v>
      </c>
      <c r="Q15" s="1352" t="str">
        <f t="shared" si="6"/>
        <v>商业繁华度</v>
      </c>
      <c r="R15" s="705" t="s">
        <v>14</v>
      </c>
      <c r="S15" s="706">
        <f t="shared" si="0"/>
        <v>100</v>
      </c>
      <c r="T15" s="705" t="s">
        <v>14</v>
      </c>
      <c r="U15" s="706">
        <f t="shared" si="1"/>
        <v>100</v>
      </c>
      <c r="V15" s="705" t="s">
        <v>14</v>
      </c>
      <c r="W15" s="706">
        <f t="shared" si="2"/>
        <v>100</v>
      </c>
      <c r="X15" s="1355"/>
      <c r="Y15" s="3699"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5"/>
      <c r="M16" s="2709"/>
      <c r="N16" s="2709"/>
      <c r="O16" s="2709"/>
      <c r="P16" s="3707"/>
      <c r="Q16" s="1352"/>
      <c r="R16" s="705"/>
      <c r="S16" s="706"/>
      <c r="T16" s="705"/>
      <c r="U16" s="706"/>
      <c r="V16" s="705"/>
      <c r="W16" s="706"/>
      <c r="X16" s="1355"/>
      <c r="Y16" s="3700"/>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5"/>
      <c r="M18" s="2709"/>
      <c r="N18" s="2709"/>
      <c r="O18" s="2709"/>
      <c r="P18" s="3707"/>
      <c r="Q18" s="1352"/>
      <c r="R18" s="705"/>
      <c r="S18" s="706"/>
      <c r="T18" s="705"/>
      <c r="U18" s="706"/>
      <c r="V18" s="705"/>
      <c r="W18" s="706"/>
      <c r="X18" s="1355"/>
      <c r="Y18" s="3700"/>
      <c r="Z18" s="1356"/>
      <c r="AA18" s="1353">
        <v>1</v>
      </c>
      <c r="AB18" s="1353">
        <v>1</v>
      </c>
      <c r="AC18" s="1353">
        <v>1</v>
      </c>
    </row>
    <row r="19" spans="1:29" ht="15">
      <c r="A19" s="379"/>
      <c r="B19" s="402" t="s">
        <v>1777</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5"/>
      <c r="M20" s="2709"/>
      <c r="N20" s="2709"/>
      <c r="O20" s="2709"/>
      <c r="P20" s="3707"/>
      <c r="Q20" s="1352"/>
      <c r="R20" s="705"/>
      <c r="S20" s="706"/>
      <c r="T20" s="705"/>
      <c r="U20" s="706"/>
      <c r="V20" s="705"/>
      <c r="W20" s="706"/>
      <c r="X20" s="1355"/>
      <c r="Y20" s="3700"/>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5"/>
      <c r="M22" s="2709"/>
      <c r="N22" s="2709"/>
      <c r="O22" s="2709"/>
      <c r="P22" s="3707"/>
      <c r="Q22" s="1352"/>
      <c r="R22" s="705"/>
      <c r="S22" s="706"/>
      <c r="T22" s="705"/>
      <c r="U22" s="706"/>
      <c r="V22" s="705"/>
      <c r="W22" s="706"/>
      <c r="X22" s="1355"/>
      <c r="Y22" s="3700"/>
      <c r="Z22" s="1356"/>
      <c r="AA22" s="1353">
        <v>1</v>
      </c>
      <c r="AB22" s="1353">
        <v>1</v>
      </c>
      <c r="AC22" s="1353">
        <v>1</v>
      </c>
    </row>
    <row r="23" spans="1:29" ht="15">
      <c r="A23" s="379"/>
      <c r="B23" s="402" t="s">
        <v>1260</v>
      </c>
      <c r="C23" s="1953"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5"/>
      <c r="M24" s="2709"/>
      <c r="N24" s="2709"/>
      <c r="O24" s="2709"/>
      <c r="P24" s="3707"/>
      <c r="Q24" s="1352"/>
      <c r="R24" s="705"/>
      <c r="S24" s="706"/>
      <c r="T24" s="705"/>
      <c r="U24" s="706"/>
      <c r="V24" s="705"/>
      <c r="W24" s="706"/>
      <c r="X24" s="1355"/>
      <c r="Y24" s="3700"/>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1781</v>
      </c>
      <c r="C27" s="1954"/>
      <c r="D27" s="413">
        <v>100</v>
      </c>
      <c r="E27" s="1954"/>
      <c r="F27" s="415">
        <f>SUMIF(90:90,E27,91:91)-SUMIF(90:90,C27,91:91)+100</f>
        <v>100</v>
      </c>
      <c r="G27" s="1954"/>
      <c r="H27" s="413">
        <f>SUMIF(90:90,G27,91:91)-SUMIF(90:90,C27,91:91)+100</f>
        <v>100</v>
      </c>
      <c r="I27" s="1954"/>
      <c r="J27" s="413">
        <f>SUMIF(90:90,I27,91:91)-SUMIF(90:90,C27,91:91)+100</f>
        <v>100</v>
      </c>
      <c r="K27" s="561"/>
      <c r="L27" s="2710"/>
      <c r="M27" s="2711"/>
      <c r="N27" s="2711"/>
      <c r="O27" s="2711"/>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5"/>
      <c r="M32" s="2709"/>
      <c r="N32" s="2709"/>
      <c r="O32" s="2709"/>
      <c r="P32" s="3701" t="s">
        <v>1695</v>
      </c>
      <c r="Q32" s="1352" t="str">
        <f t="shared" si="11"/>
        <v>商业类型</v>
      </c>
      <c r="R32" s="705" t="s">
        <v>14</v>
      </c>
      <c r="S32" s="706">
        <f t="shared" si="12"/>
        <v>100</v>
      </c>
      <c r="T32" s="705" t="s">
        <v>14</v>
      </c>
      <c r="U32" s="706">
        <f t="shared" si="13"/>
        <v>100</v>
      </c>
      <c r="V32" s="705" t="s">
        <v>14</v>
      </c>
      <c r="W32" s="706">
        <f t="shared" si="14"/>
        <v>100</v>
      </c>
      <c r="X32" s="1355"/>
      <c r="Y32" s="3704"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5"/>
      <c r="M34" s="2709"/>
      <c r="N34" s="2709"/>
      <c r="O34" s="2709"/>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5"/>
      <c r="M35" s="2709"/>
      <c r="N35" s="2709"/>
      <c r="O35" s="2709"/>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0"/>
      <c r="M37" s="2711"/>
      <c r="N37" s="2711"/>
      <c r="O37" s="2711"/>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5"/>
      <c r="M38" s="2709"/>
      <c r="N38" s="2709"/>
      <c r="O38" s="2709"/>
      <c r="P38" s="3702" t="s">
        <v>1695</v>
      </c>
      <c r="Q38" s="1352" t="str">
        <f t="shared" si="11"/>
        <v>业态</v>
      </c>
      <c r="R38" s="705" t="s">
        <v>14</v>
      </c>
      <c r="S38" s="706">
        <f t="shared" si="12"/>
        <v>100</v>
      </c>
      <c r="T38" s="705" t="s">
        <v>14</v>
      </c>
      <c r="U38" s="706">
        <f t="shared" si="13"/>
        <v>100</v>
      </c>
      <c r="V38" s="705" t="s">
        <v>14</v>
      </c>
      <c r="W38" s="706">
        <f t="shared" si="14"/>
        <v>100</v>
      </c>
      <c r="X38" s="1355"/>
      <c r="Y38" s="3704"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5"/>
      <c r="M39" s="2709"/>
      <c r="N39" s="2709"/>
      <c r="O39" s="2709"/>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5"/>
      <c r="M42" s="2709"/>
      <c r="N42" s="2709"/>
      <c r="O42" s="2709"/>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5"/>
      <c r="M43" s="2709"/>
      <c r="N43" s="2709"/>
      <c r="O43" s="2709"/>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17"/>
      <c r="M47" s="2718"/>
      <c r="N47" s="2709"/>
      <c r="O47" s="2718"/>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1792</v>
      </c>
      <c r="B48" s="438"/>
      <c r="C48" s="1160" t="e">
        <f>R49</f>
        <v>#DIV/0!</v>
      </c>
      <c r="D48" s="2315" t="s">
        <v>2137</v>
      </c>
      <c r="E48" s="1161" t="e">
        <f>R48</f>
        <v>#DIV/0!</v>
      </c>
      <c r="F48" s="2316"/>
      <c r="G48" s="1160" t="e">
        <f>T48</f>
        <v>#DIV/0!</v>
      </c>
      <c r="H48" s="2316"/>
      <c r="I48" s="1161" t="e">
        <f>V48</f>
        <v>#DIV/0!</v>
      </c>
      <c r="J48" s="2316"/>
      <c r="K48" s="2318">
        <f>F48+H48+J48</f>
        <v>0</v>
      </c>
      <c r="L48" s="2717"/>
      <c r="M48" s="2718"/>
      <c r="N48" s="2709"/>
      <c r="O48" s="2718"/>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17"/>
      <c r="M49" s="2718"/>
      <c r="N49" s="2709"/>
      <c r="O49" s="2718"/>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1797</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1678</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1715</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1680</v>
      </c>
      <c r="B61" s="459"/>
      <c r="C61" s="471" t="s">
        <v>1775</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1718</v>
      </c>
      <c r="B63" s="477" t="s">
        <v>1684</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1687</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1689</v>
      </c>
      <c r="B76" s="477" t="s">
        <v>1719</v>
      </c>
      <c r="C76" s="522" t="s">
        <v>1720</v>
      </c>
      <c r="D76" s="522" t="s">
        <v>1721</v>
      </c>
      <c r="E76" s="522" t="s">
        <v>1722</v>
      </c>
      <c r="F76" s="522" t="s">
        <v>1723</v>
      </c>
      <c r="G76" s="522" t="s">
        <v>1724</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1725</v>
      </c>
      <c r="C78" s="527" t="s">
        <v>1720</v>
      </c>
      <c r="D78" s="527" t="s">
        <v>1721</v>
      </c>
      <c r="E78" s="527" t="s">
        <v>1722</v>
      </c>
      <c r="F78" s="527" t="s">
        <v>1723</v>
      </c>
      <c r="G78" s="527" t="s">
        <v>1724</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1726</v>
      </c>
      <c r="C80" s="527" t="s">
        <v>1720</v>
      </c>
      <c r="D80" s="527" t="s">
        <v>1721</v>
      </c>
      <c r="E80" s="527" t="s">
        <v>1722</v>
      </c>
      <c r="F80" s="527" t="s">
        <v>1723</v>
      </c>
      <c r="G80" s="527" t="s">
        <v>1724</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1778</v>
      </c>
      <c r="C82" s="608" t="s">
        <v>1798</v>
      </c>
      <c r="D82" s="608" t="s">
        <v>1799</v>
      </c>
      <c r="E82" s="608" t="s">
        <v>1800</v>
      </c>
      <c r="F82" s="608" t="s">
        <v>1801</v>
      </c>
      <c r="G82" s="608" t="s">
        <v>1802</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1732</v>
      </c>
      <c r="C84" s="527" t="s">
        <v>1720</v>
      </c>
      <c r="D84" s="527" t="s">
        <v>1721</v>
      </c>
      <c r="E84" s="527" t="s">
        <v>1722</v>
      </c>
      <c r="F84" s="527" t="s">
        <v>1723</v>
      </c>
      <c r="G84" s="527" t="s">
        <v>1724</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1803</v>
      </c>
      <c r="C86" s="503"/>
      <c r="D86" s="503"/>
      <c r="E86" s="503"/>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5"/>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1693</v>
      </c>
      <c r="B100" s="477" t="s">
        <v>1804</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1737</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1739</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1741</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1805</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1806</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1807</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1808</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1743</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受贵公司委托，我公司对北京市朝阳区郎家园6号10幢等17幢房地产市场价值进行了预评估。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估价对象为北京市朝阳区郎家园6号10幢等17幢房地产，为所有。根据《国有土地使用证》[]，估价对象（分摊）出让国有建设用地使用权面积为18455.76平方米，建筑面积为27202.3平方米。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郎家园6号10幢等17幢房地产,属开发建设的工业项目，该项目尚在开发建设中。根据《国有土地使用证》[]，估价对象（分摊）出让国有建设用地使用权面积为18455.76平方米，规划建筑面积为27202.3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郎家园6号10幢等17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K44" sqref="K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5" t="s">
        <v>1809</v>
      </c>
      <c r="C1" s="1224" t="s">
        <v>1661</v>
      </c>
      <c r="D1" s="1225"/>
      <c r="E1" s="3426"/>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27202.300000000003</v>
      </c>
      <c r="E3" s="1952"/>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1768</v>
      </c>
      <c r="B4" s="356"/>
      <c r="C4" s="3680" t="s">
        <v>1769</v>
      </c>
      <c r="D4" s="3681"/>
      <c r="E4" s="3682" t="s">
        <v>1770</v>
      </c>
      <c r="F4" s="3683"/>
      <c r="G4" s="3680" t="s">
        <v>1771</v>
      </c>
      <c r="H4" s="3681"/>
      <c r="I4" s="3680" t="s">
        <v>1772</v>
      </c>
      <c r="J4" s="3681"/>
      <c r="K4" s="559" t="s">
        <v>1773</v>
      </c>
      <c r="L4" s="2708"/>
      <c r="M4" s="2709"/>
      <c r="N4" s="2709"/>
      <c r="O4" s="2709"/>
      <c r="P4" s="3714" t="s">
        <v>1774</v>
      </c>
      <c r="Q4" s="3715"/>
      <c r="R4" s="3709" t="s">
        <v>1770</v>
      </c>
      <c r="S4" s="3710"/>
      <c r="T4" s="3709" t="s">
        <v>1771</v>
      </c>
      <c r="U4" s="3710"/>
      <c r="V4" s="3718" t="s">
        <v>1772</v>
      </c>
      <c r="W4" s="3718"/>
      <c r="X4" s="1956"/>
      <c r="Y4" s="3709" t="s">
        <v>1774</v>
      </c>
      <c r="Z4" s="3710"/>
      <c r="AA4" s="3708" t="s">
        <v>1770</v>
      </c>
      <c r="AB4" s="3708" t="s">
        <v>1771</v>
      </c>
      <c r="AC4" s="3711" t="s">
        <v>1772</v>
      </c>
    </row>
    <row r="5" spans="1:29" ht="15">
      <c r="A5" s="358"/>
      <c r="B5" s="359"/>
      <c r="C5" s="3673" t="s">
        <v>1672</v>
      </c>
      <c r="D5" s="3674"/>
      <c r="E5" s="3671" t="s">
        <v>1673</v>
      </c>
      <c r="F5" s="3672"/>
      <c r="G5" s="3673" t="s">
        <v>1674</v>
      </c>
      <c r="H5" s="3674"/>
      <c r="I5" s="3673" t="s">
        <v>1675</v>
      </c>
      <c r="J5" s="3674"/>
      <c r="K5" s="559"/>
      <c r="L5" s="2708"/>
      <c r="M5" s="2709"/>
      <c r="N5" s="2709"/>
      <c r="O5" s="2709"/>
      <c r="P5" s="3716"/>
      <c r="Q5" s="3687"/>
      <c r="R5" s="3669"/>
      <c r="S5" s="3670"/>
      <c r="T5" s="3669"/>
      <c r="U5" s="3670"/>
      <c r="V5" s="3692"/>
      <c r="W5" s="3692"/>
      <c r="X5" s="1355"/>
      <c r="Y5" s="3669"/>
      <c r="Z5" s="3670"/>
      <c r="AA5" s="3663"/>
      <c r="AB5" s="3663"/>
      <c r="AC5" s="3712"/>
    </row>
    <row r="6" spans="1:29" ht="15.75" thickBot="1">
      <c r="A6" s="360"/>
      <c r="B6" s="361"/>
      <c r="C6" s="3675" t="s">
        <v>1676</v>
      </c>
      <c r="D6" s="3676"/>
      <c r="E6" s="3677" t="s">
        <v>1676</v>
      </c>
      <c r="F6" s="3678"/>
      <c r="G6" s="3675" t="s">
        <v>1676</v>
      </c>
      <c r="H6" s="3676"/>
      <c r="I6" s="3675" t="s">
        <v>1676</v>
      </c>
      <c r="J6" s="3676"/>
      <c r="K6" s="559" t="s">
        <v>1677</v>
      </c>
      <c r="L6" s="2708"/>
      <c r="M6" s="2709"/>
      <c r="N6" s="2709"/>
      <c r="O6" s="2709"/>
      <c r="P6" s="3717"/>
      <c r="Q6" s="3689"/>
      <c r="R6" s="3669"/>
      <c r="S6" s="3670"/>
      <c r="T6" s="3690"/>
      <c r="U6" s="3691"/>
      <c r="V6" s="3692"/>
      <c r="W6" s="3692"/>
      <c r="X6" s="1355"/>
      <c r="Y6" s="3690"/>
      <c r="Z6" s="3691"/>
      <c r="AA6" s="3664"/>
      <c r="AB6" s="3664"/>
      <c r="AC6" s="3713"/>
    </row>
    <row r="7" spans="1:29" s="108" customFormat="1" ht="15.75" thickBot="1">
      <c r="A7" s="362" t="s">
        <v>1678</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10"/>
      <c r="M7" s="2711"/>
      <c r="N7" s="2711"/>
      <c r="O7" s="2711"/>
      <c r="P7" s="3719" t="s">
        <v>1679</v>
      </c>
      <c r="Q7" s="3693"/>
      <c r="R7" s="701" t="s">
        <v>14</v>
      </c>
      <c r="S7" s="702">
        <f t="shared" ref="S7:S15" si="0">F7</f>
        <v>0</v>
      </c>
      <c r="T7" s="701" t="s">
        <v>14</v>
      </c>
      <c r="U7" s="702">
        <f t="shared" ref="U7:U15" si="1">H7</f>
        <v>0</v>
      </c>
      <c r="V7" s="701" t="s">
        <v>14</v>
      </c>
      <c r="W7" s="702">
        <f t="shared" ref="W7:W15" si="2">J7</f>
        <v>0</v>
      </c>
      <c r="X7" s="703"/>
      <c r="Y7" s="3665" t="s">
        <v>1679</v>
      </c>
      <c r="Z7" s="3666"/>
      <c r="AA7" s="704" t="e">
        <f>D7/F7</f>
        <v>#DIV/0!</v>
      </c>
      <c r="AB7" s="704" t="e">
        <f>D7/H7</f>
        <v>#DIV/0!</v>
      </c>
      <c r="AC7" s="1957"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0"/>
      <c r="M8" s="2711"/>
      <c r="N8" s="2711"/>
      <c r="O8" s="2711"/>
      <c r="P8" s="3719" t="s">
        <v>1682</v>
      </c>
      <c r="Q8" s="3666"/>
      <c r="R8" s="701" t="s">
        <v>14</v>
      </c>
      <c r="S8" s="702">
        <f t="shared" si="0"/>
        <v>100</v>
      </c>
      <c r="T8" s="701" t="s">
        <v>14</v>
      </c>
      <c r="U8" s="702">
        <f t="shared" si="1"/>
        <v>100</v>
      </c>
      <c r="V8" s="701" t="s">
        <v>14</v>
      </c>
      <c r="W8" s="702">
        <f t="shared" si="2"/>
        <v>100</v>
      </c>
      <c r="X8" s="703"/>
      <c r="Y8" s="3665" t="s">
        <v>1682</v>
      </c>
      <c r="Z8" s="3666"/>
      <c r="AA8" s="704">
        <f t="shared" ref="AA8:AA47" si="3">D8/F8</f>
        <v>1</v>
      </c>
      <c r="AB8" s="704">
        <f t="shared" ref="AB8:AB47" si="4">D8/H8</f>
        <v>1</v>
      </c>
      <c r="AC8" s="1957">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0"/>
      <c r="M9" s="2711"/>
      <c r="N9" s="2711"/>
      <c r="O9" s="2711"/>
      <c r="P9" s="3679" t="s">
        <v>1685</v>
      </c>
      <c r="Q9" s="1343" t="str">
        <f t="shared" ref="Q9:Q15" si="6">B9</f>
        <v>用途</v>
      </c>
      <c r="R9" s="701" t="s">
        <v>14</v>
      </c>
      <c r="S9" s="702">
        <f t="shared" si="0"/>
        <v>100</v>
      </c>
      <c r="T9" s="701" t="s">
        <v>14</v>
      </c>
      <c r="U9" s="702">
        <f t="shared" si="1"/>
        <v>100</v>
      </c>
      <c r="V9" s="701" t="s">
        <v>14</v>
      </c>
      <c r="W9" s="702">
        <f t="shared" si="2"/>
        <v>100</v>
      </c>
      <c r="X9" s="703"/>
      <c r="Y9" s="3609" t="s">
        <v>1686</v>
      </c>
      <c r="Z9" s="52" t="str">
        <f t="shared" ref="Z9:Z15" si="7">Q9</f>
        <v>用途</v>
      </c>
      <c r="AA9" s="704">
        <f t="shared" si="3"/>
        <v>1</v>
      </c>
      <c r="AB9" s="704">
        <f t="shared" si="4"/>
        <v>1</v>
      </c>
      <c r="AC9" s="1957">
        <f t="shared" si="5"/>
        <v>1</v>
      </c>
    </row>
    <row r="10" spans="1:29" s="378" customFormat="1" ht="27">
      <c r="A10" s="374"/>
      <c r="B10" s="375" t="s">
        <v>1687</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7">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7">
        <f t="shared" si="5"/>
        <v>1</v>
      </c>
    </row>
    <row r="15" spans="1:29" ht="15">
      <c r="A15" s="391" t="s">
        <v>1689</v>
      </c>
      <c r="B15" s="577" t="s">
        <v>1810</v>
      </c>
      <c r="C15" s="1959"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5"/>
      <c r="M15" s="2709"/>
      <c r="N15" s="2709"/>
      <c r="O15" s="2709"/>
      <c r="P15" s="3706" t="s">
        <v>1690</v>
      </c>
      <c r="Q15" s="1352" t="str">
        <f t="shared" si="6"/>
        <v>办公集聚程度</v>
      </c>
      <c r="R15" s="705" t="s">
        <v>14</v>
      </c>
      <c r="S15" s="706">
        <f t="shared" si="0"/>
        <v>100</v>
      </c>
      <c r="T15" s="705" t="s">
        <v>14</v>
      </c>
      <c r="U15" s="706">
        <f t="shared" si="1"/>
        <v>100</v>
      </c>
      <c r="V15" s="705" t="s">
        <v>14</v>
      </c>
      <c r="W15" s="706">
        <f t="shared" si="2"/>
        <v>100</v>
      </c>
      <c r="X15" s="1355"/>
      <c r="Y15" s="3699" t="s">
        <v>1690</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5"/>
      <c r="M16" s="2709"/>
      <c r="N16" s="2709"/>
      <c r="O16" s="2709"/>
      <c r="P16" s="3707"/>
      <c r="Q16" s="1352"/>
      <c r="R16" s="705"/>
      <c r="S16" s="706"/>
      <c r="T16" s="705"/>
      <c r="U16" s="706"/>
      <c r="V16" s="705"/>
      <c r="W16" s="706"/>
      <c r="X16" s="1355"/>
      <c r="Y16" s="3700"/>
      <c r="Z16" s="1356"/>
      <c r="AA16" s="1353">
        <v>1</v>
      </c>
      <c r="AB16" s="1353">
        <v>1</v>
      </c>
      <c r="AC16" s="1960">
        <v>1</v>
      </c>
    </row>
    <row r="17" spans="1:29" ht="15">
      <c r="A17" s="379"/>
      <c r="B17" s="579" t="s">
        <v>1258</v>
      </c>
      <c r="C17" s="1961"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5"/>
      <c r="M17" s="2709"/>
      <c r="N17" s="2709"/>
      <c r="O17" s="2709"/>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5"/>
      <c r="M18" s="2709"/>
      <c r="N18" s="2709"/>
      <c r="O18" s="2709"/>
      <c r="P18" s="3707"/>
      <c r="Q18" s="1352"/>
      <c r="R18" s="705"/>
      <c r="S18" s="706"/>
      <c r="T18" s="705"/>
      <c r="U18" s="706"/>
      <c r="V18" s="705"/>
      <c r="W18" s="706"/>
      <c r="X18" s="1355"/>
      <c r="Y18" s="3700"/>
      <c r="Z18" s="1356"/>
      <c r="AA18" s="1353">
        <v>1</v>
      </c>
      <c r="AB18" s="1353">
        <v>1</v>
      </c>
      <c r="AC18" s="1960">
        <v>1</v>
      </c>
    </row>
    <row r="19" spans="1:29" ht="15">
      <c r="A19" s="379"/>
      <c r="B19" s="579" t="s">
        <v>1811</v>
      </c>
      <c r="C19" s="1961"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5"/>
      <c r="M19" s="2709"/>
      <c r="N19" s="2709"/>
      <c r="O19" s="2709"/>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5"/>
      <c r="M20" s="2709"/>
      <c r="N20" s="2709"/>
      <c r="O20" s="2709"/>
      <c r="P20" s="3707"/>
      <c r="Q20" s="1352"/>
      <c r="R20" s="705"/>
      <c r="S20" s="706"/>
      <c r="T20" s="705"/>
      <c r="U20" s="706"/>
      <c r="V20" s="705"/>
      <c r="W20" s="706"/>
      <c r="X20" s="1355"/>
      <c r="Y20" s="3700"/>
      <c r="Z20" s="1356"/>
      <c r="AA20" s="1353">
        <v>1</v>
      </c>
      <c r="AB20" s="1353">
        <v>1</v>
      </c>
      <c r="AC20" s="1960">
        <v>1</v>
      </c>
    </row>
    <row r="21" spans="1:29" ht="15">
      <c r="A21" s="379"/>
      <c r="B21" s="581" t="s">
        <v>1812</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5"/>
      <c r="M21" s="2709"/>
      <c r="N21" s="2709"/>
      <c r="O21" s="2709"/>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5"/>
      <c r="M22" s="2709"/>
      <c r="N22" s="2709"/>
      <c r="O22" s="2709"/>
      <c r="P22" s="3707"/>
      <c r="Q22" s="1352"/>
      <c r="R22" s="705"/>
      <c r="S22" s="706"/>
      <c r="T22" s="705"/>
      <c r="U22" s="706"/>
      <c r="V22" s="705"/>
      <c r="W22" s="706"/>
      <c r="X22" s="1355"/>
      <c r="Y22" s="3700"/>
      <c r="Z22" s="1356"/>
      <c r="AA22" s="1353">
        <v>1</v>
      </c>
      <c r="AB22" s="1353">
        <v>1</v>
      </c>
      <c r="AC22" s="1960">
        <v>1</v>
      </c>
    </row>
    <row r="23" spans="1:29" ht="15">
      <c r="A23" s="379"/>
      <c r="B23" s="579" t="s">
        <v>1813</v>
      </c>
      <c r="C23" s="1961"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5"/>
      <c r="M23" s="2709"/>
      <c r="N23" s="2709"/>
      <c r="O23" s="2709"/>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5"/>
      <c r="M24" s="2709"/>
      <c r="N24" s="2709"/>
      <c r="O24" s="2709"/>
      <c r="P24" s="3707"/>
      <c r="Q24" s="1352"/>
      <c r="R24" s="705"/>
      <c r="S24" s="706"/>
      <c r="T24" s="705"/>
      <c r="U24" s="706"/>
      <c r="V24" s="705"/>
      <c r="W24" s="706"/>
      <c r="X24" s="1355"/>
      <c r="Y24" s="3700"/>
      <c r="Z24" s="1356"/>
      <c r="AA24" s="1353">
        <v>1</v>
      </c>
      <c r="AB24" s="1353">
        <v>1</v>
      </c>
      <c r="AC24" s="1960">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5"/>
      <c r="M26" s="2709"/>
      <c r="N26" s="2709"/>
      <c r="O26" s="2709"/>
      <c r="P26" s="3707"/>
      <c r="Q26" s="1352"/>
      <c r="R26" s="705"/>
      <c r="S26" s="706"/>
      <c r="T26" s="705"/>
      <c r="U26" s="706"/>
      <c r="V26" s="705"/>
      <c r="W26" s="706"/>
      <c r="X26" s="1355"/>
      <c r="Y26" s="3700"/>
      <c r="Z26" s="1356"/>
      <c r="AA26" s="1353">
        <v>1</v>
      </c>
      <c r="AB26" s="1353">
        <v>1</v>
      </c>
      <c r="AC26" s="1960">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5"/>
      <c r="M27" s="2709"/>
      <c r="N27" s="2709"/>
      <c r="O27" s="2709"/>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0">
        <f t="shared" si="5"/>
        <v>1</v>
      </c>
    </row>
    <row r="28" spans="1:29" s="108" customFormat="1" ht="15">
      <c r="A28" s="382"/>
      <c r="B28" s="579" t="s">
        <v>1815</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0">
        <f t="shared" si="5"/>
        <v>1</v>
      </c>
    </row>
    <row r="33" spans="1:29" ht="15">
      <c r="A33" s="391" t="s">
        <v>1693</v>
      </c>
      <c r="B33" s="63" t="s">
        <v>1816</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5"/>
      <c r="M33" s="2709"/>
      <c r="N33" s="2709"/>
      <c r="O33" s="2709"/>
      <c r="P33" s="3701" t="s">
        <v>1695</v>
      </c>
      <c r="Q33" s="1352" t="str">
        <f t="shared" si="11"/>
        <v>建筑类型</v>
      </c>
      <c r="R33" s="705" t="s">
        <v>14</v>
      </c>
      <c r="S33" s="706">
        <f t="shared" si="12"/>
        <v>100</v>
      </c>
      <c r="T33" s="705" t="s">
        <v>14</v>
      </c>
      <c r="U33" s="706">
        <f t="shared" si="13"/>
        <v>100</v>
      </c>
      <c r="V33" s="705" t="s">
        <v>14</v>
      </c>
      <c r="W33" s="706">
        <f t="shared" si="14"/>
        <v>100</v>
      </c>
      <c r="X33" s="1355"/>
      <c r="Y33" s="3704" t="s">
        <v>1695</v>
      </c>
      <c r="Z33" s="1356" t="str">
        <f t="shared" si="15"/>
        <v>建筑类型</v>
      </c>
      <c r="AA33" s="1353">
        <f t="shared" si="3"/>
        <v>1</v>
      </c>
      <c r="AB33" s="1353">
        <f t="shared" si="4"/>
        <v>1</v>
      </c>
      <c r="AC33" s="1960">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4"/>
      <c r="M34" s="2716"/>
      <c r="N34" s="2716"/>
      <c r="O34" s="2716"/>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0"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5"/>
      <c r="M35" s="2709"/>
      <c r="N35" s="2709"/>
      <c r="O35" s="2709"/>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0">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5"/>
      <c r="M36" s="2709"/>
      <c r="N36" s="2709"/>
      <c r="O36" s="2709"/>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0">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5"/>
      <c r="M37" s="2709"/>
      <c r="N37" s="2709"/>
      <c r="O37" s="2709"/>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0"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7">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5"/>
      <c r="M39" s="2709"/>
      <c r="N39" s="2709"/>
      <c r="O39" s="2709"/>
      <c r="P39" s="3702" t="s">
        <v>1695</v>
      </c>
      <c r="Q39" s="1352" t="str">
        <f t="shared" si="11"/>
        <v>物业管理</v>
      </c>
      <c r="R39" s="705" t="s">
        <v>14</v>
      </c>
      <c r="S39" s="706">
        <f t="shared" si="12"/>
        <v>100</v>
      </c>
      <c r="T39" s="705" t="s">
        <v>14</v>
      </c>
      <c r="U39" s="706">
        <f t="shared" si="13"/>
        <v>100</v>
      </c>
      <c r="V39" s="705" t="s">
        <v>14</v>
      </c>
      <c r="W39" s="706">
        <f t="shared" si="14"/>
        <v>100</v>
      </c>
      <c r="X39" s="1355"/>
      <c r="Y39" s="3704" t="s">
        <v>1695</v>
      </c>
      <c r="Z39" s="1356" t="str">
        <f t="shared" si="15"/>
        <v>物业管理</v>
      </c>
      <c r="AA39" s="1353">
        <f t="shared" si="3"/>
        <v>1</v>
      </c>
      <c r="AB39" s="1353">
        <f t="shared" si="4"/>
        <v>1</v>
      </c>
      <c r="AC39" s="1960">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5"/>
      <c r="M40" s="2709"/>
      <c r="N40" s="2709"/>
      <c r="O40" s="2709"/>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0">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0">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0">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5"/>
      <c r="M43" s="2709"/>
      <c r="N43" s="2709"/>
      <c r="O43" s="2709"/>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0">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5"/>
      <c r="M44" s="2709"/>
      <c r="N44" s="2709"/>
      <c r="O44" s="2709"/>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0">
        <f t="shared" si="5"/>
        <v>1</v>
      </c>
    </row>
    <row r="48" spans="1:29" ht="15">
      <c r="A48" s="430" t="s">
        <v>1707</v>
      </c>
      <c r="B48" s="431"/>
      <c r="C48" s="1154" t="s">
        <v>0</v>
      </c>
      <c r="D48" s="1155"/>
      <c r="E48" s="1156"/>
      <c r="F48" s="1157"/>
      <c r="G48" s="1158"/>
      <c r="H48" s="1159"/>
      <c r="I48" s="1156"/>
      <c r="J48" s="436"/>
      <c r="K48" s="714"/>
      <c r="L48" s="2717"/>
      <c r="M48" s="2709"/>
      <c r="N48" s="2709"/>
      <c r="O48" s="2709"/>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1792</v>
      </c>
      <c r="B49" s="438"/>
      <c r="C49" s="1160" t="e">
        <f>R50</f>
        <v>#DIV/0!</v>
      </c>
      <c r="D49" s="2315" t="s">
        <v>2137</v>
      </c>
      <c r="E49" s="1161" t="e">
        <f>R49</f>
        <v>#DIV/0!</v>
      </c>
      <c r="F49" s="2316"/>
      <c r="G49" s="1160" t="e">
        <f>T49</f>
        <v>#DIV/0!</v>
      </c>
      <c r="H49" s="2316"/>
      <c r="I49" s="1161" t="e">
        <f>V49</f>
        <v>#DIV/0!</v>
      </c>
      <c r="J49" s="2316"/>
      <c r="K49" s="2318">
        <f>F49+H49+J49</f>
        <v>0</v>
      </c>
      <c r="L49" s="2717"/>
      <c r="M49" s="2709"/>
      <c r="N49" s="2709"/>
      <c r="O49" s="2709"/>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7"/>
      <c r="M50" s="2709"/>
      <c r="N50" s="2709"/>
      <c r="O50" s="2709"/>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1797</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1678</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1715</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1680</v>
      </c>
      <c r="B62" s="459"/>
      <c r="C62" s="471" t="s">
        <v>1775</v>
      </c>
      <c r="D62" s="472"/>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1718</v>
      </c>
      <c r="B64" s="477" t="s">
        <v>1684</v>
      </c>
      <c r="C64" s="478">
        <f>C9</f>
        <v>0</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1687</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1689</v>
      </c>
      <c r="B77" s="477" t="s">
        <v>1820</v>
      </c>
      <c r="C77" s="522" t="s">
        <v>1720</v>
      </c>
      <c r="D77" s="522" t="s">
        <v>1721</v>
      </c>
      <c r="E77" s="522" t="s">
        <v>1722</v>
      </c>
      <c r="F77" s="522" t="s">
        <v>1723</v>
      </c>
      <c r="G77" s="522" t="s">
        <v>1724</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1725</v>
      </c>
      <c r="C79" s="527" t="s">
        <v>1720</v>
      </c>
      <c r="D79" s="527" t="s">
        <v>1721</v>
      </c>
      <c r="E79" s="527" t="s">
        <v>1722</v>
      </c>
      <c r="F79" s="527" t="s">
        <v>1723</v>
      </c>
      <c r="G79" s="527" t="s">
        <v>1724</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1726</v>
      </c>
      <c r="C81" s="527" t="s">
        <v>1720</v>
      </c>
      <c r="D81" s="527" t="s">
        <v>1721</v>
      </c>
      <c r="E81" s="527" t="s">
        <v>1722</v>
      </c>
      <c r="F81" s="527" t="s">
        <v>1723</v>
      </c>
      <c r="G81" s="527" t="s">
        <v>1724</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1812</v>
      </c>
      <c r="C83" s="608" t="s">
        <v>1798</v>
      </c>
      <c r="D83" s="608" t="s">
        <v>1799</v>
      </c>
      <c r="E83" s="608" t="s">
        <v>1800</v>
      </c>
      <c r="F83" s="608" t="s">
        <v>1801</v>
      </c>
      <c r="G83" s="608" t="s">
        <v>1802</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1821</v>
      </c>
      <c r="C85" s="527" t="s">
        <v>1720</v>
      </c>
      <c r="D85" s="527" t="s">
        <v>1721</v>
      </c>
      <c r="E85" s="527" t="s">
        <v>1722</v>
      </c>
      <c r="F85" s="527" t="s">
        <v>1723</v>
      </c>
      <c r="G85" s="527" t="s">
        <v>1724</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1822</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503"/>
      <c r="D89" s="503"/>
      <c r="E89" s="503"/>
      <c r="F89" s="1925"/>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1693</v>
      </c>
      <c r="B101" s="477" t="s">
        <v>1735</v>
      </c>
      <c r="C101" s="479"/>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c r="D104" s="544"/>
      <c r="E104" s="544"/>
      <c r="F104" s="544"/>
      <c r="G104" s="544"/>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c r="D105" s="485"/>
      <c r="E105" s="485"/>
      <c r="F105" s="485"/>
      <c r="G105" s="485"/>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1737</v>
      </c>
      <c r="C106" s="503"/>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1739</v>
      </c>
      <c r="C108" s="503"/>
      <c r="D108" s="503"/>
      <c r="E108" s="503"/>
      <c r="F108" s="532"/>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1823</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1740</v>
      </c>
      <c r="C115" s="503"/>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1741</v>
      </c>
      <c r="C117" s="503"/>
      <c r="D117" s="503"/>
      <c r="E117" s="503"/>
      <c r="F117" s="503"/>
      <c r="G117" s="503"/>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1824</v>
      </c>
      <c r="C119" s="532"/>
      <c r="D119" s="532"/>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1807</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1743</v>
      </c>
      <c r="C123" s="503"/>
      <c r="D123" s="503"/>
      <c r="E123" s="503"/>
      <c r="F123" s="532"/>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5" t="s">
        <v>1825</v>
      </c>
      <c r="C1" s="1224" t="s">
        <v>1661</v>
      </c>
      <c r="D1" s="1225"/>
      <c r="E1" s="3426"/>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27202.300000000003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913"/>
      <c r="M4" s="914"/>
      <c r="N4" s="914"/>
      <c r="O4" s="914"/>
      <c r="P4" s="3684" t="s">
        <v>1774</v>
      </c>
      <c r="Q4" s="3685"/>
      <c r="R4" s="3667" t="s">
        <v>1770</v>
      </c>
      <c r="S4" s="3668"/>
      <c r="T4" s="3667" t="s">
        <v>1771</v>
      </c>
      <c r="U4" s="3668"/>
      <c r="V4" s="3692" t="s">
        <v>1772</v>
      </c>
      <c r="W4" s="3692"/>
      <c r="X4" s="1355"/>
      <c r="Y4" s="3667" t="s">
        <v>1774</v>
      </c>
      <c r="Z4" s="3668"/>
      <c r="AA4" s="3662" t="s">
        <v>1770</v>
      </c>
      <c r="AB4" s="3663" t="s">
        <v>1771</v>
      </c>
      <c r="AC4" s="3662" t="s">
        <v>1772</v>
      </c>
    </row>
    <row r="5" spans="1:29" ht="15">
      <c r="A5" s="358"/>
      <c r="B5" s="359"/>
      <c r="C5" s="3673" t="s">
        <v>1672</v>
      </c>
      <c r="D5" s="3674"/>
      <c r="E5" s="3671" t="s">
        <v>1673</v>
      </c>
      <c r="F5" s="3672"/>
      <c r="G5" s="3673" t="s">
        <v>1674</v>
      </c>
      <c r="H5" s="3674"/>
      <c r="I5" s="3673" t="s">
        <v>1675</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1676</v>
      </c>
      <c r="D6" s="3676"/>
      <c r="E6" s="3677" t="s">
        <v>1676</v>
      </c>
      <c r="F6" s="3678"/>
      <c r="G6" s="3675" t="s">
        <v>1676</v>
      </c>
      <c r="H6" s="3676"/>
      <c r="I6" s="3675" t="s">
        <v>1676</v>
      </c>
      <c r="J6" s="3676"/>
      <c r="K6" s="559" t="s">
        <v>1677</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1678</v>
      </c>
      <c r="B7" s="363"/>
      <c r="C7" s="364">
        <f>'数据-取费表'!B2</f>
        <v>45160</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1679</v>
      </c>
      <c r="Q7" s="3693"/>
      <c r="R7" s="701" t="s">
        <v>14</v>
      </c>
      <c r="S7" s="702">
        <f t="shared" ref="S7:S15" si="0">F7</f>
        <v>0</v>
      </c>
      <c r="T7" s="701" t="s">
        <v>14</v>
      </c>
      <c r="U7" s="702">
        <f t="shared" ref="U7:U15" si="1">H7</f>
        <v>0</v>
      </c>
      <c r="V7" s="701" t="s">
        <v>14</v>
      </c>
      <c r="W7" s="702">
        <f t="shared" ref="W7:W15" si="2">J7</f>
        <v>0</v>
      </c>
      <c r="X7" s="703"/>
      <c r="Y7" s="3665" t="s">
        <v>1679</v>
      </c>
      <c r="Z7" s="3666"/>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1682</v>
      </c>
      <c r="Q8" s="3666"/>
      <c r="R8" s="701" t="s">
        <v>14</v>
      </c>
      <c r="S8" s="702">
        <f t="shared" si="0"/>
        <v>100</v>
      </c>
      <c r="T8" s="701" t="s">
        <v>14</v>
      </c>
      <c r="U8" s="702">
        <f t="shared" si="1"/>
        <v>100</v>
      </c>
      <c r="V8" s="701" t="s">
        <v>14</v>
      </c>
      <c r="W8" s="702">
        <f t="shared" si="2"/>
        <v>100</v>
      </c>
      <c r="X8" s="703"/>
      <c r="Y8" s="3665" t="s">
        <v>1682</v>
      </c>
      <c r="Z8" s="3666"/>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1685</v>
      </c>
      <c r="Q9" s="1343" t="str">
        <f t="shared" ref="Q9:Q15" si="6">B9</f>
        <v>用途</v>
      </c>
      <c r="R9" s="701" t="s">
        <v>14</v>
      </c>
      <c r="S9" s="702">
        <f t="shared" si="0"/>
        <v>100</v>
      </c>
      <c r="T9" s="701" t="s">
        <v>14</v>
      </c>
      <c r="U9" s="702">
        <f t="shared" si="1"/>
        <v>100</v>
      </c>
      <c r="V9" s="701" t="s">
        <v>14</v>
      </c>
      <c r="W9" s="702">
        <f t="shared" si="2"/>
        <v>100</v>
      </c>
      <c r="X9" s="703"/>
      <c r="Y9" s="3609" t="s">
        <v>1686</v>
      </c>
      <c r="Z9" s="52" t="str">
        <f t="shared" ref="Z9:Z15" si="7">Q9</f>
        <v>用途</v>
      </c>
      <c r="AA9" s="704">
        <f t="shared" si="3"/>
        <v>1</v>
      </c>
      <c r="AB9" s="704">
        <f t="shared" si="4"/>
        <v>1</v>
      </c>
      <c r="AC9" s="704">
        <f t="shared" si="5"/>
        <v>1</v>
      </c>
    </row>
    <row r="10" spans="1:29" s="378" customFormat="1" ht="27">
      <c r="A10" s="374"/>
      <c r="B10" s="375" t="s">
        <v>1687</v>
      </c>
      <c r="C10" s="3427"/>
      <c r="D10" s="127">
        <v>100</v>
      </c>
      <c r="E10" s="3427"/>
      <c r="F10" s="127">
        <f>SUMIF(59:59,E10,60:60)-SUMIF(59:59,C10,60:60)+100</f>
        <v>100</v>
      </c>
      <c r="G10" s="3428"/>
      <c r="H10" s="127">
        <f>SUMIF(59:59,G10,60:60)-SUMIF(59:59,C10,60:60)+100</f>
        <v>100</v>
      </c>
      <c r="I10" s="3427"/>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15">
      <c r="A15" s="391" t="s">
        <v>1689</v>
      </c>
      <c r="B15" s="61" t="s">
        <v>1826</v>
      </c>
      <c r="C15" s="1969"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1690</v>
      </c>
      <c r="Q15" s="1352" t="str">
        <f t="shared" si="6"/>
        <v>产业集聚程度</v>
      </c>
      <c r="R15" s="705" t="s">
        <v>14</v>
      </c>
      <c r="S15" s="706">
        <f t="shared" si="0"/>
        <v>100</v>
      </c>
      <c r="T15" s="705" t="s">
        <v>14</v>
      </c>
      <c r="U15" s="706">
        <f t="shared" si="1"/>
        <v>100</v>
      </c>
      <c r="V15" s="705" t="s">
        <v>14</v>
      </c>
      <c r="W15" s="706">
        <f t="shared" si="2"/>
        <v>100</v>
      </c>
      <c r="X15" s="1355"/>
      <c r="Y15" s="3699"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15">
      <c r="A17" s="379"/>
      <c r="B17" s="402" t="s">
        <v>1258</v>
      </c>
      <c r="C17" s="1900"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15">
      <c r="A19" s="379"/>
      <c r="B19" s="402" t="s">
        <v>1811</v>
      </c>
      <c r="C19" s="1900"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15">
      <c r="A21" s="379"/>
      <c r="B21" s="1131" t="s">
        <v>1812</v>
      </c>
      <c r="C21" s="1900"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15">
      <c r="A23" s="379"/>
      <c r="B23" s="402" t="s">
        <v>1813</v>
      </c>
      <c r="C23" s="1900"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1693</v>
      </c>
      <c r="B29" s="63" t="s">
        <v>1816</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23" t="s">
        <v>1695</v>
      </c>
      <c r="Q29" s="1352" t="str">
        <f t="shared" si="11"/>
        <v>建筑类型</v>
      </c>
      <c r="R29" s="705" t="s">
        <v>14</v>
      </c>
      <c r="S29" s="706">
        <f t="shared" si="12"/>
        <v>100</v>
      </c>
      <c r="T29" s="705" t="s">
        <v>14</v>
      </c>
      <c r="U29" s="706">
        <f t="shared" si="13"/>
        <v>100</v>
      </c>
      <c r="V29" s="705" t="s">
        <v>14</v>
      </c>
      <c r="W29" s="706">
        <f t="shared" si="14"/>
        <v>100</v>
      </c>
      <c r="X29" s="1355"/>
      <c r="Y29" s="3704"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1695</v>
      </c>
      <c r="Q35" s="1352" t="str">
        <f t="shared" si="11"/>
        <v>市政基础设施</v>
      </c>
      <c r="R35" s="705" t="s">
        <v>14</v>
      </c>
      <c r="S35" s="706">
        <f t="shared" si="12"/>
        <v>100</v>
      </c>
      <c r="T35" s="705" t="s">
        <v>14</v>
      </c>
      <c r="U35" s="706">
        <f t="shared" si="13"/>
        <v>100</v>
      </c>
      <c r="V35" s="705" t="s">
        <v>14</v>
      </c>
      <c r="W35" s="706">
        <f t="shared" si="14"/>
        <v>100</v>
      </c>
      <c r="X35" s="1355"/>
      <c r="Y35" s="3704"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1792</v>
      </c>
      <c r="B42" s="438"/>
      <c r="C42" s="1160" t="e">
        <f>R43</f>
        <v>#DIV/0!</v>
      </c>
      <c r="D42" s="2315" t="s">
        <v>2137</v>
      </c>
      <c r="E42" s="1161" t="e">
        <f>R42</f>
        <v>#DIV/0!</v>
      </c>
      <c r="F42" s="2316"/>
      <c r="G42" s="1160" t="e">
        <f>T42</f>
        <v>#DIV/0!</v>
      </c>
      <c r="H42" s="2316"/>
      <c r="I42" s="1161" t="e">
        <f>V42</f>
        <v>#DIV/0!</v>
      </c>
      <c r="J42" s="2316"/>
      <c r="K42" s="2318">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9"/>
      <c r="M46" s="927"/>
      <c r="N46" s="927"/>
      <c r="O46" s="927"/>
    </row>
    <row r="47" spans="1:29" ht="13.5" customHeight="1">
      <c r="A47" s="2718"/>
      <c r="B47" s="2718"/>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9"/>
      <c r="M47" s="927"/>
      <c r="N47" s="927"/>
      <c r="O47" s="927"/>
    </row>
    <row r="48" spans="1:29" s="451" customFormat="1" ht="13.5" customHeight="1">
      <c r="A48" s="2721"/>
      <c r="B48" s="2721"/>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3"/>
      <c r="O54" s="2764"/>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3328</v>
      </c>
      <c r="C1" s="1224" t="s">
        <v>1661</v>
      </c>
      <c r="D1" s="1225"/>
      <c r="E1" s="3426"/>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2708"/>
      <c r="M4" s="2709"/>
      <c r="N4" s="2709"/>
      <c r="O4" s="2709"/>
      <c r="P4" s="3684" t="s">
        <v>1774</v>
      </c>
      <c r="Q4" s="3685"/>
      <c r="R4" s="3667" t="s">
        <v>1770</v>
      </c>
      <c r="S4" s="3668"/>
      <c r="T4" s="3667" t="s">
        <v>1771</v>
      </c>
      <c r="U4" s="3668"/>
      <c r="V4" s="3692" t="s">
        <v>1772</v>
      </c>
      <c r="W4" s="3692"/>
      <c r="X4" s="1355"/>
      <c r="Y4" s="3667" t="s">
        <v>1774</v>
      </c>
      <c r="Z4" s="3668"/>
      <c r="AA4" s="3662" t="s">
        <v>1770</v>
      </c>
      <c r="AB4" s="3663" t="s">
        <v>1771</v>
      </c>
      <c r="AC4" s="3662" t="s">
        <v>1772</v>
      </c>
    </row>
    <row r="5" spans="1:29" ht="15">
      <c r="A5" s="358"/>
      <c r="B5" s="359"/>
      <c r="C5" s="3673" t="s">
        <v>1672</v>
      </c>
      <c r="D5" s="3674"/>
      <c r="E5" s="3671" t="s">
        <v>1673</v>
      </c>
      <c r="F5" s="3672"/>
      <c r="G5" s="3673" t="s">
        <v>1674</v>
      </c>
      <c r="H5" s="3674"/>
      <c r="I5" s="3673" t="s">
        <v>1675</v>
      </c>
      <c r="J5" s="3674"/>
      <c r="K5" s="559"/>
      <c r="L5" s="2708"/>
      <c r="M5" s="2709"/>
      <c r="N5" s="2709"/>
      <c r="O5" s="2709"/>
      <c r="P5" s="3686"/>
      <c r="Q5" s="3687"/>
      <c r="R5" s="3669"/>
      <c r="S5" s="3670"/>
      <c r="T5" s="3669"/>
      <c r="U5" s="3670"/>
      <c r="V5" s="3692"/>
      <c r="W5" s="3692"/>
      <c r="X5" s="1355"/>
      <c r="Y5" s="3669"/>
      <c r="Z5" s="3670"/>
      <c r="AA5" s="3663"/>
      <c r="AB5" s="3663"/>
      <c r="AC5" s="3663"/>
    </row>
    <row r="6" spans="1:29" ht="15.75" thickBot="1">
      <c r="A6" s="360"/>
      <c r="B6" s="361"/>
      <c r="C6" s="3675" t="s">
        <v>1676</v>
      </c>
      <c r="D6" s="3676"/>
      <c r="E6" s="3677" t="s">
        <v>1676</v>
      </c>
      <c r="F6" s="3678"/>
      <c r="G6" s="3675" t="s">
        <v>1676</v>
      </c>
      <c r="H6" s="3676"/>
      <c r="I6" s="3675" t="s">
        <v>1676</v>
      </c>
      <c r="J6" s="3676"/>
      <c r="K6" s="559" t="s">
        <v>1677</v>
      </c>
      <c r="L6" s="2708"/>
      <c r="M6" s="2709"/>
      <c r="N6" s="2709"/>
      <c r="O6" s="2709"/>
      <c r="P6" s="3688"/>
      <c r="Q6" s="3689"/>
      <c r="R6" s="3669"/>
      <c r="S6" s="3670"/>
      <c r="T6" s="3690"/>
      <c r="U6" s="3691"/>
      <c r="V6" s="3692"/>
      <c r="W6" s="3692"/>
      <c r="X6" s="1355"/>
      <c r="Y6" s="3690"/>
      <c r="Z6" s="3691"/>
      <c r="AA6" s="3664"/>
      <c r="AB6" s="3664"/>
      <c r="AC6" s="3664"/>
    </row>
    <row r="7" spans="1:29" s="108" customFormat="1" ht="15.75" thickBot="1">
      <c r="A7" s="362" t="s">
        <v>1678</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65" t="s">
        <v>1679</v>
      </c>
      <c r="Q7" s="3693"/>
      <c r="R7" s="701" t="s">
        <v>14</v>
      </c>
      <c r="S7" s="702">
        <f t="shared" ref="S7:S14" si="0">F7</f>
        <v>0</v>
      </c>
      <c r="T7" s="701" t="s">
        <v>14</v>
      </c>
      <c r="U7" s="702">
        <f t="shared" ref="U7:U14" si="1">H7</f>
        <v>0</v>
      </c>
      <c r="V7" s="701" t="s">
        <v>14</v>
      </c>
      <c r="W7" s="702">
        <f t="shared" ref="W7:W14" si="2">J7</f>
        <v>0</v>
      </c>
      <c r="X7" s="703"/>
      <c r="Y7" s="3665" t="s">
        <v>1679</v>
      </c>
      <c r="Z7" s="3666"/>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65" t="s">
        <v>1682</v>
      </c>
      <c r="Q8" s="3666"/>
      <c r="R8" s="701" t="s">
        <v>14</v>
      </c>
      <c r="S8" s="702">
        <f t="shared" si="0"/>
        <v>100</v>
      </c>
      <c r="T8" s="701" t="s">
        <v>14</v>
      </c>
      <c r="U8" s="702">
        <f t="shared" si="1"/>
        <v>100</v>
      </c>
      <c r="V8" s="701" t="s">
        <v>14</v>
      </c>
      <c r="W8" s="702">
        <f t="shared" si="2"/>
        <v>100</v>
      </c>
      <c r="X8" s="703"/>
      <c r="Y8" s="3665" t="s">
        <v>1682</v>
      </c>
      <c r="Z8" s="3666"/>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97" t="s">
        <v>1685</v>
      </c>
      <c r="Q9" s="1343" t="str">
        <f t="shared" ref="Q9:Q14" si="6">B9</f>
        <v>用途</v>
      </c>
      <c r="R9" s="701" t="s">
        <v>14</v>
      </c>
      <c r="S9" s="702">
        <f t="shared" si="0"/>
        <v>100</v>
      </c>
      <c r="T9" s="701" t="s">
        <v>14</v>
      </c>
      <c r="U9" s="702">
        <f t="shared" si="1"/>
        <v>100</v>
      </c>
      <c r="V9" s="701" t="s">
        <v>14</v>
      </c>
      <c r="W9" s="702">
        <f t="shared" si="2"/>
        <v>100</v>
      </c>
      <c r="X9" s="703"/>
      <c r="Y9" s="3609" t="s">
        <v>1686</v>
      </c>
      <c r="Z9" s="52" t="str">
        <f t="shared" ref="Z9:Z14" si="7">Q9</f>
        <v>用途</v>
      </c>
      <c r="AA9" s="704">
        <f t="shared" si="3"/>
        <v>1</v>
      </c>
      <c r="AB9" s="704">
        <f t="shared" si="4"/>
        <v>1</v>
      </c>
      <c r="AC9" s="704">
        <f t="shared" si="5"/>
        <v>1</v>
      </c>
    </row>
    <row r="10" spans="1:29" s="378" customFormat="1" ht="27">
      <c r="A10" s="589"/>
      <c r="B10" s="590" t="s">
        <v>1687</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
      <c r="A14" s="355" t="s">
        <v>1689</v>
      </c>
      <c r="B14" s="577" t="s">
        <v>1832</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99" t="s">
        <v>1690</v>
      </c>
      <c r="Q14" s="1352" t="str">
        <f t="shared" si="6"/>
        <v>交通便捷度</v>
      </c>
      <c r="R14" s="705" t="s">
        <v>14</v>
      </c>
      <c r="S14" s="706">
        <f t="shared" si="0"/>
        <v>100</v>
      </c>
      <c r="T14" s="705" t="s">
        <v>14</v>
      </c>
      <c r="U14" s="706">
        <f t="shared" si="1"/>
        <v>100</v>
      </c>
      <c r="V14" s="705" t="s">
        <v>14</v>
      </c>
      <c r="W14" s="706">
        <f t="shared" si="2"/>
        <v>100</v>
      </c>
      <c r="X14" s="1355"/>
      <c r="Y14" s="3699"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700"/>
      <c r="Q15" s="1352"/>
      <c r="R15" s="705"/>
      <c r="S15" s="706"/>
      <c r="T15" s="705"/>
      <c r="U15" s="706"/>
      <c r="V15" s="705"/>
      <c r="W15" s="706"/>
      <c r="X15" s="1355"/>
      <c r="Y15" s="3700"/>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5"/>
      <c r="M17" s="2709"/>
      <c r="N17" s="2709"/>
      <c r="O17" s="2709"/>
      <c r="P17" s="3700"/>
      <c r="Q17" s="1352"/>
      <c r="R17" s="705"/>
      <c r="S17" s="706"/>
      <c r="T17" s="705"/>
      <c r="U17" s="706"/>
      <c r="V17" s="705"/>
      <c r="W17" s="706"/>
      <c r="X17" s="1355"/>
      <c r="Y17" s="3700"/>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5"/>
      <c r="M19" s="2709"/>
      <c r="N19" s="2709"/>
      <c r="O19" s="2709"/>
      <c r="P19" s="3700"/>
      <c r="Q19" s="1352"/>
      <c r="R19" s="705"/>
      <c r="S19" s="706"/>
      <c r="T19" s="705"/>
      <c r="U19" s="706"/>
      <c r="V19" s="705"/>
      <c r="W19" s="706"/>
      <c r="X19" s="1355"/>
      <c r="Y19" s="3700"/>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700"/>
      <c r="Q21" s="1352"/>
      <c r="R21" s="705"/>
      <c r="S21" s="706"/>
      <c r="T21" s="705"/>
      <c r="U21" s="706"/>
      <c r="V21" s="705"/>
      <c r="W21" s="706"/>
      <c r="X21" s="1355"/>
      <c r="Y21" s="3700"/>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1693</v>
      </c>
      <c r="B26" s="62" t="s">
        <v>1835</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2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04" t="s">
        <v>1695</v>
      </c>
      <c r="Q32" s="1352" t="str">
        <f t="shared" si="11"/>
        <v>车位类型</v>
      </c>
      <c r="R32" s="705" t="s">
        <v>14</v>
      </c>
      <c r="S32" s="706">
        <f t="shared" si="12"/>
        <v>100</v>
      </c>
      <c r="T32" s="705" t="s">
        <v>14</v>
      </c>
      <c r="U32" s="706">
        <f t="shared" si="13"/>
        <v>100</v>
      </c>
      <c r="V32" s="705" t="s">
        <v>14</v>
      </c>
      <c r="W32" s="706">
        <f t="shared" si="14"/>
        <v>100</v>
      </c>
      <c r="X32" s="1355"/>
      <c r="Y32" s="3704"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1843</v>
      </c>
      <c r="B37" s="1971" t="s">
        <v>3349</v>
      </c>
      <c r="C37" s="1154" t="s">
        <v>0</v>
      </c>
      <c r="D37" s="1155"/>
      <c r="E37" s="1156"/>
      <c r="F37" s="1157"/>
      <c r="G37" s="1158"/>
      <c r="H37" s="1159"/>
      <c r="I37" s="1156"/>
      <c r="J37" s="1159"/>
      <c r="K37" s="568"/>
      <c r="L37" s="2717"/>
      <c r="M37" s="2718"/>
      <c r="N37" s="2709"/>
      <c r="O37" s="2718"/>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1844</v>
      </c>
      <c r="B38" s="438" t="str">
        <f>B37</f>
        <v>元/平方米</v>
      </c>
      <c r="C38" s="1160" t="e">
        <f>R39</f>
        <v>#DIV/0!</v>
      </c>
      <c r="D38" s="2315" t="s">
        <v>2137</v>
      </c>
      <c r="E38" s="1161" t="e">
        <f>R38</f>
        <v>#DIV/0!</v>
      </c>
      <c r="F38" s="2316"/>
      <c r="G38" s="1160" t="e">
        <f>T38</f>
        <v>#DIV/0!</v>
      </c>
      <c r="H38" s="2316"/>
      <c r="I38" s="1161" t="e">
        <f>V38</f>
        <v>#DIV/0!</v>
      </c>
      <c r="J38" s="2316"/>
      <c r="K38" s="2318">
        <f>F38+H38+J38</f>
        <v>0</v>
      </c>
      <c r="L38" s="2717"/>
      <c r="M38" s="2718"/>
      <c r="N38" s="2718"/>
      <c r="O38" s="2718"/>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7"/>
      <c r="M39" s="2718"/>
      <c r="N39" s="2718"/>
      <c r="O39" s="2718"/>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1849</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1850</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1715</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1680</v>
      </c>
      <c r="B51" s="459"/>
      <c r="C51" s="471" t="s">
        <v>1775</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1718</v>
      </c>
      <c r="B53" s="477" t="s">
        <v>1684</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1687</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1726</v>
      </c>
      <c r="C65" s="527" t="s">
        <v>1720</v>
      </c>
      <c r="D65" s="527" t="s">
        <v>1721</v>
      </c>
      <c r="E65" s="527" t="s">
        <v>1722</v>
      </c>
      <c r="F65" s="527" t="s">
        <v>1723</v>
      </c>
      <c r="G65" s="527" t="s">
        <v>1724</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1812</v>
      </c>
      <c r="C67" s="608" t="s">
        <v>1798</v>
      </c>
      <c r="D67" s="608" t="s">
        <v>1799</v>
      </c>
      <c r="E67" s="608" t="s">
        <v>1800</v>
      </c>
      <c r="F67" s="608" t="s">
        <v>1801</v>
      </c>
      <c r="G67" s="608" t="s">
        <v>1802</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1732</v>
      </c>
      <c r="C69" s="527" t="s">
        <v>1720</v>
      </c>
      <c r="D69" s="527" t="s">
        <v>1721</v>
      </c>
      <c r="E69" s="527" t="s">
        <v>1722</v>
      </c>
      <c r="F69" s="527" t="s">
        <v>1723</v>
      </c>
      <c r="G69" s="527" t="s">
        <v>1724</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1851</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1693</v>
      </c>
      <c r="B79" s="477" t="s">
        <v>1852</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1853</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1739</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1855</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1857</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1858</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58" activeCellId="1" sqref="L14 Q5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3329</v>
      </c>
      <c r="C1" s="1224" t="s">
        <v>1661</v>
      </c>
      <c r="D1" s="1225"/>
      <c r="E1" s="3426"/>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2708"/>
      <c r="M4" s="2709"/>
      <c r="N4" s="2709"/>
      <c r="O4" s="2709"/>
      <c r="P4" s="3684" t="s">
        <v>1774</v>
      </c>
      <c r="Q4" s="3685"/>
      <c r="R4" s="3667" t="s">
        <v>1770</v>
      </c>
      <c r="S4" s="3668"/>
      <c r="T4" s="3667" t="s">
        <v>1771</v>
      </c>
      <c r="U4" s="3668"/>
      <c r="V4" s="3692" t="s">
        <v>1772</v>
      </c>
      <c r="W4" s="3692"/>
      <c r="X4" s="1355"/>
      <c r="Y4" s="3667" t="s">
        <v>1774</v>
      </c>
      <c r="Z4" s="3668"/>
      <c r="AA4" s="3662" t="s">
        <v>1770</v>
      </c>
      <c r="AB4" s="3663" t="s">
        <v>1771</v>
      </c>
      <c r="AC4" s="3662" t="s">
        <v>1772</v>
      </c>
    </row>
    <row r="5" spans="1:29" ht="15">
      <c r="A5" s="358"/>
      <c r="B5" s="359"/>
      <c r="C5" s="3673" t="s">
        <v>1672</v>
      </c>
      <c r="D5" s="3674"/>
      <c r="E5" s="3671" t="s">
        <v>1673</v>
      </c>
      <c r="F5" s="3672"/>
      <c r="G5" s="3673" t="s">
        <v>1674</v>
      </c>
      <c r="H5" s="3674"/>
      <c r="I5" s="3673" t="s">
        <v>1675</v>
      </c>
      <c r="J5" s="3674"/>
      <c r="K5" s="559"/>
      <c r="L5" s="2708"/>
      <c r="M5" s="2709"/>
      <c r="N5" s="2709"/>
      <c r="O5" s="2709"/>
      <c r="P5" s="3686"/>
      <c r="Q5" s="3687"/>
      <c r="R5" s="3669"/>
      <c r="S5" s="3670"/>
      <c r="T5" s="3669"/>
      <c r="U5" s="3670"/>
      <c r="V5" s="3692"/>
      <c r="W5" s="3692"/>
      <c r="X5" s="1355"/>
      <c r="Y5" s="3669"/>
      <c r="Z5" s="3670"/>
      <c r="AA5" s="3663"/>
      <c r="AB5" s="3663"/>
      <c r="AC5" s="3663"/>
    </row>
    <row r="6" spans="1:29" ht="15.75" thickBot="1">
      <c r="A6" s="360"/>
      <c r="B6" s="361"/>
      <c r="C6" s="3675" t="s">
        <v>1676</v>
      </c>
      <c r="D6" s="3676"/>
      <c r="E6" s="3677" t="s">
        <v>1676</v>
      </c>
      <c r="F6" s="3678"/>
      <c r="G6" s="3675" t="s">
        <v>1676</v>
      </c>
      <c r="H6" s="3676"/>
      <c r="I6" s="3675" t="s">
        <v>1676</v>
      </c>
      <c r="J6" s="3676"/>
      <c r="K6" s="559" t="s">
        <v>1677</v>
      </c>
      <c r="L6" s="2708"/>
      <c r="M6" s="2709"/>
      <c r="N6" s="2709"/>
      <c r="O6" s="2709"/>
      <c r="P6" s="3688"/>
      <c r="Q6" s="3689"/>
      <c r="R6" s="3669"/>
      <c r="S6" s="3670"/>
      <c r="T6" s="3690"/>
      <c r="U6" s="3691"/>
      <c r="V6" s="3692"/>
      <c r="W6" s="3692"/>
      <c r="X6" s="1355"/>
      <c r="Y6" s="3690"/>
      <c r="Z6" s="3691"/>
      <c r="AA6" s="3664"/>
      <c r="AB6" s="3664"/>
      <c r="AC6" s="3664"/>
    </row>
    <row r="7" spans="1:29" s="108" customFormat="1" ht="15.75" thickBot="1">
      <c r="A7" s="362" t="s">
        <v>1678</v>
      </c>
      <c r="B7" s="363"/>
      <c r="C7" s="364">
        <f>'数据-取费表'!B2</f>
        <v>45160</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665" t="s">
        <v>1679</v>
      </c>
      <c r="Q7" s="3693"/>
      <c r="R7" s="701" t="s">
        <v>14</v>
      </c>
      <c r="S7" s="702">
        <f t="shared" ref="S7:S14" si="0">F7</f>
        <v>0</v>
      </c>
      <c r="T7" s="701" t="s">
        <v>14</v>
      </c>
      <c r="U7" s="702">
        <f t="shared" ref="U7:U14" si="1">H7</f>
        <v>0</v>
      </c>
      <c r="V7" s="701" t="s">
        <v>14</v>
      </c>
      <c r="W7" s="702">
        <f t="shared" ref="W7:W14" si="2">J7</f>
        <v>0</v>
      </c>
      <c r="X7" s="703"/>
      <c r="Y7" s="3665" t="s">
        <v>1679</v>
      </c>
      <c r="Z7" s="3666"/>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65" t="s">
        <v>1682</v>
      </c>
      <c r="Q8" s="3666"/>
      <c r="R8" s="701" t="s">
        <v>14</v>
      </c>
      <c r="S8" s="702">
        <f t="shared" si="0"/>
        <v>100</v>
      </c>
      <c r="T8" s="701" t="s">
        <v>14</v>
      </c>
      <c r="U8" s="702">
        <f t="shared" si="1"/>
        <v>100</v>
      </c>
      <c r="V8" s="701" t="s">
        <v>14</v>
      </c>
      <c r="W8" s="702">
        <f t="shared" si="2"/>
        <v>100</v>
      </c>
      <c r="X8" s="703"/>
      <c r="Y8" s="3665" t="s">
        <v>1682</v>
      </c>
      <c r="Z8" s="3666"/>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97" t="s">
        <v>1685</v>
      </c>
      <c r="Q9" s="1343" t="str">
        <f t="shared" ref="Q9:Q14" si="6">B9</f>
        <v>用途</v>
      </c>
      <c r="R9" s="701" t="s">
        <v>14</v>
      </c>
      <c r="S9" s="702">
        <f t="shared" si="0"/>
        <v>100</v>
      </c>
      <c r="T9" s="701" t="s">
        <v>14</v>
      </c>
      <c r="U9" s="702">
        <f t="shared" si="1"/>
        <v>100</v>
      </c>
      <c r="V9" s="701" t="s">
        <v>14</v>
      </c>
      <c r="W9" s="702">
        <f t="shared" si="2"/>
        <v>100</v>
      </c>
      <c r="X9" s="703"/>
      <c r="Y9" s="3609" t="s">
        <v>1686</v>
      </c>
      <c r="Z9" s="52" t="str">
        <f t="shared" ref="Z9:Z14" si="7">Q9</f>
        <v>用途</v>
      </c>
      <c r="AA9" s="704">
        <f t="shared" si="3"/>
        <v>1</v>
      </c>
      <c r="AB9" s="704">
        <f t="shared" si="4"/>
        <v>1</v>
      </c>
      <c r="AC9" s="704">
        <f t="shared" si="5"/>
        <v>1</v>
      </c>
    </row>
    <row r="10" spans="1:29" s="378" customFormat="1" ht="27">
      <c r="A10" s="374"/>
      <c r="B10" s="375" t="s">
        <v>1687</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
      <c r="A14" s="391" t="s">
        <v>1689</v>
      </c>
      <c r="B14" s="61" t="s">
        <v>1832</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99" t="s">
        <v>1690</v>
      </c>
      <c r="Q14" s="1352" t="str">
        <f t="shared" si="6"/>
        <v>交通便捷度</v>
      </c>
      <c r="R14" s="705" t="s">
        <v>14</v>
      </c>
      <c r="S14" s="706">
        <f t="shared" si="0"/>
        <v>100</v>
      </c>
      <c r="T14" s="705" t="s">
        <v>14</v>
      </c>
      <c r="U14" s="706">
        <f t="shared" si="1"/>
        <v>100</v>
      </c>
      <c r="V14" s="705" t="s">
        <v>14</v>
      </c>
      <c r="W14" s="706">
        <f t="shared" si="2"/>
        <v>100</v>
      </c>
      <c r="X14" s="1355"/>
      <c r="Y14" s="3699"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700"/>
      <c r="Q15" s="1352"/>
      <c r="R15" s="705"/>
      <c r="S15" s="706"/>
      <c r="T15" s="705"/>
      <c r="U15" s="706"/>
      <c r="V15" s="705"/>
      <c r="W15" s="706"/>
      <c r="X15" s="1355"/>
      <c r="Y15" s="3700"/>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5"/>
      <c r="M17" s="2709"/>
      <c r="N17" s="2709"/>
      <c r="O17" s="2767"/>
      <c r="P17" s="3700"/>
      <c r="Q17" s="1352"/>
      <c r="R17" s="705"/>
      <c r="S17" s="706"/>
      <c r="T17" s="705"/>
      <c r="U17" s="706"/>
      <c r="V17" s="705"/>
      <c r="W17" s="706"/>
      <c r="X17" s="1355"/>
      <c r="Y17" s="3700"/>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5"/>
      <c r="M19" s="2709"/>
      <c r="N19" s="2709"/>
      <c r="O19" s="2767"/>
      <c r="P19" s="3700"/>
      <c r="Q19" s="1352"/>
      <c r="R19" s="705"/>
      <c r="S19" s="706"/>
      <c r="T19" s="705"/>
      <c r="U19" s="706"/>
      <c r="V19" s="705"/>
      <c r="W19" s="706"/>
      <c r="X19" s="1355"/>
      <c r="Y19" s="3700"/>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700"/>
      <c r="Q21" s="1352"/>
      <c r="R21" s="705"/>
      <c r="S21" s="706"/>
      <c r="T21" s="705"/>
      <c r="U21" s="706"/>
      <c r="V21" s="705"/>
      <c r="W21" s="706"/>
      <c r="X21" s="1355"/>
      <c r="Y21" s="3700"/>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1693</v>
      </c>
      <c r="B26" s="63" t="s">
        <v>1837</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72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04" t="s">
        <v>1695</v>
      </c>
      <c r="Q32" s="1352">
        <f t="shared" si="11"/>
        <v>111</v>
      </c>
      <c r="R32" s="705" t="s">
        <v>14</v>
      </c>
      <c r="S32" s="706">
        <f t="shared" si="12"/>
        <v>100</v>
      </c>
      <c r="T32" s="705" t="s">
        <v>14</v>
      </c>
      <c r="U32" s="706">
        <f t="shared" si="13"/>
        <v>100</v>
      </c>
      <c r="V32" s="705" t="s">
        <v>14</v>
      </c>
      <c r="W32" s="706">
        <f t="shared" si="14"/>
        <v>100</v>
      </c>
      <c r="X32" s="1355"/>
      <c r="Y32" s="3704"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7"/>
      <c r="M35" s="2718"/>
      <c r="N35" s="2709"/>
      <c r="O35" s="2718"/>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1792</v>
      </c>
      <c r="B36" s="438"/>
      <c r="C36" s="1160" t="e">
        <f>R37</f>
        <v>#DIV/0!</v>
      </c>
      <c r="D36" s="2315" t="s">
        <v>2137</v>
      </c>
      <c r="E36" s="1161" t="e">
        <f>R36</f>
        <v>#DIV/0!</v>
      </c>
      <c r="F36" s="2316"/>
      <c r="G36" s="1160" t="e">
        <f>T36</f>
        <v>#DIV/0!</v>
      </c>
      <c r="H36" s="2316"/>
      <c r="I36" s="1161" t="e">
        <f>V36</f>
        <v>#DIV/0!</v>
      </c>
      <c r="J36" s="2316"/>
      <c r="K36" s="2318">
        <f>F36+H36+J36</f>
        <v>0</v>
      </c>
      <c r="L36" s="2717"/>
      <c r="M36" s="2718"/>
      <c r="N36" s="2709"/>
      <c r="O36" s="2718"/>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7"/>
      <c r="M37" s="2718"/>
      <c r="N37" s="2718"/>
      <c r="O37" s="2718"/>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1797</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1678</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1715</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1680</v>
      </c>
      <c r="B49" s="459"/>
      <c r="C49" s="471" t="s">
        <v>1775</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1718</v>
      </c>
      <c r="B51" s="477" t="s">
        <v>1684</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1687</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1862</v>
      </c>
      <c r="C63" s="527" t="s">
        <v>1720</v>
      </c>
      <c r="D63" s="527" t="s">
        <v>1721</v>
      </c>
      <c r="E63" s="527" t="s">
        <v>1722</v>
      </c>
      <c r="F63" s="527" t="s">
        <v>1723</v>
      </c>
      <c r="G63" s="527" t="s">
        <v>1724</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1812</v>
      </c>
      <c r="C65" s="608" t="s">
        <v>1798</v>
      </c>
      <c r="D65" s="608" t="s">
        <v>1799</v>
      </c>
      <c r="E65" s="608" t="s">
        <v>1800</v>
      </c>
      <c r="F65" s="608" t="s">
        <v>1801</v>
      </c>
      <c r="G65" s="608" t="s">
        <v>1802</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1732</v>
      </c>
      <c r="C67" s="527" t="s">
        <v>1720</v>
      </c>
      <c r="D67" s="527" t="s">
        <v>1721</v>
      </c>
      <c r="E67" s="527" t="s">
        <v>1722</v>
      </c>
      <c r="F67" s="527" t="s">
        <v>1723</v>
      </c>
      <c r="G67" s="527" t="s">
        <v>1724</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1851</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1693</v>
      </c>
      <c r="B77" s="477" t="s">
        <v>1739</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1855</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1863</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1865</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58" activeCellId="1" sqref="L14 Q5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1768</v>
      </c>
      <c r="B4" s="356"/>
      <c r="C4" s="3680" t="s">
        <v>1769</v>
      </c>
      <c r="D4" s="3681"/>
      <c r="E4" s="3682" t="s">
        <v>1770</v>
      </c>
      <c r="F4" s="3683"/>
      <c r="G4" s="3680" t="s">
        <v>1771</v>
      </c>
      <c r="H4" s="3681"/>
      <c r="I4" s="3680" t="s">
        <v>1772</v>
      </c>
      <c r="J4" s="3681"/>
      <c r="K4" s="559" t="s">
        <v>1773</v>
      </c>
      <c r="L4" s="2708"/>
      <c r="M4" s="2709"/>
      <c r="N4" s="2709"/>
      <c r="O4" s="2709"/>
      <c r="P4" s="3684" t="s">
        <v>1774</v>
      </c>
      <c r="Q4" s="3685"/>
      <c r="R4" s="3667" t="s">
        <v>1770</v>
      </c>
      <c r="S4" s="3668"/>
      <c r="T4" s="3667" t="s">
        <v>1771</v>
      </c>
      <c r="U4" s="3668"/>
      <c r="V4" s="3692" t="s">
        <v>1772</v>
      </c>
      <c r="W4" s="3692"/>
      <c r="X4" s="1355"/>
      <c r="Y4" s="3667" t="s">
        <v>1774</v>
      </c>
      <c r="Z4" s="3668"/>
      <c r="AA4" s="3662" t="s">
        <v>1770</v>
      </c>
      <c r="AB4" s="3663" t="s">
        <v>1771</v>
      </c>
      <c r="AC4" s="3662" t="s">
        <v>1772</v>
      </c>
    </row>
    <row r="5" spans="1:30" ht="15">
      <c r="A5" s="358"/>
      <c r="B5" s="359"/>
      <c r="C5" s="3673" t="s">
        <v>1672</v>
      </c>
      <c r="D5" s="3674"/>
      <c r="E5" s="3671" t="s">
        <v>1673</v>
      </c>
      <c r="F5" s="3672"/>
      <c r="G5" s="3673" t="s">
        <v>1674</v>
      </c>
      <c r="H5" s="3674"/>
      <c r="I5" s="3673" t="s">
        <v>1675</v>
      </c>
      <c r="J5" s="3674"/>
      <c r="K5" s="559"/>
      <c r="L5" s="2708"/>
      <c r="M5" s="2709"/>
      <c r="N5" s="2709"/>
      <c r="O5" s="2709"/>
      <c r="P5" s="3686"/>
      <c r="Q5" s="3687"/>
      <c r="R5" s="3669"/>
      <c r="S5" s="3670"/>
      <c r="T5" s="3669"/>
      <c r="U5" s="3670"/>
      <c r="V5" s="3692"/>
      <c r="W5" s="3692"/>
      <c r="X5" s="1355"/>
      <c r="Y5" s="3669"/>
      <c r="Z5" s="3670"/>
      <c r="AA5" s="3663"/>
      <c r="AB5" s="3663"/>
      <c r="AC5" s="3663"/>
    </row>
    <row r="6" spans="1:30" ht="15.75" thickBot="1">
      <c r="A6" s="360"/>
      <c r="B6" s="361"/>
      <c r="C6" s="3675" t="s">
        <v>1676</v>
      </c>
      <c r="D6" s="3676"/>
      <c r="E6" s="3677" t="s">
        <v>1676</v>
      </c>
      <c r="F6" s="3678"/>
      <c r="G6" s="3675" t="s">
        <v>1676</v>
      </c>
      <c r="H6" s="3676"/>
      <c r="I6" s="3675" t="s">
        <v>1676</v>
      </c>
      <c r="J6" s="3676"/>
      <c r="K6" s="559" t="s">
        <v>1677</v>
      </c>
      <c r="L6" s="2708"/>
      <c r="M6" s="2709"/>
      <c r="N6" s="2709"/>
      <c r="O6" s="2709"/>
      <c r="P6" s="3688"/>
      <c r="Q6" s="3689"/>
      <c r="R6" s="3669"/>
      <c r="S6" s="3670"/>
      <c r="T6" s="3690"/>
      <c r="U6" s="3691"/>
      <c r="V6" s="3692"/>
      <c r="W6" s="3692"/>
      <c r="X6" s="1355"/>
      <c r="Y6" s="3690"/>
      <c r="Z6" s="3691"/>
      <c r="AA6" s="3664"/>
      <c r="AB6" s="3664"/>
      <c r="AC6" s="3664"/>
    </row>
    <row r="7" spans="1:30" s="108" customFormat="1" ht="15.75" thickBot="1">
      <c r="A7" s="362" t="s">
        <v>1678</v>
      </c>
      <c r="B7" s="363"/>
      <c r="C7" s="364">
        <f>'数据-取费表'!B2</f>
        <v>45160</v>
      </c>
      <c r="D7" s="365">
        <v>100</v>
      </c>
      <c r="E7" s="366"/>
      <c r="F7" s="367">
        <f>SUMIF(69:69,YEAR(E7)&amp;"-"&amp;INT((MONTH(E7)+2)/3),70:70)</f>
        <v>0</v>
      </c>
      <c r="G7" s="1972"/>
      <c r="H7" s="365">
        <f>SUMIF(69:69,YEAR(G7)&amp;"-"&amp;INT((MONTH(G7)+2)/3),70:70)</f>
        <v>0</v>
      </c>
      <c r="I7" s="1972"/>
      <c r="J7" s="365">
        <f>SUMIF(69:69,YEAR(I7)&amp;"-"&amp;INT((MONTH(I7)+2)/3),70:70)</f>
        <v>0</v>
      </c>
      <c r="K7" s="560"/>
      <c r="L7" s="2710"/>
      <c r="M7" s="2711"/>
      <c r="N7" s="2711"/>
      <c r="O7" s="2711"/>
      <c r="P7" s="3665" t="s">
        <v>1679</v>
      </c>
      <c r="Q7" s="3693"/>
      <c r="R7" s="701" t="s">
        <v>14</v>
      </c>
      <c r="S7" s="702">
        <f t="shared" ref="S7:S15" si="0">F7</f>
        <v>0</v>
      </c>
      <c r="T7" s="701" t="s">
        <v>14</v>
      </c>
      <c r="U7" s="702">
        <f t="shared" ref="U7:U15" si="1">H7</f>
        <v>0</v>
      </c>
      <c r="V7" s="701" t="s">
        <v>14</v>
      </c>
      <c r="W7" s="702">
        <f t="shared" ref="W7:W15" si="2">J7</f>
        <v>0</v>
      </c>
      <c r="X7" s="703"/>
      <c r="Y7" s="3665" t="s">
        <v>1679</v>
      </c>
      <c r="Z7" s="3666"/>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65" t="s">
        <v>1682</v>
      </c>
      <c r="Q8" s="3666"/>
      <c r="R8" s="701" t="s">
        <v>14</v>
      </c>
      <c r="S8" s="702">
        <f t="shared" si="0"/>
        <v>0</v>
      </c>
      <c r="T8" s="701" t="s">
        <v>14</v>
      </c>
      <c r="U8" s="702">
        <f t="shared" si="1"/>
        <v>0</v>
      </c>
      <c r="V8" s="701" t="s">
        <v>14</v>
      </c>
      <c r="W8" s="702">
        <f t="shared" si="2"/>
        <v>0</v>
      </c>
      <c r="X8" s="703"/>
      <c r="Y8" s="3665" t="s">
        <v>1682</v>
      </c>
      <c r="Z8" s="3666"/>
      <c r="AA8" s="704" t="e">
        <f t="shared" ref="AA8:AA45" si="3">D8/F8</f>
        <v>#DIV/0!</v>
      </c>
      <c r="AB8" s="704" t="e">
        <f t="shared" ref="AB8:AB45" si="4">D8/H8</f>
        <v>#DIV/0!</v>
      </c>
      <c r="AC8" s="704" t="e">
        <f t="shared" ref="AC8:AC45" si="5">D8/J8</f>
        <v>#DIV/0!</v>
      </c>
    </row>
    <row r="9" spans="1:30" s="108" customFormat="1">
      <c r="A9" s="369" t="s">
        <v>1683</v>
      </c>
      <c r="B9" s="63" t="s">
        <v>1684</v>
      </c>
      <c r="C9" s="1975"/>
      <c r="D9" s="126">
        <v>100</v>
      </c>
      <c r="E9" s="1975"/>
      <c r="F9" s="126">
        <f>SUMIF(74:74,E9,75:75)-SUMIF(74:74,C9,75:75)+100</f>
        <v>100</v>
      </c>
      <c r="G9" s="1975"/>
      <c r="H9" s="126">
        <f>SUMIF(74:74,G9,75:75)-SUMIF(74:74,C9,75:75)+100</f>
        <v>100</v>
      </c>
      <c r="I9" s="1975"/>
      <c r="J9" s="126">
        <f>SUMIF(74:74,I9,75:75)-SUMIF(74:74,C9,75:75)+100</f>
        <v>100</v>
      </c>
      <c r="K9" s="560"/>
      <c r="L9" s="2710"/>
      <c r="M9" s="2711"/>
      <c r="N9" s="2711"/>
      <c r="O9" s="2765"/>
      <c r="P9" s="3697" t="s">
        <v>1685</v>
      </c>
      <c r="Q9" s="1343" t="str">
        <f t="shared" ref="Q9:Q15" si="6">B9</f>
        <v>用途</v>
      </c>
      <c r="R9" s="701" t="s">
        <v>14</v>
      </c>
      <c r="S9" s="702">
        <f t="shared" si="0"/>
        <v>100</v>
      </c>
      <c r="T9" s="701" t="s">
        <v>14</v>
      </c>
      <c r="U9" s="702">
        <f t="shared" si="1"/>
        <v>100</v>
      </c>
      <c r="V9" s="701" t="s">
        <v>14</v>
      </c>
      <c r="W9" s="702">
        <f t="shared" si="2"/>
        <v>100</v>
      </c>
      <c r="X9" s="703"/>
      <c r="Y9" s="3609"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134</v>
      </c>
      <c r="G10" s="414"/>
      <c r="H10" s="127">
        <f>ROUND(100/'数据-取费表'!G16,0)</f>
        <v>134</v>
      </c>
      <c r="I10" s="414"/>
      <c r="J10" s="127">
        <f>ROUND(100/'数据-取费表'!G16,0)</f>
        <v>134</v>
      </c>
      <c r="K10" s="620"/>
      <c r="L10" s="2712"/>
      <c r="M10" s="2713"/>
      <c r="N10" s="2713"/>
      <c r="O10" s="2766"/>
      <c r="P10" s="3697"/>
      <c r="Q10" s="1343" t="str">
        <f t="shared" si="6"/>
        <v>土地使用年限（年）</v>
      </c>
      <c r="R10" s="701" t="s">
        <v>14</v>
      </c>
      <c r="S10" s="702">
        <f t="shared" si="0"/>
        <v>134</v>
      </c>
      <c r="T10" s="701" t="s">
        <v>14</v>
      </c>
      <c r="U10" s="702">
        <f t="shared" si="1"/>
        <v>134</v>
      </c>
      <c r="V10" s="701" t="s">
        <v>14</v>
      </c>
      <c r="W10" s="702">
        <f t="shared" si="2"/>
        <v>134</v>
      </c>
      <c r="X10" s="703"/>
      <c r="Y10" s="3609"/>
      <c r="Z10" s="52" t="str">
        <f t="shared" si="7"/>
        <v>土地使用年限（年）</v>
      </c>
      <c r="AA10" s="704">
        <f t="shared" si="3"/>
        <v>0.74626865671641796</v>
      </c>
      <c r="AB10" s="704">
        <f t="shared" si="4"/>
        <v>0.74626865671641796</v>
      </c>
      <c r="AC10" s="704">
        <f t="shared" si="5"/>
        <v>0.74626865671641796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99" t="s">
        <v>1690</v>
      </c>
      <c r="Q15" s="1352" t="str">
        <f t="shared" si="6"/>
        <v>居住社区成熟度</v>
      </c>
      <c r="R15" s="705" t="s">
        <v>14</v>
      </c>
      <c r="S15" s="706">
        <f t="shared" si="0"/>
        <v>100</v>
      </c>
      <c r="T15" s="705" t="s">
        <v>14</v>
      </c>
      <c r="U15" s="706">
        <f t="shared" si="1"/>
        <v>100</v>
      </c>
      <c r="V15" s="705" t="s">
        <v>14</v>
      </c>
      <c r="W15" s="706">
        <f t="shared" si="2"/>
        <v>100</v>
      </c>
      <c r="X15" s="1355"/>
      <c r="Y15" s="3699"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5"/>
      <c r="M16" s="2709"/>
      <c r="N16" s="2709"/>
      <c r="O16" s="2767"/>
      <c r="P16" s="3700"/>
      <c r="Q16" s="1352"/>
      <c r="R16" s="705"/>
      <c r="S16" s="706"/>
      <c r="T16" s="705"/>
      <c r="U16" s="706"/>
      <c r="V16" s="705"/>
      <c r="W16" s="706"/>
      <c r="X16" s="1355"/>
      <c r="Y16" s="3700"/>
      <c r="Z16" s="1356"/>
      <c r="AA16" s="1353">
        <v>1</v>
      </c>
      <c r="AB16" s="1353">
        <v>1</v>
      </c>
      <c r="AC16" s="1353">
        <v>1</v>
      </c>
    </row>
    <row r="17" spans="1:29" ht="15">
      <c r="A17" s="379"/>
      <c r="B17" s="402" t="s">
        <v>1776</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5"/>
      <c r="M18" s="2709"/>
      <c r="N18" s="2709"/>
      <c r="O18" s="2767"/>
      <c r="P18" s="3700"/>
      <c r="Q18" s="1352"/>
      <c r="R18" s="705"/>
      <c r="S18" s="706"/>
      <c r="T18" s="705"/>
      <c r="U18" s="706"/>
      <c r="V18" s="705"/>
      <c r="W18" s="706"/>
      <c r="X18" s="1355"/>
      <c r="Y18" s="3700"/>
      <c r="Z18" s="1356"/>
      <c r="AA18" s="1353">
        <v>1</v>
      </c>
      <c r="AB18" s="1353">
        <v>1</v>
      </c>
      <c r="AC18" s="1353">
        <v>1</v>
      </c>
    </row>
    <row r="19" spans="1:29" ht="15">
      <c r="A19" s="379"/>
      <c r="B19" s="402" t="s">
        <v>1810</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5"/>
      <c r="M20" s="2709"/>
      <c r="N20" s="2709"/>
      <c r="O20" s="2767"/>
      <c r="P20" s="3700"/>
      <c r="Q20" s="1352"/>
      <c r="R20" s="705"/>
      <c r="S20" s="706"/>
      <c r="T20" s="705"/>
      <c r="U20" s="706"/>
      <c r="V20" s="705"/>
      <c r="W20" s="706"/>
      <c r="X20" s="1355"/>
      <c r="Y20" s="3700"/>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5"/>
      <c r="M22" s="2709"/>
      <c r="N22" s="2709"/>
      <c r="O22" s="2767"/>
      <c r="P22" s="3700"/>
      <c r="Q22" s="1352"/>
      <c r="R22" s="705"/>
      <c r="S22" s="706"/>
      <c r="T22" s="705"/>
      <c r="U22" s="706"/>
      <c r="V22" s="705"/>
      <c r="W22" s="706"/>
      <c r="X22" s="1355"/>
      <c r="Y22" s="3700"/>
      <c r="Z22" s="1356"/>
      <c r="AA22" s="1353">
        <v>1</v>
      </c>
      <c r="AB22" s="1353">
        <v>1</v>
      </c>
      <c r="AC22" s="1353">
        <v>1</v>
      </c>
    </row>
    <row r="23" spans="1:29" ht="15">
      <c r="A23" s="358"/>
      <c r="B23" s="402" t="s">
        <v>1870</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5"/>
      <c r="M24" s="2709"/>
      <c r="N24" s="2709"/>
      <c r="O24" s="2767"/>
      <c r="P24" s="3700"/>
      <c r="Q24" s="1352"/>
      <c r="R24" s="705"/>
      <c r="S24" s="706"/>
      <c r="T24" s="705"/>
      <c r="U24" s="706"/>
      <c r="V24" s="705"/>
      <c r="W24" s="706"/>
      <c r="X24" s="1355"/>
      <c r="Y24" s="3700"/>
      <c r="Z24" s="1356"/>
      <c r="AA24" s="1353"/>
      <c r="AB24" s="1353"/>
      <c r="AC24" s="1353"/>
    </row>
    <row r="25" spans="1:29" ht="27">
      <c r="A25" s="358"/>
      <c r="B25" s="1131" t="s">
        <v>1871</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5"/>
      <c r="M26" s="2709"/>
      <c r="N26" s="2709"/>
      <c r="O26" s="2767"/>
      <c r="P26" s="3700"/>
      <c r="Q26" s="1352"/>
      <c r="R26" s="705"/>
      <c r="S26" s="706"/>
      <c r="T26" s="705"/>
      <c r="U26" s="706"/>
      <c r="V26" s="705"/>
      <c r="W26" s="706"/>
      <c r="X26" s="1355"/>
      <c r="Y26" s="3700"/>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0"/>
      <c r="M28" s="2711"/>
      <c r="N28" s="2711"/>
      <c r="O28" s="2765"/>
      <c r="P28" s="3700"/>
      <c r="Q28" s="1343"/>
      <c r="R28" s="701"/>
      <c r="S28" s="702"/>
      <c r="T28" s="701"/>
      <c r="U28" s="702"/>
      <c r="V28" s="701"/>
      <c r="W28" s="702"/>
      <c r="X28" s="703"/>
      <c r="Y28" s="3700"/>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0"/>
      <c r="M30" s="2711"/>
      <c r="N30" s="2711"/>
      <c r="O30" s="2765"/>
      <c r="P30" s="3700"/>
      <c r="Q30" s="1343"/>
      <c r="R30" s="701"/>
      <c r="S30" s="702"/>
      <c r="T30" s="701"/>
      <c r="U30" s="702"/>
      <c r="V30" s="701"/>
      <c r="W30" s="702"/>
      <c r="X30" s="703"/>
      <c r="Y30" s="3700"/>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5"/>
      <c r="M33" s="2709"/>
      <c r="N33" s="2709"/>
      <c r="O33" s="2767"/>
      <c r="P33" s="3700"/>
      <c r="Q33" s="1352"/>
      <c r="R33" s="705"/>
      <c r="S33" s="706"/>
      <c r="T33" s="705"/>
      <c r="U33" s="706"/>
      <c r="V33" s="705"/>
      <c r="W33" s="706"/>
      <c r="X33" s="1355"/>
      <c r="Y33" s="3700"/>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23" t="s">
        <v>1695</v>
      </c>
      <c r="Q36" s="1352">
        <f t="shared" si="8"/>
        <v>111</v>
      </c>
      <c r="R36" s="705" t="s">
        <v>14</v>
      </c>
      <c r="S36" s="706">
        <f t="shared" si="10"/>
        <v>100</v>
      </c>
      <c r="T36" s="705" t="s">
        <v>14</v>
      </c>
      <c r="U36" s="706">
        <f t="shared" si="11"/>
        <v>100</v>
      </c>
      <c r="V36" s="705" t="s">
        <v>14</v>
      </c>
      <c r="W36" s="706">
        <f t="shared" si="12"/>
        <v>100</v>
      </c>
      <c r="X36" s="1355"/>
      <c r="Y36" s="3704"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5"/>
      <c r="M39" s="2709"/>
      <c r="N39" s="2709"/>
      <c r="O39" s="2767"/>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5"/>
      <c r="M40" s="2709"/>
      <c r="N40" s="2709"/>
      <c r="O40" s="2767"/>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1876</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5"/>
      <c r="M42" s="2709"/>
      <c r="N42" s="2709"/>
      <c r="O42" s="2767"/>
      <c r="P42" s="3704" t="s">
        <v>1695</v>
      </c>
      <c r="Q42" s="1352" t="str">
        <f t="shared" si="14"/>
        <v>工程地质条件</v>
      </c>
      <c r="R42" s="705" t="s">
        <v>14</v>
      </c>
      <c r="S42" s="706">
        <f t="shared" si="10"/>
        <v>100</v>
      </c>
      <c r="T42" s="705" t="s">
        <v>14</v>
      </c>
      <c r="U42" s="706">
        <f t="shared" si="11"/>
        <v>100</v>
      </c>
      <c r="V42" s="705" t="s">
        <v>14</v>
      </c>
      <c r="W42" s="706">
        <f t="shared" si="12"/>
        <v>100</v>
      </c>
      <c r="X42" s="1355"/>
      <c r="Y42" s="3704"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1843</v>
      </c>
      <c r="B46" s="1980" t="s">
        <v>1878</v>
      </c>
      <c r="C46" s="630" t="s">
        <v>0</v>
      </c>
      <c r="D46" s="432"/>
      <c r="E46" s="433"/>
      <c r="F46" s="434"/>
      <c r="G46" s="435"/>
      <c r="H46" s="436"/>
      <c r="I46" s="433"/>
      <c r="J46" s="436"/>
      <c r="K46" s="714"/>
      <c r="L46" s="2717"/>
      <c r="M46" s="2718"/>
      <c r="N46" s="2709"/>
      <c r="O46" s="2718"/>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1792</v>
      </c>
      <c r="B47" s="631"/>
      <c r="C47" s="440" t="e">
        <f>R48</f>
        <v>#DIV/0!</v>
      </c>
      <c r="D47" s="2315" t="s">
        <v>2137</v>
      </c>
      <c r="E47" s="440" t="e">
        <f>R47</f>
        <v>#DIV/0!</v>
      </c>
      <c r="F47" s="2316"/>
      <c r="G47" s="439" t="e">
        <f>T47</f>
        <v>#DIV/0!</v>
      </c>
      <c r="H47" s="2316"/>
      <c r="I47" s="440" t="e">
        <f>V47</f>
        <v>#DIV/0!</v>
      </c>
      <c r="J47" s="2316"/>
      <c r="K47" s="2318">
        <f>F47+H47+J47</f>
        <v>0</v>
      </c>
      <c r="L47" s="2717"/>
      <c r="M47" s="2718"/>
      <c r="N47" s="2718"/>
      <c r="O47" s="2718"/>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7"/>
      <c r="M48" s="2718"/>
      <c r="N48" s="2718"/>
      <c r="O48" s="2718"/>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1880</v>
      </c>
      <c r="B55" s="633" t="s">
        <v>1881</v>
      </c>
      <c r="C55" s="1981" t="s">
        <v>1882</v>
      </c>
      <c r="D55" s="1982" t="s">
        <v>1883</v>
      </c>
      <c r="E55" s="634" t="s">
        <v>1884</v>
      </c>
      <c r="F55" s="890" t="s">
        <v>1885</v>
      </c>
      <c r="G55" s="3680" t="s">
        <v>1886</v>
      </c>
      <c r="H55" s="3727"/>
      <c r="I55" s="135" t="s">
        <v>1887</v>
      </c>
      <c r="J55" s="1983">
        <f>项目基本情况!F35</f>
        <v>0</v>
      </c>
      <c r="K55" s="1984" t="s">
        <v>1888</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1889</v>
      </c>
      <c r="B56" s="637" t="e">
        <f>C48</f>
        <v>#DIV/0!</v>
      </c>
      <c r="C56" s="638">
        <v>1</v>
      </c>
      <c r="D56" s="944">
        <v>1</v>
      </c>
      <c r="E56" s="638">
        <f>'数据-汇总表'!E8+'数据-汇总表'!E9</f>
        <v>27202.300000000003</v>
      </c>
      <c r="F56" s="886" t="e">
        <f t="shared" ref="F56:F64" si="15">ROUND(B56*E56/10000,0)</f>
        <v>#DIV/0!</v>
      </c>
      <c r="G56" s="3679"/>
      <c r="H56" s="3697"/>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1890</v>
      </c>
      <c r="B57" s="218" t="e">
        <f>ROUND($C$48*C57*D57,0)</f>
        <v>#DIV/0!</v>
      </c>
      <c r="C57" s="171">
        <f t="shared" ref="C57:C64" si="16">IF($C$55="北京市系数",I57,J57)</f>
        <v>0</v>
      </c>
      <c r="D57" s="945">
        <v>0.25</v>
      </c>
      <c r="E57" s="642"/>
      <c r="F57" s="886" t="e">
        <f t="shared" si="15"/>
        <v>#DIV/0!</v>
      </c>
      <c r="G57" s="2999" t="s">
        <v>1891</v>
      </c>
      <c r="H57" s="887">
        <f>项目基本情况!B37</f>
        <v>0</v>
      </c>
      <c r="I57" s="891">
        <f>SUMIF(修正!A57:A68,H57,修正!B57:B68)</f>
        <v>0</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1892</v>
      </c>
      <c r="B58" s="218" t="e">
        <f t="shared" ref="B58:B64" si="17">ROUND($C$48*C58*D58,0)</f>
        <v>#DIV/0!</v>
      </c>
      <c r="C58" s="171">
        <f t="shared" si="16"/>
        <v>0</v>
      </c>
      <c r="D58" s="945">
        <v>0.25</v>
      </c>
      <c r="E58" s="642"/>
      <c r="F58" s="886" t="e">
        <f t="shared" si="15"/>
        <v>#DIV/0!</v>
      </c>
      <c r="G58" s="3000"/>
      <c r="H58" s="887">
        <f>项目基本情况!B37</f>
        <v>0</v>
      </c>
      <c r="I58" s="891">
        <f>SUMIF(修正!A57:A68,H58,修正!C57:C68)</f>
        <v>0</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1893</v>
      </c>
      <c r="B59" s="218" t="e">
        <f t="shared" si="17"/>
        <v>#DIV/0!</v>
      </c>
      <c r="C59" s="171">
        <f t="shared" si="16"/>
        <v>0</v>
      </c>
      <c r="D59" s="945">
        <v>0.25</v>
      </c>
      <c r="E59" s="642"/>
      <c r="F59" s="886" t="e">
        <f t="shared" si="15"/>
        <v>#DIV/0!</v>
      </c>
      <c r="G59" s="3000"/>
      <c r="H59" s="887">
        <f>项目基本情况!B37</f>
        <v>0</v>
      </c>
      <c r="I59" s="891">
        <f>SUMIF(修正!A57:A68,H59,修正!D57:D68)</f>
        <v>0</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1894</v>
      </c>
      <c r="B60" s="218" t="e">
        <f t="shared" si="17"/>
        <v>#DIV/0!</v>
      </c>
      <c r="C60" s="171">
        <f t="shared" si="16"/>
        <v>0</v>
      </c>
      <c r="D60" s="945">
        <v>0.25</v>
      </c>
      <c r="E60" s="217">
        <f>'数据-汇总表'!E11</f>
        <v>0</v>
      </c>
      <c r="F60" s="886" t="e">
        <f t="shared" si="15"/>
        <v>#DIV/0!</v>
      </c>
      <c r="G60" s="1985" t="s">
        <v>1895</v>
      </c>
      <c r="H60" s="887">
        <f>项目基本情况!C37</f>
        <v>0</v>
      </c>
      <c r="I60" s="891">
        <f>SUMIF(修正!A57:A68,H60,修正!E57:E68)</f>
        <v>0</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1900</v>
      </c>
      <c r="B63" s="218" t="e">
        <f t="shared" si="17"/>
        <v>#DIV/0!</v>
      </c>
      <c r="C63" s="171">
        <f t="shared" si="16"/>
        <v>0</v>
      </c>
      <c r="D63" s="945">
        <v>0.25</v>
      </c>
      <c r="E63" s="217">
        <f>'数据-汇总表'!E14</f>
        <v>0</v>
      </c>
      <c r="F63" s="886" t="e">
        <f t="shared" si="15"/>
        <v>#DIV/0!</v>
      </c>
      <c r="G63" s="1985" t="s">
        <v>1891</v>
      </c>
      <c r="H63" s="887">
        <f>项目基本情况!B37</f>
        <v>0</v>
      </c>
      <c r="I63" s="891">
        <f>SUMIF(修正!A57:A68,H63,修正!G57:G68)</f>
        <v>0</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1901</v>
      </c>
      <c r="B64" s="218" t="e">
        <f t="shared" si="17"/>
        <v>#DIV/0!</v>
      </c>
      <c r="C64" s="171">
        <f t="shared" si="16"/>
        <v>0</v>
      </c>
      <c r="D64" s="945">
        <v>0.25</v>
      </c>
      <c r="E64" s="217">
        <f>'数据-汇总表'!E15</f>
        <v>0</v>
      </c>
      <c r="F64" s="886" t="e">
        <f t="shared" si="15"/>
        <v>#DIV/0!</v>
      </c>
      <c r="G64" s="1986" t="s">
        <v>1895</v>
      </c>
      <c r="H64" s="897">
        <f>项目基本情况!C37</f>
        <v>0</v>
      </c>
      <c r="I64" s="893">
        <f>SUMIF(修正!A57:A68,H64,修正!G57:G68)</f>
        <v>0</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1902</v>
      </c>
      <c r="B65" s="644" t="s">
        <v>22</v>
      </c>
      <c r="C65" s="644" t="s">
        <v>23</v>
      </c>
      <c r="D65" s="644" t="s">
        <v>392</v>
      </c>
      <c r="E65" s="644">
        <f>IF(B46="楼面地价",SUM(E56:E64),'数据-汇总表'!D3)</f>
        <v>27202.300000000003</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18"/>
      <c r="Q67" s="2718"/>
      <c r="R67" s="2718"/>
      <c r="S67" s="2718"/>
      <c r="T67" s="2718"/>
      <c r="U67" s="2718"/>
      <c r="V67" s="2718"/>
      <c r="W67" s="2718"/>
      <c r="X67" s="2718"/>
      <c r="Y67" s="2718"/>
      <c r="Z67" s="2718"/>
      <c r="AA67" s="2718"/>
      <c r="AB67" s="2718"/>
      <c r="AC67" s="2718"/>
    </row>
    <row r="68" spans="1:29" ht="21.75" thickBot="1">
      <c r="A68" s="694" t="s">
        <v>1797</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7" t="s">
        <v>1903</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69"/>
      <c r="Q69" s="2734"/>
      <c r="R69" s="2734"/>
      <c r="S69" s="2734"/>
      <c r="T69" s="2734"/>
      <c r="U69" s="2734"/>
      <c r="V69" s="2734"/>
      <c r="W69" s="2734"/>
      <c r="X69" s="2734"/>
      <c r="Y69" s="2734"/>
      <c r="Z69" s="2734"/>
      <c r="AA69" s="2734"/>
      <c r="AB69" s="2734"/>
      <c r="AC69" s="2734"/>
    </row>
    <row r="70" spans="1:29" s="108" customFormat="1" ht="30" customHeight="1">
      <c r="A70" s="1988"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2"/>
      <c r="Q70" s="2654"/>
      <c r="R70" s="2654"/>
      <c r="S70" s="2654"/>
      <c r="T70" s="2654"/>
      <c r="U70" s="2654"/>
      <c r="V70" s="2654"/>
      <c r="W70" s="2654"/>
      <c r="X70" s="2654"/>
      <c r="Y70" s="2654"/>
      <c r="Z70" s="2654"/>
      <c r="AA70" s="2654"/>
      <c r="AB70" s="2654"/>
      <c r="AC70" s="2654"/>
    </row>
    <row r="71" spans="1:29" s="108" customFormat="1" ht="15.75" thickBot="1">
      <c r="A71" s="464" t="s">
        <v>1715</v>
      </c>
      <c r="B71" s="465"/>
      <c r="C71" s="466"/>
      <c r="D71" s="467"/>
      <c r="E71" s="467"/>
      <c r="F71" s="467"/>
      <c r="G71" s="467"/>
      <c r="H71" s="467"/>
      <c r="I71" s="467"/>
      <c r="J71" s="467"/>
      <c r="K71" s="467"/>
      <c r="L71" s="467"/>
      <c r="M71" s="468"/>
      <c r="N71" s="467"/>
      <c r="O71" s="943"/>
      <c r="P71" s="2732"/>
      <c r="Q71" s="2732"/>
      <c r="R71" s="2654"/>
      <c r="S71" s="2654"/>
      <c r="T71" s="2654"/>
      <c r="U71" s="2654"/>
      <c r="V71" s="2654"/>
      <c r="W71" s="2654"/>
      <c r="X71" s="2654"/>
      <c r="Y71" s="2654"/>
      <c r="Z71" s="2654"/>
      <c r="AA71" s="2654"/>
      <c r="AB71" s="2654"/>
      <c r="AC71" s="2654"/>
    </row>
    <row r="72" spans="1:29" s="108" customFormat="1" ht="15">
      <c r="A72" s="470" t="s">
        <v>1680</v>
      </c>
      <c r="B72" s="459"/>
      <c r="C72" s="471" t="s">
        <v>1775</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1718</v>
      </c>
      <c r="B74" s="477" t="s">
        <v>1684</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1687</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1689</v>
      </c>
      <c r="B87" s="477" t="s">
        <v>1719</v>
      </c>
      <c r="C87" s="522" t="s">
        <v>1720</v>
      </c>
      <c r="D87" s="522" t="s">
        <v>1721</v>
      </c>
      <c r="E87" s="522" t="s">
        <v>1722</v>
      </c>
      <c r="F87" s="522" t="s">
        <v>1723</v>
      </c>
      <c r="G87" s="522" t="s">
        <v>1724</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1905</v>
      </c>
      <c r="C89" s="527" t="s">
        <v>1720</v>
      </c>
      <c r="D89" s="527" t="s">
        <v>1721</v>
      </c>
      <c r="E89" s="527" t="s">
        <v>1722</v>
      </c>
      <c r="F89" s="527" t="s">
        <v>1723</v>
      </c>
      <c r="G89" s="527" t="s">
        <v>1724</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1820</v>
      </c>
      <c r="C91" s="527" t="s">
        <v>1720</v>
      </c>
      <c r="D91" s="527" t="s">
        <v>1721</v>
      </c>
      <c r="E91" s="527" t="s">
        <v>1722</v>
      </c>
      <c r="F91" s="527" t="s">
        <v>1723</v>
      </c>
      <c r="G91" s="527" t="s">
        <v>1724</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1725</v>
      </c>
      <c r="C93" s="527" t="s">
        <v>1720</v>
      </c>
      <c r="D93" s="527" t="s">
        <v>1721</v>
      </c>
      <c r="E93" s="527" t="s">
        <v>1722</v>
      </c>
      <c r="F93" s="527" t="s">
        <v>1723</v>
      </c>
      <c r="G93" s="527" t="s">
        <v>1724</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1814</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1872</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1913</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1914</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1915</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1916</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58" activeCellId="1" sqref="L14 Q5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2708"/>
      <c r="M4" s="2709"/>
      <c r="N4" s="2709"/>
      <c r="O4" s="2709"/>
      <c r="P4" s="3684" t="s">
        <v>1774</v>
      </c>
      <c r="Q4" s="3685"/>
      <c r="R4" s="3667" t="s">
        <v>1770</v>
      </c>
      <c r="S4" s="3668"/>
      <c r="T4" s="3667" t="s">
        <v>1771</v>
      </c>
      <c r="U4" s="3668"/>
      <c r="V4" s="3692" t="s">
        <v>1772</v>
      </c>
      <c r="W4" s="3692"/>
      <c r="X4" s="1355"/>
      <c r="Y4" s="3667" t="s">
        <v>1774</v>
      </c>
      <c r="Z4" s="3668"/>
      <c r="AA4" s="3662" t="s">
        <v>1770</v>
      </c>
      <c r="AB4" s="3663" t="s">
        <v>1771</v>
      </c>
      <c r="AC4" s="3662" t="s">
        <v>1772</v>
      </c>
    </row>
    <row r="5" spans="1:29" ht="15">
      <c r="A5" s="358"/>
      <c r="B5" s="359"/>
      <c r="C5" s="3673" t="s">
        <v>1672</v>
      </c>
      <c r="D5" s="3674"/>
      <c r="E5" s="3671" t="s">
        <v>1673</v>
      </c>
      <c r="F5" s="3672"/>
      <c r="G5" s="3673" t="s">
        <v>1674</v>
      </c>
      <c r="H5" s="3674"/>
      <c r="I5" s="3673" t="s">
        <v>1675</v>
      </c>
      <c r="J5" s="3674"/>
      <c r="K5" s="559"/>
      <c r="L5" s="2708"/>
      <c r="M5" s="2709"/>
      <c r="N5" s="2709"/>
      <c r="O5" s="2709"/>
      <c r="P5" s="3686"/>
      <c r="Q5" s="3687"/>
      <c r="R5" s="3669"/>
      <c r="S5" s="3670"/>
      <c r="T5" s="3669"/>
      <c r="U5" s="3670"/>
      <c r="V5" s="3692"/>
      <c r="W5" s="3692"/>
      <c r="X5" s="1355"/>
      <c r="Y5" s="3669"/>
      <c r="Z5" s="3670"/>
      <c r="AA5" s="3663"/>
      <c r="AB5" s="3663"/>
      <c r="AC5" s="3663"/>
    </row>
    <row r="6" spans="1:29" ht="15.75" thickBot="1">
      <c r="A6" s="360"/>
      <c r="B6" s="361"/>
      <c r="C6" s="3728" t="s">
        <v>1918</v>
      </c>
      <c r="D6" s="3729"/>
      <c r="E6" s="3730" t="s">
        <v>1918</v>
      </c>
      <c r="F6" s="3731"/>
      <c r="G6" s="3728" t="s">
        <v>1918</v>
      </c>
      <c r="H6" s="3729"/>
      <c r="I6" s="3728" t="s">
        <v>1918</v>
      </c>
      <c r="J6" s="3729"/>
      <c r="K6" s="559" t="s">
        <v>1677</v>
      </c>
      <c r="L6" s="2708"/>
      <c r="M6" s="2709"/>
      <c r="N6" s="2709"/>
      <c r="O6" s="2709"/>
      <c r="P6" s="3688"/>
      <c r="Q6" s="3689"/>
      <c r="R6" s="3669"/>
      <c r="S6" s="3670"/>
      <c r="T6" s="3690"/>
      <c r="U6" s="3691"/>
      <c r="V6" s="3692"/>
      <c r="W6" s="3692"/>
      <c r="X6" s="1355"/>
      <c r="Y6" s="3690"/>
      <c r="Z6" s="3691"/>
      <c r="AA6" s="3664"/>
      <c r="AB6" s="3664"/>
      <c r="AC6" s="3664"/>
    </row>
    <row r="7" spans="1:29" s="108" customFormat="1" ht="15.75" thickBot="1">
      <c r="A7" s="362" t="s">
        <v>1678</v>
      </c>
      <c r="B7" s="363"/>
      <c r="C7" s="364">
        <f>'数据-取费表'!B2</f>
        <v>45160</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665" t="s">
        <v>1679</v>
      </c>
      <c r="Q7" s="3693"/>
      <c r="R7" s="701" t="s">
        <v>14</v>
      </c>
      <c r="S7" s="702">
        <f t="shared" ref="S7:S15" si="0">F7</f>
        <v>0</v>
      </c>
      <c r="T7" s="701" t="s">
        <v>14</v>
      </c>
      <c r="U7" s="702">
        <f t="shared" ref="U7:U15" si="1">H7</f>
        <v>0</v>
      </c>
      <c r="V7" s="701" t="s">
        <v>14</v>
      </c>
      <c r="W7" s="702">
        <f t="shared" ref="W7:W15" si="2">J7</f>
        <v>0</v>
      </c>
      <c r="X7" s="703"/>
      <c r="Y7" s="3665" t="s">
        <v>1679</v>
      </c>
      <c r="Z7" s="3666"/>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65" t="s">
        <v>1682</v>
      </c>
      <c r="Q8" s="3666"/>
      <c r="R8" s="701" t="s">
        <v>14</v>
      </c>
      <c r="S8" s="702">
        <f t="shared" si="0"/>
        <v>0</v>
      </c>
      <c r="T8" s="701" t="s">
        <v>14</v>
      </c>
      <c r="U8" s="702">
        <f t="shared" si="1"/>
        <v>0</v>
      </c>
      <c r="V8" s="701" t="s">
        <v>14</v>
      </c>
      <c r="W8" s="702">
        <f t="shared" si="2"/>
        <v>0</v>
      </c>
      <c r="X8" s="703"/>
      <c r="Y8" s="3665" t="s">
        <v>1682</v>
      </c>
      <c r="Z8" s="3666"/>
      <c r="AA8" s="704" t="e">
        <f t="shared" ref="AA8:AA40" si="3">D8/F8</f>
        <v>#DIV/0!</v>
      </c>
      <c r="AB8" s="704" t="e">
        <f t="shared" ref="AB8:AB40" si="4">D8/H8</f>
        <v>#DIV/0!</v>
      </c>
      <c r="AC8" s="704" t="e">
        <f t="shared" ref="AC8:AC40" si="5">D8/J8</f>
        <v>#DIV/0!</v>
      </c>
    </row>
    <row r="9" spans="1:29" s="108" customFormat="1">
      <c r="A9" s="369" t="s">
        <v>1683</v>
      </c>
      <c r="B9" s="63" t="s">
        <v>1684</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697" t="s">
        <v>1685</v>
      </c>
      <c r="Q9" s="1343" t="str">
        <f t="shared" ref="Q9:Q15" si="6">B9</f>
        <v>用途</v>
      </c>
      <c r="R9" s="701" t="s">
        <v>14</v>
      </c>
      <c r="S9" s="702">
        <f t="shared" si="0"/>
        <v>100</v>
      </c>
      <c r="T9" s="701" t="s">
        <v>14</v>
      </c>
      <c r="U9" s="702">
        <f t="shared" si="1"/>
        <v>100</v>
      </c>
      <c r="V9" s="701" t="s">
        <v>14</v>
      </c>
      <c r="W9" s="702">
        <f t="shared" si="2"/>
        <v>100</v>
      </c>
      <c r="X9" s="703"/>
      <c r="Y9" s="3609"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134</v>
      </c>
      <c r="G10" s="383"/>
      <c r="H10" s="127">
        <f>ROUND(100/'数据-取费表'!G16,0)</f>
        <v>134</v>
      </c>
      <c r="I10" s="383"/>
      <c r="J10" s="127">
        <f>ROUND(100/'数据-取费表'!G16,0)</f>
        <v>134</v>
      </c>
      <c r="K10" s="620"/>
      <c r="L10" s="2712"/>
      <c r="M10" s="2713"/>
      <c r="N10" s="2713"/>
      <c r="O10" s="2766"/>
      <c r="P10" s="3697"/>
      <c r="Q10" s="1343" t="str">
        <f t="shared" si="6"/>
        <v>土地使用年限（年）</v>
      </c>
      <c r="R10" s="701" t="s">
        <v>14</v>
      </c>
      <c r="S10" s="702">
        <f t="shared" si="0"/>
        <v>134</v>
      </c>
      <c r="T10" s="701" t="s">
        <v>14</v>
      </c>
      <c r="U10" s="702">
        <f t="shared" si="1"/>
        <v>134</v>
      </c>
      <c r="V10" s="701" t="s">
        <v>14</v>
      </c>
      <c r="W10" s="702">
        <f t="shared" si="2"/>
        <v>134</v>
      </c>
      <c r="X10" s="703"/>
      <c r="Y10" s="3609"/>
      <c r="Z10" s="52" t="str">
        <f t="shared" si="7"/>
        <v>土地使用年限（年）</v>
      </c>
      <c r="AA10" s="704">
        <f t="shared" si="3"/>
        <v>0.74626865671641796</v>
      </c>
      <c r="AB10" s="704">
        <f t="shared" si="4"/>
        <v>0.74626865671641796</v>
      </c>
      <c r="AC10" s="704">
        <f t="shared" si="5"/>
        <v>0.74626865671641796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15">
      <c r="A15" s="391" t="s">
        <v>1689</v>
      </c>
      <c r="B15" s="577" t="s">
        <v>1919</v>
      </c>
      <c r="C15" s="1969"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99" t="s">
        <v>1690</v>
      </c>
      <c r="Q15" s="1352" t="str">
        <f t="shared" si="6"/>
        <v>产业集聚程度</v>
      </c>
      <c r="R15" s="705" t="s">
        <v>14</v>
      </c>
      <c r="S15" s="706">
        <f t="shared" si="0"/>
        <v>100</v>
      </c>
      <c r="T15" s="705" t="s">
        <v>14</v>
      </c>
      <c r="U15" s="706">
        <f t="shared" si="1"/>
        <v>100</v>
      </c>
      <c r="V15" s="705" t="s">
        <v>14</v>
      </c>
      <c r="W15" s="706">
        <f t="shared" si="2"/>
        <v>100</v>
      </c>
      <c r="X15" s="1355"/>
      <c r="Y15" s="3699"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5"/>
      <c r="M16" s="2709"/>
      <c r="N16" s="2709"/>
      <c r="O16" s="2767"/>
      <c r="P16" s="3700"/>
      <c r="Q16" s="1352"/>
      <c r="R16" s="705"/>
      <c r="S16" s="706"/>
      <c r="T16" s="705"/>
      <c r="U16" s="706"/>
      <c r="V16" s="705"/>
      <c r="W16" s="706"/>
      <c r="X16" s="1355"/>
      <c r="Y16" s="3700"/>
      <c r="Z16" s="1356"/>
      <c r="AA16" s="1353">
        <v>1</v>
      </c>
      <c r="AB16" s="1353">
        <v>1</v>
      </c>
      <c r="AC16" s="1353">
        <v>1</v>
      </c>
    </row>
    <row r="17" spans="1:29" ht="15">
      <c r="A17" s="379"/>
      <c r="B17" s="579" t="s">
        <v>1832</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5"/>
      <c r="M18" s="2709"/>
      <c r="N18" s="2709"/>
      <c r="O18" s="2767"/>
      <c r="P18" s="3700"/>
      <c r="Q18" s="1352"/>
      <c r="R18" s="705"/>
      <c r="S18" s="706"/>
      <c r="T18" s="705"/>
      <c r="U18" s="706"/>
      <c r="V18" s="705"/>
      <c r="W18" s="706"/>
      <c r="X18" s="1355"/>
      <c r="Y18" s="3700"/>
      <c r="Z18" s="1356"/>
      <c r="AA18" s="1353">
        <v>1</v>
      </c>
      <c r="AB18" s="1353">
        <v>1</v>
      </c>
      <c r="AC18" s="1353">
        <v>1</v>
      </c>
    </row>
    <row r="19" spans="1:29" ht="15">
      <c r="A19" s="379"/>
      <c r="B19" s="579" t="s">
        <v>1870</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5"/>
      <c r="M20" s="2709"/>
      <c r="N20" s="2709"/>
      <c r="O20" s="2767"/>
      <c r="P20" s="3700"/>
      <c r="Q20" s="1352"/>
      <c r="R20" s="705"/>
      <c r="S20" s="706"/>
      <c r="T20" s="705"/>
      <c r="U20" s="706"/>
      <c r="V20" s="705"/>
      <c r="W20" s="706"/>
      <c r="X20" s="1355"/>
      <c r="Y20" s="3700"/>
      <c r="Z20" s="1356"/>
      <c r="AA20" s="1353"/>
      <c r="AB20" s="1353"/>
      <c r="AC20" s="1353"/>
    </row>
    <row r="21" spans="1:29" ht="15">
      <c r="A21" s="358"/>
      <c r="B21" s="579" t="s">
        <v>1920</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5"/>
      <c r="M22" s="2709"/>
      <c r="N22" s="2709"/>
      <c r="O22" s="2767"/>
      <c r="P22" s="3700"/>
      <c r="Q22" s="1352"/>
      <c r="R22" s="705"/>
      <c r="S22" s="706"/>
      <c r="T22" s="705"/>
      <c r="U22" s="706"/>
      <c r="V22" s="705"/>
      <c r="W22" s="706"/>
      <c r="X22" s="1355"/>
      <c r="Y22" s="3700"/>
      <c r="Z22" s="1356"/>
      <c r="AA22" s="1353">
        <v>1</v>
      </c>
      <c r="AB22" s="1353">
        <v>1</v>
      </c>
      <c r="AC22" s="1353">
        <v>1</v>
      </c>
    </row>
    <row r="23" spans="1:29" s="108" customFormat="1" ht="15">
      <c r="A23" s="597"/>
      <c r="B23" s="581" t="s">
        <v>1777</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0"/>
      <c r="M24" s="2711"/>
      <c r="N24" s="2711"/>
      <c r="O24" s="2765"/>
      <c r="P24" s="3700"/>
      <c r="Q24" s="1343"/>
      <c r="R24" s="701"/>
      <c r="S24" s="702"/>
      <c r="T24" s="701"/>
      <c r="U24" s="702"/>
      <c r="V24" s="701"/>
      <c r="W24" s="702"/>
      <c r="X24" s="703"/>
      <c r="Y24" s="3700"/>
      <c r="Z24" s="52"/>
      <c r="AA24" s="704">
        <v>1</v>
      </c>
      <c r="AB24" s="704">
        <v>1</v>
      </c>
      <c r="AC24" s="704">
        <v>1</v>
      </c>
    </row>
    <row r="25" spans="1:29" s="108" customFormat="1" ht="15">
      <c r="A25" s="597"/>
      <c r="B25" s="581" t="s">
        <v>1778</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0"/>
      <c r="M26" s="2711"/>
      <c r="N26" s="2711"/>
      <c r="O26" s="2765"/>
      <c r="P26" s="3700"/>
      <c r="Q26" s="1343"/>
      <c r="R26" s="701"/>
      <c r="S26" s="702"/>
      <c r="T26" s="701"/>
      <c r="U26" s="702"/>
      <c r="V26" s="701"/>
      <c r="W26" s="702"/>
      <c r="X26" s="703"/>
      <c r="Y26" s="3700"/>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5"/>
      <c r="M29" s="2709"/>
      <c r="N29" s="2709"/>
      <c r="O29" s="2767"/>
      <c r="P29" s="3700"/>
      <c r="Q29" s="1352"/>
      <c r="R29" s="705"/>
      <c r="S29" s="706"/>
      <c r="T29" s="705"/>
      <c r="U29" s="706"/>
      <c r="V29" s="705"/>
      <c r="W29" s="706"/>
      <c r="X29" s="1355"/>
      <c r="Y29" s="3700"/>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23" t="s">
        <v>1695</v>
      </c>
      <c r="Q32" s="1352">
        <f t="shared" si="8"/>
        <v>111</v>
      </c>
      <c r="R32" s="705" t="s">
        <v>14</v>
      </c>
      <c r="S32" s="706">
        <f t="shared" si="10"/>
        <v>100</v>
      </c>
      <c r="T32" s="705" t="s">
        <v>14</v>
      </c>
      <c r="U32" s="706">
        <f t="shared" si="11"/>
        <v>100</v>
      </c>
      <c r="V32" s="705" t="s">
        <v>14</v>
      </c>
      <c r="W32" s="706">
        <f t="shared" si="12"/>
        <v>100</v>
      </c>
      <c r="X32" s="1355"/>
      <c r="Y32" s="3704" t="s">
        <v>1695</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5"/>
      <c r="M35" s="2709"/>
      <c r="N35" s="2709"/>
      <c r="O35" s="2767"/>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5"/>
      <c r="M37" s="2709"/>
      <c r="N37" s="2709"/>
      <c r="O37" s="2767"/>
      <c r="P37" s="3704" t="s">
        <v>1695</v>
      </c>
      <c r="Q37" s="1352" t="str">
        <f t="shared" si="14"/>
        <v>工程地质条件</v>
      </c>
      <c r="R37" s="705" t="s">
        <v>14</v>
      </c>
      <c r="S37" s="706">
        <f t="shared" si="10"/>
        <v>100</v>
      </c>
      <c r="T37" s="705" t="s">
        <v>14</v>
      </c>
      <c r="U37" s="706">
        <f t="shared" si="11"/>
        <v>100</v>
      </c>
      <c r="V37" s="705" t="s">
        <v>14</v>
      </c>
      <c r="W37" s="706">
        <f t="shared" si="12"/>
        <v>100</v>
      </c>
      <c r="X37" s="1355"/>
      <c r="Y37" s="3704"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1843</v>
      </c>
      <c r="B41" s="1980" t="s">
        <v>1921</v>
      </c>
      <c r="C41" s="630" t="s">
        <v>0</v>
      </c>
      <c r="D41" s="432"/>
      <c r="E41" s="433"/>
      <c r="F41" s="434"/>
      <c r="G41" s="435"/>
      <c r="H41" s="436"/>
      <c r="I41" s="433"/>
      <c r="J41" s="436"/>
      <c r="K41" s="714"/>
      <c r="L41" s="2717"/>
      <c r="M41" s="2709"/>
      <c r="N41" s="2709"/>
      <c r="O41" s="2718"/>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1792</v>
      </c>
      <c r="B42" s="631"/>
      <c r="C42" s="440" t="e">
        <f>R43</f>
        <v>#DIV/0!</v>
      </c>
      <c r="D42" s="2315" t="s">
        <v>2137</v>
      </c>
      <c r="E42" s="440" t="e">
        <f>R42</f>
        <v>#DIV/0!</v>
      </c>
      <c r="F42" s="2316"/>
      <c r="G42" s="439" t="e">
        <f>T42</f>
        <v>#DIV/0!</v>
      </c>
      <c r="H42" s="2316"/>
      <c r="I42" s="440" t="e">
        <f>V42</f>
        <v>#DIV/0!</v>
      </c>
      <c r="J42" s="2316"/>
      <c r="K42" s="2318">
        <f>F42+H42+J42</f>
        <v>0</v>
      </c>
      <c r="L42" s="2717"/>
      <c r="M42" s="2709"/>
      <c r="N42" s="2709"/>
      <c r="O42" s="2718"/>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7"/>
      <c r="M43" s="2709"/>
      <c r="N43" s="2709"/>
      <c r="O43" s="2718"/>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1880</v>
      </c>
      <c r="B50" s="633" t="s">
        <v>1881</v>
      </c>
      <c r="C50" s="1981" t="s">
        <v>1882</v>
      </c>
      <c r="D50" s="1982" t="s">
        <v>1883</v>
      </c>
      <c r="E50" s="634" t="s">
        <v>1884</v>
      </c>
      <c r="F50" s="635" t="s">
        <v>1885</v>
      </c>
      <c r="G50" s="3680" t="s">
        <v>1886</v>
      </c>
      <c r="H50" s="3727"/>
      <c r="I50" s="1356" t="s">
        <v>1922</v>
      </c>
      <c r="J50" s="1356">
        <f>项目基本情况!F35</f>
        <v>0</v>
      </c>
      <c r="K50" s="1984" t="s">
        <v>1888</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1889</v>
      </c>
      <c r="B51" s="637" t="e">
        <f>C43</f>
        <v>#DIV/0!</v>
      </c>
      <c r="C51" s="638">
        <v>1</v>
      </c>
      <c r="D51" s="944">
        <v>1</v>
      </c>
      <c r="E51" s="638">
        <f>'数据-汇总表'!E8+'数据-汇总表'!E9</f>
        <v>27202.300000000003</v>
      </c>
      <c r="F51" s="639" t="e">
        <f t="shared" ref="F51:F60" si="15">ROUND(B51*E51/10000,0)</f>
        <v>#DIV/0!</v>
      </c>
      <c r="G51" s="3679"/>
      <c r="H51" s="3697"/>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1890</v>
      </c>
      <c r="B52" s="218" t="e">
        <f>ROUND($C$43*C52*D52,0)</f>
        <v>#DIV/0!</v>
      </c>
      <c r="C52" s="171">
        <f t="shared" ref="C52:C60" si="16">IF($C$50="北京市系数",I52,J52)</f>
        <v>0</v>
      </c>
      <c r="D52" s="945">
        <v>0.25</v>
      </c>
      <c r="E52" s="642"/>
      <c r="F52" s="639" t="e">
        <f t="shared" si="15"/>
        <v>#DIV/0!</v>
      </c>
      <c r="G52" s="2999" t="s">
        <v>1891</v>
      </c>
      <c r="H52" s="887">
        <f>项目基本情况!B37</f>
        <v>0</v>
      </c>
      <c r="I52" s="773">
        <f>SUMIF(修正!A57:A68,H52,修正!B57:B68)</f>
        <v>0</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1892</v>
      </c>
      <c r="B53" s="218" t="e">
        <f t="shared" ref="B53:B60" si="17">ROUND($C$43*C53*D53,0)</f>
        <v>#DIV/0!</v>
      </c>
      <c r="C53" s="171">
        <f t="shared" si="16"/>
        <v>0</v>
      </c>
      <c r="D53" s="945">
        <v>0.25</v>
      </c>
      <c r="E53" s="642"/>
      <c r="F53" s="639" t="e">
        <f t="shared" si="15"/>
        <v>#DIV/0!</v>
      </c>
      <c r="G53" s="3000"/>
      <c r="H53" s="887">
        <f>项目基本情况!B37</f>
        <v>0</v>
      </c>
      <c r="I53" s="773">
        <f>SUMIF(修正!A57:A68,H53,修正!C57:C68)</f>
        <v>0</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1893</v>
      </c>
      <c r="B54" s="218" t="e">
        <f t="shared" si="17"/>
        <v>#DIV/0!</v>
      </c>
      <c r="C54" s="171">
        <f t="shared" si="16"/>
        <v>0</v>
      </c>
      <c r="D54" s="945">
        <v>0.25</v>
      </c>
      <c r="E54" s="642"/>
      <c r="F54" s="639" t="e">
        <f t="shared" si="15"/>
        <v>#DIV/0!</v>
      </c>
      <c r="G54" s="3000"/>
      <c r="H54" s="887">
        <f>项目基本情况!B37</f>
        <v>0</v>
      </c>
      <c r="I54" s="773">
        <f>SUMIF(修正!A57:A68,H54,修正!D57:D68)</f>
        <v>0</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1"/>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1894</v>
      </c>
      <c r="B56" s="218" t="e">
        <f t="shared" si="17"/>
        <v>#DIV/0!</v>
      </c>
      <c r="C56" s="171">
        <f t="shared" si="16"/>
        <v>0</v>
      </c>
      <c r="D56" s="945">
        <v>0.25</v>
      </c>
      <c r="E56" s="217">
        <f>'数据-汇总表'!E11</f>
        <v>0</v>
      </c>
      <c r="F56" s="639" t="e">
        <f t="shared" si="15"/>
        <v>#DIV/0!</v>
      </c>
      <c r="G56" s="1985" t="s">
        <v>1895</v>
      </c>
      <c r="H56" s="887">
        <f>项目基本情况!C37</f>
        <v>0</v>
      </c>
      <c r="I56" s="773">
        <f>SUMIF(修正!A57:A68,H56,修正!E57:E68)</f>
        <v>0</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1900</v>
      </c>
      <c r="B59" s="218" t="e">
        <f t="shared" si="17"/>
        <v>#DIV/0!</v>
      </c>
      <c r="C59" s="171">
        <f t="shared" si="16"/>
        <v>0</v>
      </c>
      <c r="D59" s="945">
        <v>0.25</v>
      </c>
      <c r="E59" s="217">
        <f>'数据-汇总表'!E14</f>
        <v>0</v>
      </c>
      <c r="F59" s="639" t="e">
        <f t="shared" si="15"/>
        <v>#DIV/0!</v>
      </c>
      <c r="G59" s="1985" t="s">
        <v>1891</v>
      </c>
      <c r="H59" s="887">
        <f>项目基本情况!B37</f>
        <v>0</v>
      </c>
      <c r="I59" s="773">
        <f>SUMIF(修正!A57:A68,H59,修正!G57:G68)</f>
        <v>0</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1901</v>
      </c>
      <c r="B60" s="218" t="e">
        <f t="shared" si="17"/>
        <v>#DIV/0!</v>
      </c>
      <c r="C60" s="171">
        <f t="shared" si="16"/>
        <v>0</v>
      </c>
      <c r="D60" s="945">
        <v>0.25</v>
      </c>
      <c r="E60" s="217">
        <f>'数据-汇总表'!E15</f>
        <v>0</v>
      </c>
      <c r="F60" s="639" t="e">
        <f t="shared" si="15"/>
        <v>#DIV/0!</v>
      </c>
      <c r="G60" s="1986" t="s">
        <v>1895</v>
      </c>
      <c r="H60" s="897">
        <f>项目基本情况!C37</f>
        <v>0</v>
      </c>
      <c r="I60" s="773">
        <f>SUMIF(修正!A57:A68,H60,修正!G57:G68)</f>
        <v>0</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1902</v>
      </c>
      <c r="B61" s="644" t="s">
        <v>22</v>
      </c>
      <c r="C61" s="644" t="s">
        <v>23</v>
      </c>
      <c r="D61" s="644" t="s">
        <v>392</v>
      </c>
      <c r="E61" s="644">
        <f>IF(B41="楼面地价",SUM(E51:E60),'数据-汇总表'!D3)</f>
        <v>18455.759999999998</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18"/>
      <c r="Q63" s="2718"/>
      <c r="R63" s="2718"/>
      <c r="S63" s="2718"/>
      <c r="T63" s="2718"/>
      <c r="U63" s="2718"/>
      <c r="V63" s="2718"/>
      <c r="W63" s="2718"/>
      <c r="X63" s="2718"/>
      <c r="Y63" s="2718"/>
      <c r="Z63" s="2718"/>
      <c r="AA63" s="2718"/>
      <c r="AB63" s="2718"/>
      <c r="AC63" s="2718"/>
      <c r="AD63" s="2718"/>
      <c r="AE63" s="2718"/>
    </row>
    <row r="64" spans="1:31" ht="21.75" thickBot="1">
      <c r="A64" s="694" t="s">
        <v>1797</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7" t="s">
        <v>1903</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1715</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1680</v>
      </c>
      <c r="B68" s="459"/>
      <c r="C68" s="471" t="s">
        <v>1775</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1718</v>
      </c>
      <c r="B70" s="477" t="s">
        <v>1684</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1687</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1689</v>
      </c>
      <c r="B83" s="477" t="s">
        <v>1828</v>
      </c>
      <c r="C83" s="522" t="s">
        <v>1720</v>
      </c>
      <c r="D83" s="522" t="s">
        <v>1721</v>
      </c>
      <c r="E83" s="522" t="s">
        <v>1722</v>
      </c>
      <c r="F83" s="522" t="s">
        <v>1723</v>
      </c>
      <c r="G83" s="522" t="s">
        <v>1724</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1725</v>
      </c>
      <c r="C85" s="527" t="s">
        <v>1720</v>
      </c>
      <c r="D85" s="527" t="s">
        <v>1721</v>
      </c>
      <c r="E85" s="527" t="s">
        <v>1722</v>
      </c>
      <c r="F85" s="527" t="s">
        <v>1723</v>
      </c>
      <c r="G85" s="527" t="s">
        <v>1724</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1814</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1872</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1913</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1915</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1916</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58" activeCellId="1" sqref="L14 Q58"/>
      <selection pane="bottomLeft" activeCell="Q58" activeCellId="1" sqref="L14 Q5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5" t="s">
        <v>2083</v>
      </c>
      <c r="D1" s="3736"/>
      <c r="E1" s="3736"/>
      <c r="F1" s="3736"/>
      <c r="G1" s="3736"/>
      <c r="H1" s="3736"/>
      <c r="I1" s="3736"/>
      <c r="J1" s="3736"/>
      <c r="K1" s="3736"/>
      <c r="L1" s="3736"/>
      <c r="M1" s="3736"/>
      <c r="N1" s="3736"/>
      <c r="O1" s="3736"/>
      <c r="P1" s="3736"/>
      <c r="Q1" s="3736"/>
      <c r="R1" s="3736"/>
      <c r="S1" s="373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2092</v>
      </c>
      <c r="B17" s="2147"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49"/>
      <c r="E20" s="1341"/>
      <c r="F20" s="983" t="e">
        <f ca="1">SUMIF(INDIRECT("'"&amp;H20&amp;"'"&amp;"!A:A"),"承租人权益价值",INDIRECT("'"&amp;H20&amp;"'"&amp;"!c:c"))</f>
        <v>#REF!</v>
      </c>
      <c r="G20" s="983" t="s">
        <v>2096</v>
      </c>
      <c r="H20" s="2150"/>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5"/>
      <c r="C1" s="2145"/>
      <c r="D1" s="2145"/>
      <c r="E1" s="2145"/>
      <c r="F1" s="2786"/>
      <c r="G1" s="2786"/>
      <c r="H1" s="2786"/>
      <c r="I1" s="2786"/>
      <c r="J1" s="2786"/>
      <c r="K1" s="2786"/>
      <c r="L1" s="2786"/>
      <c r="M1" s="2786"/>
      <c r="N1" s="2786"/>
      <c r="O1" s="2786"/>
      <c r="P1" s="2786"/>
    </row>
    <row r="2" spans="1:16" ht="15.75">
      <c r="A2" s="2143" t="s">
        <v>2072</v>
      </c>
      <c r="B2" s="2595">
        <f ca="1">SUMIF(B6:B13,"&lt;&gt;#ref!",B6:B13)</f>
        <v>18745</v>
      </c>
      <c r="C2" s="2143" t="s">
        <v>2073</v>
      </c>
      <c r="D2" s="2143" t="s">
        <v>2074</v>
      </c>
      <c r="E2" s="2605">
        <f ca="1">SUMIF(E6:E13,"&lt;&gt;#ref!",E6:E13)</f>
        <v>27202.300000000003</v>
      </c>
      <c r="F2" s="2786"/>
      <c r="G2" s="2786"/>
      <c r="H2" s="2786"/>
      <c r="I2" s="2786"/>
      <c r="J2" s="2786"/>
      <c r="K2" s="2786"/>
      <c r="L2" s="2786"/>
      <c r="M2" s="2786"/>
      <c r="N2" s="2786"/>
      <c r="O2" s="2786"/>
      <c r="P2" s="2786"/>
    </row>
    <row r="3" spans="1:16" ht="15.75">
      <c r="A3" s="2143" t="s">
        <v>2075</v>
      </c>
      <c r="B3" s="2595">
        <f ca="1">ROUND(B2*10000/E2,0)</f>
        <v>6891</v>
      </c>
      <c r="C3" s="2143" t="s">
        <v>2081</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2076</v>
      </c>
      <c r="B5" s="2603" t="s">
        <v>2077</v>
      </c>
      <c r="C5" s="2144"/>
      <c r="D5" s="2786"/>
      <c r="E5" s="2604" t="s">
        <v>2078</v>
      </c>
      <c r="F5" s="2786"/>
      <c r="G5" s="2786"/>
      <c r="H5" s="2786"/>
      <c r="I5" s="2786"/>
      <c r="J5" s="2786"/>
      <c r="K5" s="2786"/>
      <c r="L5" s="2786"/>
      <c r="M5" s="2786"/>
      <c r="N5" s="2786"/>
      <c r="O5" s="2786"/>
      <c r="P5" s="2786"/>
    </row>
    <row r="6" spans="1:16" ht="15.75">
      <c r="A6" s="2602" t="s">
        <v>2079</v>
      </c>
      <c r="B6" s="2595">
        <f ca="1">SUMIF(INDIRECT("'"&amp;A6&amp;"'"&amp;"!A:A"),"总价",INDIRECT("'"&amp;A6&amp;"'"&amp;"!B:B"))</f>
        <v>18745</v>
      </c>
      <c r="C6" s="2143" t="s">
        <v>2073</v>
      </c>
      <c r="D6" s="2786"/>
      <c r="E6" s="2605">
        <f ca="1">SUMIF(INDIRECT("'"&amp;A6&amp;"'"&amp;"!C:C"),"建筑面积",INDIRECT("'"&amp;A6&amp;"'"&amp;"!D:D"))</f>
        <v>27202.300000000003</v>
      </c>
      <c r="F6" s="2786"/>
      <c r="G6" s="2786"/>
      <c r="H6" s="2786"/>
      <c r="I6" s="2786"/>
      <c r="J6" s="2786"/>
      <c r="K6" s="2786"/>
      <c r="L6" s="2786"/>
      <c r="M6" s="2786"/>
      <c r="N6" s="2786"/>
      <c r="O6" s="2786"/>
      <c r="P6" s="2786"/>
    </row>
    <row r="7" spans="1:16" ht="15.75">
      <c r="A7" s="2602"/>
      <c r="B7" s="2595" t="e">
        <f ca="1">SUMIF(INDIRECT("'"&amp;A7&amp;"'"&amp;"!A:A"),"总价",INDIRECT("'"&amp;A7&amp;"'"&amp;"!B:B"))</f>
        <v>#REF!</v>
      </c>
      <c r="C7" s="2143" t="s">
        <v>2073</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3" t="s">
        <v>2073</v>
      </c>
      <c r="D8" s="2786"/>
      <c r="E8" s="2605" t="e">
        <f t="shared" ca="1" si="0"/>
        <v>#REF!</v>
      </c>
      <c r="F8" s="2786"/>
      <c r="G8" s="2786"/>
      <c r="H8" s="2786"/>
      <c r="I8" s="2786"/>
      <c r="J8" s="2786"/>
      <c r="K8" s="2786"/>
      <c r="L8" s="2786"/>
      <c r="M8" s="2786"/>
      <c r="N8" s="2786"/>
      <c r="O8" s="2786"/>
      <c r="P8" s="2786"/>
    </row>
    <row r="9" spans="1:16" ht="15.75">
      <c r="A9" s="2602"/>
      <c r="B9" s="2595" t="e">
        <f t="shared" ca="1" si="1"/>
        <v>#REF!</v>
      </c>
      <c r="C9" s="2143" t="s">
        <v>2073</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3" t="s">
        <v>2073</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3" t="s">
        <v>2073</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3" t="s">
        <v>2073</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3" t="s">
        <v>2073</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2587</v>
      </c>
      <c r="B1" s="3065" t="s">
        <v>2588</v>
      </c>
      <c r="C1" s="3065" t="s">
        <v>2589</v>
      </c>
      <c r="D1" s="3065" t="s">
        <v>2590</v>
      </c>
      <c r="E1" s="3065" t="s">
        <v>2591</v>
      </c>
      <c r="F1" s="3065" t="s">
        <v>2592</v>
      </c>
      <c r="G1" s="3065" t="s">
        <v>2593</v>
      </c>
      <c r="H1" s="3065" t="s">
        <v>2594</v>
      </c>
      <c r="I1" s="3065" t="s">
        <v>2595</v>
      </c>
      <c r="J1" s="3065" t="s">
        <v>2596</v>
      </c>
      <c r="K1" s="3065" t="s">
        <v>2597</v>
      </c>
      <c r="L1" s="3065" t="s">
        <v>2598</v>
      </c>
      <c r="M1" s="3066" t="s">
        <v>2599</v>
      </c>
    </row>
    <row r="2" spans="1:13" ht="19.5" customHeight="1">
      <c r="A2" s="3068" t="s">
        <v>2600</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2601</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2602</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2603</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2604</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2605</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2606</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2607</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2608</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2609</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2610</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2611</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2612</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2613</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2614</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2615</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2616</v>
      </c>
      <c r="B18" s="3090"/>
      <c r="C18" s="3091"/>
      <c r="D18" s="3091"/>
      <c r="E18" s="3090"/>
      <c r="F18" s="3091"/>
      <c r="G18" s="3091"/>
    </row>
    <row r="19" spans="1:13" ht="19.5" customHeight="1" thickBot="1">
      <c r="A19" s="3088" t="s">
        <v>2617</v>
      </c>
      <c r="B19" s="3093" t="s">
        <v>2618</v>
      </c>
      <c r="C19" s="3093" t="s">
        <v>2619</v>
      </c>
      <c r="D19" s="3094"/>
      <c r="E19" s="3088" t="s">
        <v>2620</v>
      </c>
      <c r="F19" s="3095"/>
      <c r="G19" s="3095"/>
    </row>
    <row r="20" spans="1:13" ht="19.5" customHeight="1">
      <c r="A20" s="3764" t="s">
        <v>2600</v>
      </c>
      <c r="B20" s="3757" t="s">
        <v>2621</v>
      </c>
      <c r="C20" s="3096" t="s">
        <v>2432</v>
      </c>
      <c r="D20" s="3097"/>
      <c r="E20" s="3098">
        <v>1</v>
      </c>
      <c r="F20" s="3099" t="s">
        <v>2433</v>
      </c>
      <c r="G20" s="3099"/>
    </row>
    <row r="21" spans="1:13" ht="19.5" customHeight="1">
      <c r="A21" s="3765"/>
      <c r="B21" s="3758"/>
      <c r="C21" s="3100" t="s">
        <v>2434</v>
      </c>
      <c r="D21" s="3101"/>
      <c r="E21" s="3102">
        <v>1</v>
      </c>
      <c r="F21" s="3099" t="s">
        <v>2435</v>
      </c>
      <c r="G21" s="3099"/>
    </row>
    <row r="22" spans="1:13" ht="19.5" customHeight="1">
      <c r="A22" s="3765"/>
      <c r="B22" s="3758"/>
      <c r="C22" s="3100" t="s">
        <v>2436</v>
      </c>
      <c r="D22" s="3101"/>
      <c r="E22" s="3102">
        <v>0.9</v>
      </c>
      <c r="F22" s="3099" t="s">
        <v>2437</v>
      </c>
      <c r="G22" s="3099"/>
    </row>
    <row r="23" spans="1:13" ht="19.5" customHeight="1">
      <c r="A23" s="3765"/>
      <c r="B23" s="3758"/>
      <c r="C23" s="3100" t="s">
        <v>2438</v>
      </c>
      <c r="D23" s="3101"/>
      <c r="E23" s="3102">
        <v>0.9</v>
      </c>
      <c r="F23" s="3099" t="s">
        <v>2439</v>
      </c>
      <c r="G23" s="3099"/>
    </row>
    <row r="24" spans="1:13" ht="19.5" customHeight="1">
      <c r="A24" s="3765"/>
      <c r="B24" s="3758"/>
      <c r="C24" s="3100" t="s">
        <v>2440</v>
      </c>
      <c r="D24" s="3101"/>
      <c r="E24" s="3102">
        <v>0.8</v>
      </c>
      <c r="F24" s="3099" t="s">
        <v>2441</v>
      </c>
      <c r="G24" s="3099"/>
    </row>
    <row r="25" spans="1:13" ht="19.5" customHeight="1" thickBot="1">
      <c r="A25" s="3766"/>
      <c r="B25" s="3759"/>
      <c r="C25" s="3103" t="s">
        <v>2442</v>
      </c>
      <c r="D25" s="3104"/>
      <c r="E25" s="3105">
        <v>0.8</v>
      </c>
      <c r="F25" s="3099" t="s">
        <v>2443</v>
      </c>
      <c r="G25" s="3099"/>
    </row>
    <row r="26" spans="1:13" ht="19.5" customHeight="1" thickBot="1">
      <c r="A26" s="3106" t="s">
        <v>2622</v>
      </c>
      <c r="B26" s="3107" t="s">
        <v>2621</v>
      </c>
      <c r="C26" s="3108" t="s">
        <v>2623</v>
      </c>
      <c r="D26" s="3109"/>
      <c r="E26" s="3110">
        <v>1</v>
      </c>
      <c r="F26" s="3099" t="s">
        <v>2444</v>
      </c>
      <c r="G26" s="3099"/>
    </row>
    <row r="27" spans="1:13" ht="19.5" customHeight="1">
      <c r="A27" s="3760" t="s">
        <v>2624</v>
      </c>
      <c r="B27" s="3757" t="s">
        <v>2605</v>
      </c>
      <c r="C27" s="3096" t="s">
        <v>2445</v>
      </c>
      <c r="D27" s="3097"/>
      <c r="E27" s="3098">
        <v>1</v>
      </c>
      <c r="F27" s="3099" t="s">
        <v>2446</v>
      </c>
      <c r="G27" s="3099"/>
    </row>
    <row r="28" spans="1:13" ht="19.5" customHeight="1">
      <c r="A28" s="3761"/>
      <c r="B28" s="3758"/>
      <c r="C28" s="3100" t="s">
        <v>2447</v>
      </c>
      <c r="D28" s="3101"/>
      <c r="E28" s="3102">
        <v>1</v>
      </c>
      <c r="F28" s="3099" t="s">
        <v>2448</v>
      </c>
      <c r="G28" s="3099"/>
    </row>
    <row r="29" spans="1:13" ht="19.5" customHeight="1">
      <c r="A29" s="3761"/>
      <c r="B29" s="3758"/>
      <c r="C29" s="3100" t="s">
        <v>2449</v>
      </c>
      <c r="D29" s="3101"/>
      <c r="E29" s="3102">
        <v>0.8</v>
      </c>
      <c r="F29" s="3099" t="s">
        <v>2450</v>
      </c>
      <c r="G29" s="3099"/>
    </row>
    <row r="30" spans="1:13" ht="19.5" customHeight="1">
      <c r="A30" s="3761"/>
      <c r="B30" s="3758"/>
      <c r="C30" s="3100" t="s">
        <v>2451</v>
      </c>
      <c r="D30" s="3101"/>
      <c r="E30" s="3102">
        <v>0.8</v>
      </c>
      <c r="F30" s="3099" t="s">
        <v>2452</v>
      </c>
      <c r="G30" s="3099"/>
    </row>
    <row r="31" spans="1:13" ht="19.5" customHeight="1">
      <c r="A31" s="3761"/>
      <c r="B31" s="3758"/>
      <c r="C31" s="3100" t="s">
        <v>2453</v>
      </c>
      <c r="D31" s="3101"/>
      <c r="E31" s="3102">
        <v>0.8</v>
      </c>
      <c r="F31" s="3099" t="s">
        <v>2454</v>
      </c>
      <c r="G31" s="3099"/>
    </row>
    <row r="32" spans="1:13" ht="19.5" customHeight="1">
      <c r="A32" s="3761"/>
      <c r="B32" s="3758"/>
      <c r="C32" s="3100" t="s">
        <v>2455</v>
      </c>
      <c r="D32" s="3101"/>
      <c r="E32" s="3102">
        <v>0.7</v>
      </c>
      <c r="F32" s="3099" t="s">
        <v>2456</v>
      </c>
      <c r="G32" s="3099"/>
    </row>
    <row r="33" spans="1:7" ht="19.5" customHeight="1">
      <c r="A33" s="3761"/>
      <c r="B33" s="3758"/>
      <c r="C33" s="3100" t="s">
        <v>2457</v>
      </c>
      <c r="D33" s="3101"/>
      <c r="E33" s="3102">
        <v>0.8</v>
      </c>
      <c r="F33" s="3099" t="s">
        <v>2458</v>
      </c>
      <c r="G33" s="3099"/>
    </row>
    <row r="34" spans="1:7" ht="19.5" customHeight="1">
      <c r="A34" s="3761"/>
      <c r="B34" s="3758"/>
      <c r="C34" s="3100" t="s">
        <v>2459</v>
      </c>
      <c r="D34" s="3101"/>
      <c r="E34" s="3102">
        <v>0.6</v>
      </c>
      <c r="F34" s="3099" t="s">
        <v>2460</v>
      </c>
      <c r="G34" s="3099"/>
    </row>
    <row r="35" spans="1:7" ht="19.5" customHeight="1">
      <c r="A35" s="3761"/>
      <c r="B35" s="3758"/>
      <c r="C35" s="3100" t="s">
        <v>2461</v>
      </c>
      <c r="D35" s="3101"/>
      <c r="E35" s="3102">
        <v>0.2</v>
      </c>
      <c r="F35" s="3099" t="s">
        <v>2462</v>
      </c>
      <c r="G35" s="3099"/>
    </row>
    <row r="36" spans="1:7" ht="19.5" customHeight="1">
      <c r="A36" s="3761"/>
      <c r="B36" s="3758"/>
      <c r="C36" s="3100" t="s">
        <v>2463</v>
      </c>
      <c r="D36" s="3101"/>
      <c r="E36" s="3102">
        <v>0.2</v>
      </c>
      <c r="F36" s="3099" t="s">
        <v>2464</v>
      </c>
      <c r="G36" s="3099"/>
    </row>
    <row r="37" spans="1:7" ht="19.5" customHeight="1">
      <c r="A37" s="3761"/>
      <c r="B37" s="3763" t="s">
        <v>2625</v>
      </c>
      <c r="C37" s="3100" t="s">
        <v>2465</v>
      </c>
      <c r="D37" s="3101"/>
      <c r="E37" s="3102">
        <v>0.6</v>
      </c>
      <c r="F37" s="3099" t="s">
        <v>2466</v>
      </c>
      <c r="G37" s="3099"/>
    </row>
    <row r="38" spans="1:7" ht="19.5" customHeight="1">
      <c r="A38" s="3761"/>
      <c r="B38" s="3758"/>
      <c r="C38" s="3100" t="s">
        <v>2467</v>
      </c>
      <c r="D38" s="3101"/>
      <c r="E38" s="3102">
        <v>0.6</v>
      </c>
      <c r="F38" s="3099" t="s">
        <v>2468</v>
      </c>
      <c r="G38" s="3099"/>
    </row>
    <row r="39" spans="1:7" ht="19.5" customHeight="1" thickBot="1">
      <c r="A39" s="3762"/>
      <c r="B39" s="3759"/>
      <c r="C39" s="3103" t="s">
        <v>2469</v>
      </c>
      <c r="D39" s="3104"/>
      <c r="E39" s="3105">
        <v>0.6</v>
      </c>
      <c r="F39" s="3099" t="s">
        <v>2470</v>
      </c>
      <c r="G39" s="3099"/>
    </row>
    <row r="40" spans="1:7" ht="19.5" customHeight="1" thickBot="1">
      <c r="A40" s="3106" t="s">
        <v>2602</v>
      </c>
      <c r="B40" s="3107" t="s">
        <v>2602</v>
      </c>
      <c r="C40" s="3108" t="s">
        <v>2626</v>
      </c>
      <c r="D40" s="3109"/>
      <c r="E40" s="3110">
        <v>1</v>
      </c>
      <c r="F40" s="3099" t="s">
        <v>2471</v>
      </c>
      <c r="G40" s="3099"/>
    </row>
    <row r="41" spans="1:7" ht="19.5" customHeight="1">
      <c r="A41" s="3764" t="s">
        <v>2603</v>
      </c>
      <c r="B41" s="3757" t="s">
        <v>2627</v>
      </c>
      <c r="C41" s="3096" t="s">
        <v>2472</v>
      </c>
      <c r="D41" s="3097"/>
      <c r="E41" s="3098">
        <v>1</v>
      </c>
      <c r="F41" s="3099" t="s">
        <v>2473</v>
      </c>
      <c r="G41" s="3099"/>
    </row>
    <row r="42" spans="1:7" ht="19.5" customHeight="1">
      <c r="A42" s="3765"/>
      <c r="B42" s="3758"/>
      <c r="C42" s="3100" t="s">
        <v>2474</v>
      </c>
      <c r="D42" s="3101"/>
      <c r="E42" s="3102">
        <v>1</v>
      </c>
      <c r="F42" s="3099" t="s">
        <v>2475</v>
      </c>
      <c r="G42" s="3099"/>
    </row>
    <row r="43" spans="1:7" ht="19.5" customHeight="1">
      <c r="A43" s="3765"/>
      <c r="B43" s="3767"/>
      <c r="C43" s="3100" t="s">
        <v>2476</v>
      </c>
      <c r="D43" s="3101"/>
      <c r="E43" s="3102">
        <v>1.5</v>
      </c>
      <c r="F43" s="3099" t="s">
        <v>2477</v>
      </c>
      <c r="G43" s="3099"/>
    </row>
    <row r="44" spans="1:7" ht="19.5" customHeight="1">
      <c r="A44" s="3765"/>
      <c r="B44" s="3111" t="s">
        <v>2628</v>
      </c>
      <c r="C44" s="3100" t="s">
        <v>2629</v>
      </c>
      <c r="D44" s="3101"/>
      <c r="E44" s="3102">
        <v>2</v>
      </c>
      <c r="F44" s="3099" t="s">
        <v>2478</v>
      </c>
      <c r="G44" s="3099"/>
    </row>
    <row r="45" spans="1:7" ht="19.5" customHeight="1">
      <c r="A45" s="3765"/>
      <c r="B45" s="3763" t="s">
        <v>2630</v>
      </c>
      <c r="C45" s="3100" t="s">
        <v>2479</v>
      </c>
      <c r="D45" s="3101"/>
      <c r="E45" s="3102">
        <v>1</v>
      </c>
      <c r="F45" s="3099" t="s">
        <v>2480</v>
      </c>
      <c r="G45" s="3099"/>
    </row>
    <row r="46" spans="1:7" ht="19.5" customHeight="1">
      <c r="A46" s="3765"/>
      <c r="B46" s="3758"/>
      <c r="C46" s="3100" t="s">
        <v>2481</v>
      </c>
      <c r="D46" s="3101"/>
      <c r="E46" s="3102">
        <v>1</v>
      </c>
      <c r="F46" s="3099" t="s">
        <v>2482</v>
      </c>
      <c r="G46" s="3099"/>
    </row>
    <row r="47" spans="1:7" ht="19.5" customHeight="1">
      <c r="A47" s="3765"/>
      <c r="B47" s="3758"/>
      <c r="C47" s="3100" t="s">
        <v>2483</v>
      </c>
      <c r="D47" s="3101"/>
      <c r="E47" s="3102">
        <v>1</v>
      </c>
      <c r="F47" s="3099" t="s">
        <v>2484</v>
      </c>
      <c r="G47" s="3099"/>
    </row>
    <row r="48" spans="1:7" ht="19.5" customHeight="1">
      <c r="A48" s="3765"/>
      <c r="B48" s="3758"/>
      <c r="C48" s="3100" t="s">
        <v>2485</v>
      </c>
      <c r="D48" s="3101"/>
      <c r="E48" s="3102">
        <v>1</v>
      </c>
      <c r="F48" s="3099" t="s">
        <v>2486</v>
      </c>
      <c r="G48" s="3099"/>
    </row>
    <row r="49" spans="1:7" ht="19.5" customHeight="1">
      <c r="A49" s="3765"/>
      <c r="B49" s="3758"/>
      <c r="C49" s="3100" t="s">
        <v>2487</v>
      </c>
      <c r="D49" s="3101"/>
      <c r="E49" s="3102">
        <v>1</v>
      </c>
      <c r="F49" s="3099" t="s">
        <v>2488</v>
      </c>
      <c r="G49" s="3099"/>
    </row>
    <row r="50" spans="1:7" ht="19.5" customHeight="1">
      <c r="A50" s="3765"/>
      <c r="B50" s="3758"/>
      <c r="C50" s="3100" t="s">
        <v>2489</v>
      </c>
      <c r="D50" s="3101"/>
      <c r="E50" s="3102">
        <v>1</v>
      </c>
      <c r="F50" s="3099" t="s">
        <v>2490</v>
      </c>
      <c r="G50" s="3099"/>
    </row>
    <row r="51" spans="1:7" ht="19.5" customHeight="1" thickBot="1">
      <c r="A51" s="3766"/>
      <c r="B51" s="3759"/>
      <c r="C51" s="3103" t="s">
        <v>2491</v>
      </c>
      <c r="D51" s="3104"/>
      <c r="E51" s="3105">
        <v>1</v>
      </c>
      <c r="F51" s="3099" t="s">
        <v>2492</v>
      </c>
      <c r="G51" s="3099"/>
    </row>
    <row r="52" spans="1:7" ht="19.5" customHeight="1">
      <c r="A52" s="3112"/>
      <c r="B52" s="3112"/>
      <c r="C52" s="3112"/>
      <c r="D52" s="3112"/>
      <c r="E52" s="3112"/>
      <c r="F52" s="3112"/>
      <c r="G52" s="3112"/>
    </row>
    <row r="54" spans="1:7" ht="19.5" customHeight="1">
      <c r="A54" s="3113"/>
      <c r="B54" s="3085" t="s">
        <v>2631</v>
      </c>
      <c r="C54" s="3085" t="s">
        <v>2631</v>
      </c>
      <c r="D54" s="3085" t="s">
        <v>2631</v>
      </c>
      <c r="E54" s="3088" t="s">
        <v>2631</v>
      </c>
      <c r="F54" s="3088" t="s">
        <v>2632</v>
      </c>
      <c r="G54" s="3088" t="s">
        <v>2633</v>
      </c>
    </row>
    <row r="55" spans="1:7" ht="19.5" customHeight="1">
      <c r="A55" s="3114"/>
      <c r="B55" s="3088" t="s">
        <v>2600</v>
      </c>
      <c r="C55" s="3088" t="s">
        <v>2600</v>
      </c>
      <c r="D55" s="3088" t="s">
        <v>2600</v>
      </c>
      <c r="E55" s="3085" t="s">
        <v>2601</v>
      </c>
      <c r="F55" s="3085" t="s">
        <v>2603</v>
      </c>
      <c r="G55" s="3085" t="s">
        <v>2634</v>
      </c>
    </row>
    <row r="56" spans="1:7" ht="19.5" customHeight="1">
      <c r="A56" s="3115"/>
      <c r="B56" s="3085">
        <v>1</v>
      </c>
      <c r="C56" s="3085">
        <v>2</v>
      </c>
      <c r="D56" s="3085">
        <v>3</v>
      </c>
      <c r="E56" s="3116" t="s">
        <v>2635</v>
      </c>
      <c r="F56" s="3116" t="s">
        <v>2635</v>
      </c>
      <c r="G56" s="3116" t="s">
        <v>2635</v>
      </c>
    </row>
    <row r="57" spans="1:7" ht="19.5" customHeight="1">
      <c r="A57" s="3117" t="s">
        <v>2588</v>
      </c>
      <c r="B57" s="3085">
        <v>0.7</v>
      </c>
      <c r="C57" s="3085">
        <v>0.4</v>
      </c>
      <c r="D57" s="3085">
        <v>0.3</v>
      </c>
      <c r="E57" s="3116">
        <v>0.3</v>
      </c>
      <c r="F57" s="3085">
        <v>0.3</v>
      </c>
      <c r="G57" s="3085">
        <v>0.2</v>
      </c>
    </row>
    <row r="58" spans="1:7" ht="19.5" customHeight="1">
      <c r="A58" s="3117" t="s">
        <v>2589</v>
      </c>
      <c r="B58" s="3085">
        <v>0.7</v>
      </c>
      <c r="C58" s="3085">
        <v>0.4</v>
      </c>
      <c r="D58" s="3085">
        <v>0.3</v>
      </c>
      <c r="E58" s="3085">
        <v>0.3</v>
      </c>
      <c r="F58" s="3085">
        <v>0.3</v>
      </c>
      <c r="G58" s="3085">
        <v>0.2</v>
      </c>
    </row>
    <row r="59" spans="1:7" ht="19.5" customHeight="1">
      <c r="A59" s="3117" t="s">
        <v>2590</v>
      </c>
      <c r="B59" s="3085">
        <v>0.6</v>
      </c>
      <c r="C59" s="3085">
        <v>0.3</v>
      </c>
      <c r="D59" s="3085">
        <v>0.25</v>
      </c>
      <c r="E59" s="3085">
        <v>0.25</v>
      </c>
      <c r="F59" s="3085">
        <v>0.25</v>
      </c>
      <c r="G59" s="3085">
        <v>0.15</v>
      </c>
    </row>
    <row r="60" spans="1:7" ht="19.5" customHeight="1">
      <c r="A60" s="3117" t="s">
        <v>2591</v>
      </c>
      <c r="B60" s="3085">
        <v>0.6</v>
      </c>
      <c r="C60" s="3085">
        <v>0.3</v>
      </c>
      <c r="D60" s="3085">
        <v>0.25</v>
      </c>
      <c r="E60" s="3085">
        <v>0.25</v>
      </c>
      <c r="F60" s="3085">
        <v>0.25</v>
      </c>
      <c r="G60" s="3085">
        <v>0.15</v>
      </c>
    </row>
    <row r="61" spans="1:7" ht="19.5" customHeight="1">
      <c r="A61" s="3117" t="s">
        <v>2592</v>
      </c>
      <c r="B61" s="3085">
        <v>0.6</v>
      </c>
      <c r="C61" s="3085">
        <v>0.3</v>
      </c>
      <c r="D61" s="3085">
        <v>0.25</v>
      </c>
      <c r="E61" s="3085">
        <v>0.25</v>
      </c>
      <c r="F61" s="3085">
        <v>0.25</v>
      </c>
      <c r="G61" s="3085">
        <v>0.15</v>
      </c>
    </row>
    <row r="62" spans="1:7" ht="19.5" customHeight="1">
      <c r="A62" s="3117" t="s">
        <v>2593</v>
      </c>
      <c r="B62" s="3085">
        <v>0.6</v>
      </c>
      <c r="C62" s="3085">
        <v>0.3</v>
      </c>
      <c r="D62" s="3085">
        <v>0.25</v>
      </c>
      <c r="E62" s="3085">
        <v>0.25</v>
      </c>
      <c r="F62" s="3085">
        <v>0.25</v>
      </c>
      <c r="G62" s="3085">
        <v>0.15</v>
      </c>
    </row>
    <row r="63" spans="1:7" ht="19.5" customHeight="1">
      <c r="A63" s="3117" t="s">
        <v>2594</v>
      </c>
      <c r="B63" s="3085">
        <v>0.6</v>
      </c>
      <c r="C63" s="3085">
        <v>0.3</v>
      </c>
      <c r="D63" s="3085">
        <v>0.25</v>
      </c>
      <c r="E63" s="3085">
        <v>0.25</v>
      </c>
      <c r="F63" s="3085">
        <v>0.25</v>
      </c>
      <c r="G63" s="3085">
        <v>0.15</v>
      </c>
    </row>
    <row r="64" spans="1:7" ht="19.5" customHeight="1">
      <c r="A64" s="3117" t="s">
        <v>2595</v>
      </c>
      <c r="B64" s="3085">
        <v>0.5</v>
      </c>
      <c r="C64" s="3085">
        <v>0.2</v>
      </c>
      <c r="D64" s="3085">
        <v>0.2</v>
      </c>
      <c r="E64" s="3085">
        <v>0.2</v>
      </c>
      <c r="F64" s="3085">
        <v>0.2</v>
      </c>
      <c r="G64" s="3085">
        <v>0.1</v>
      </c>
    </row>
    <row r="65" spans="1:7" ht="19.5" customHeight="1">
      <c r="A65" s="3117" t="s">
        <v>2596</v>
      </c>
      <c r="B65" s="3085">
        <v>0.5</v>
      </c>
      <c r="C65" s="3085">
        <v>0.2</v>
      </c>
      <c r="D65" s="3085">
        <v>0.2</v>
      </c>
      <c r="E65" s="3085">
        <v>0.2</v>
      </c>
      <c r="F65" s="3085">
        <v>0.2</v>
      </c>
      <c r="G65" s="3085">
        <v>0.1</v>
      </c>
    </row>
    <row r="66" spans="1:7" ht="19.5" customHeight="1">
      <c r="A66" s="3117" t="s">
        <v>2597</v>
      </c>
      <c r="B66" s="3085">
        <v>0.5</v>
      </c>
      <c r="C66" s="3085">
        <v>0.2</v>
      </c>
      <c r="D66" s="3085">
        <v>0.2</v>
      </c>
      <c r="E66" s="3085">
        <v>0.2</v>
      </c>
      <c r="F66" s="3085">
        <v>0.2</v>
      </c>
      <c r="G66" s="3085">
        <v>0.1</v>
      </c>
    </row>
    <row r="67" spans="1:7" ht="19.5" customHeight="1">
      <c r="A67" s="3117" t="s">
        <v>2598</v>
      </c>
      <c r="B67" s="3085">
        <v>0.5</v>
      </c>
      <c r="C67" s="3085">
        <v>0.2</v>
      </c>
      <c r="D67" s="3085">
        <v>0.2</v>
      </c>
      <c r="E67" s="3085">
        <v>0.2</v>
      </c>
      <c r="F67" s="3085">
        <v>0.2</v>
      </c>
      <c r="G67" s="3085">
        <v>0.1</v>
      </c>
    </row>
    <row r="68" spans="1:7" ht="19.5" customHeight="1">
      <c r="A68" s="3117" t="s">
        <v>2599</v>
      </c>
      <c r="B68" s="3085">
        <v>0.5</v>
      </c>
      <c r="C68" s="3085">
        <v>0.2</v>
      </c>
      <c r="D68" s="3085">
        <v>0.2</v>
      </c>
      <c r="E68" s="3085">
        <v>0.2</v>
      </c>
      <c r="F68" s="3085">
        <v>0.2</v>
      </c>
      <c r="G68" s="3085">
        <v>0.1</v>
      </c>
    </row>
    <row r="70" spans="1:7" ht="19.5" customHeight="1">
      <c r="A70" s="3118"/>
      <c r="B70" s="3119"/>
      <c r="C70" s="3119"/>
      <c r="D70" s="3119" t="s">
        <v>2636</v>
      </c>
      <c r="E70" s="3119"/>
      <c r="F70" s="3119"/>
    </row>
    <row r="71" spans="1:7" ht="19.5" customHeight="1">
      <c r="A71" s="3111" t="s">
        <v>2637</v>
      </c>
      <c r="B71" s="3111" t="s">
        <v>2638</v>
      </c>
      <c r="C71" s="3111" t="s">
        <v>2639</v>
      </c>
      <c r="D71" s="3111" t="s">
        <v>2640</v>
      </c>
      <c r="E71" s="3111" t="s">
        <v>2641</v>
      </c>
      <c r="F71" s="3111" t="s">
        <v>2642</v>
      </c>
    </row>
    <row r="72" spans="1:7" ht="13.5">
      <c r="A72" s="3111"/>
      <c r="B72" s="3111"/>
      <c r="C72" s="3111" t="s">
        <v>2643</v>
      </c>
      <c r="D72" s="3111"/>
      <c r="E72" s="3111" t="s">
        <v>2614</v>
      </c>
      <c r="F72" s="3111" t="s">
        <v>2614</v>
      </c>
    </row>
    <row r="73" spans="1:7" ht="13.5">
      <c r="A73" s="3111">
        <v>1</v>
      </c>
      <c r="B73" s="3763" t="s">
        <v>2644</v>
      </c>
      <c r="C73" s="3085" t="s">
        <v>2645</v>
      </c>
      <c r="D73" s="3085" t="s">
        <v>2646</v>
      </c>
      <c r="E73" s="3111">
        <v>0.2</v>
      </c>
      <c r="F73" s="3111">
        <v>25</v>
      </c>
    </row>
    <row r="74" spans="1:7" ht="24">
      <c r="A74" s="3111">
        <v>2</v>
      </c>
      <c r="B74" s="3758"/>
      <c r="C74" s="3085" t="s">
        <v>2647</v>
      </c>
      <c r="D74" s="3085" t="s">
        <v>2648</v>
      </c>
      <c r="E74" s="3111">
        <v>0.2</v>
      </c>
      <c r="F74" s="3111">
        <v>25</v>
      </c>
    </row>
    <row r="75" spans="1:7" ht="24">
      <c r="A75" s="3111">
        <v>3</v>
      </c>
      <c r="B75" s="3758"/>
      <c r="C75" s="3085" t="s">
        <v>2649</v>
      </c>
      <c r="D75" s="3085" t="s">
        <v>2650</v>
      </c>
      <c r="E75" s="3111">
        <v>0.2</v>
      </c>
      <c r="F75" s="3111">
        <v>25</v>
      </c>
    </row>
    <row r="76" spans="1:7" ht="13.5">
      <c r="A76" s="3111">
        <v>4</v>
      </c>
      <c r="B76" s="3758"/>
      <c r="C76" s="3085" t="s">
        <v>2651</v>
      </c>
      <c r="D76" s="3085" t="s">
        <v>2652</v>
      </c>
      <c r="E76" s="3111">
        <v>0.15</v>
      </c>
      <c r="F76" s="3111">
        <v>20</v>
      </c>
    </row>
    <row r="77" spans="1:7" ht="24">
      <c r="A77" s="3111">
        <v>5</v>
      </c>
      <c r="B77" s="3758"/>
      <c r="C77" s="3085" t="s">
        <v>2653</v>
      </c>
      <c r="D77" s="3085" t="s">
        <v>2654</v>
      </c>
      <c r="E77" s="3111">
        <v>0.15</v>
      </c>
      <c r="F77" s="3111">
        <v>20</v>
      </c>
    </row>
    <row r="78" spans="1:7" ht="24">
      <c r="A78" s="3111">
        <v>6</v>
      </c>
      <c r="B78" s="3758"/>
      <c r="C78" s="3085" t="s">
        <v>2655</v>
      </c>
      <c r="D78" s="3085" t="s">
        <v>2656</v>
      </c>
      <c r="E78" s="3111">
        <v>0.15</v>
      </c>
      <c r="F78" s="3111">
        <v>20</v>
      </c>
    </row>
    <row r="79" spans="1:7" ht="24">
      <c r="A79" s="3111">
        <v>7</v>
      </c>
      <c r="B79" s="3758"/>
      <c r="C79" s="3085" t="s">
        <v>2657</v>
      </c>
      <c r="D79" s="3085" t="s">
        <v>2658</v>
      </c>
      <c r="E79" s="3111">
        <v>0.15</v>
      </c>
      <c r="F79" s="3111">
        <v>20</v>
      </c>
    </row>
    <row r="80" spans="1:7" ht="24">
      <c r="A80" s="3111">
        <v>8</v>
      </c>
      <c r="B80" s="3758"/>
      <c r="C80" s="3085" t="s">
        <v>2659</v>
      </c>
      <c r="D80" s="3085" t="s">
        <v>2660</v>
      </c>
      <c r="E80" s="3111">
        <v>0.1</v>
      </c>
      <c r="F80" s="3111">
        <v>15</v>
      </c>
    </row>
    <row r="81" spans="1:6" ht="24">
      <c r="A81" s="3111">
        <v>9</v>
      </c>
      <c r="B81" s="3758"/>
      <c r="C81" s="3085" t="s">
        <v>2661</v>
      </c>
      <c r="D81" s="3085" t="s">
        <v>2662</v>
      </c>
      <c r="E81" s="3111">
        <v>0.1</v>
      </c>
      <c r="F81" s="3111">
        <v>15</v>
      </c>
    </row>
    <row r="82" spans="1:6" ht="24">
      <c r="A82" s="3111">
        <v>10</v>
      </c>
      <c r="B82" s="3758"/>
      <c r="C82" s="3085" t="s">
        <v>2663</v>
      </c>
      <c r="D82" s="3085" t="s">
        <v>2664</v>
      </c>
      <c r="E82" s="3111">
        <v>0.1</v>
      </c>
      <c r="F82" s="3111">
        <v>15</v>
      </c>
    </row>
    <row r="83" spans="1:6" ht="24">
      <c r="A83" s="3111">
        <v>11</v>
      </c>
      <c r="B83" s="3758"/>
      <c r="C83" s="3085" t="s">
        <v>2665</v>
      </c>
      <c r="D83" s="3085" t="s">
        <v>2666</v>
      </c>
      <c r="E83" s="3111">
        <v>0.1</v>
      </c>
      <c r="F83" s="3111">
        <v>15</v>
      </c>
    </row>
    <row r="84" spans="1:6" ht="24">
      <c r="A84" s="3111">
        <v>12</v>
      </c>
      <c r="B84" s="3758"/>
      <c r="C84" s="3085" t="s">
        <v>2667</v>
      </c>
      <c r="D84" s="3085" t="s">
        <v>2668</v>
      </c>
      <c r="E84" s="3111">
        <v>0.1</v>
      </c>
      <c r="F84" s="3111">
        <v>15</v>
      </c>
    </row>
    <row r="85" spans="1:6" ht="13.5">
      <c r="A85" s="3111">
        <v>13</v>
      </c>
      <c r="B85" s="3758"/>
      <c r="C85" s="3085" t="s">
        <v>2669</v>
      </c>
      <c r="D85" s="3085" t="s">
        <v>2670</v>
      </c>
      <c r="E85" s="3111">
        <v>0.1</v>
      </c>
      <c r="F85" s="3111">
        <v>15</v>
      </c>
    </row>
    <row r="86" spans="1:6" ht="13.5">
      <c r="A86" s="3111">
        <v>14</v>
      </c>
      <c r="B86" s="3758"/>
      <c r="C86" s="3085" t="s">
        <v>2671</v>
      </c>
      <c r="D86" s="3085" t="s">
        <v>2672</v>
      </c>
      <c r="E86" s="3111">
        <v>0.1</v>
      </c>
      <c r="F86" s="3111">
        <v>15</v>
      </c>
    </row>
    <row r="87" spans="1:6" ht="13.5">
      <c r="A87" s="3111">
        <v>15</v>
      </c>
      <c r="B87" s="3758"/>
      <c r="C87" s="3085" t="s">
        <v>2673</v>
      </c>
      <c r="D87" s="3085" t="s">
        <v>2674</v>
      </c>
      <c r="E87" s="3111">
        <v>0.1</v>
      </c>
      <c r="F87" s="3111">
        <v>15</v>
      </c>
    </row>
    <row r="88" spans="1:6" ht="24">
      <c r="A88" s="3111">
        <v>16</v>
      </c>
      <c r="B88" s="3758"/>
      <c r="C88" s="3085" t="s">
        <v>2675</v>
      </c>
      <c r="D88" s="3085" t="s">
        <v>2676</v>
      </c>
      <c r="E88" s="3111">
        <v>0.1</v>
      </c>
      <c r="F88" s="3111">
        <v>15</v>
      </c>
    </row>
    <row r="89" spans="1:6" ht="24">
      <c r="A89" s="3111">
        <v>17</v>
      </c>
      <c r="B89" s="3767"/>
      <c r="C89" s="3085" t="s">
        <v>2677</v>
      </c>
      <c r="D89" s="3085" t="s">
        <v>2678</v>
      </c>
      <c r="E89" s="3111">
        <v>0.1</v>
      </c>
      <c r="F89" s="3111">
        <v>15</v>
      </c>
    </row>
    <row r="90" spans="1:6" ht="13.5">
      <c r="A90" s="3111">
        <v>18</v>
      </c>
      <c r="B90" s="3763" t="s">
        <v>2679</v>
      </c>
      <c r="C90" s="3085" t="s">
        <v>2680</v>
      </c>
      <c r="D90" s="3085" t="s">
        <v>2681</v>
      </c>
      <c r="E90" s="3111">
        <v>0.2</v>
      </c>
      <c r="F90" s="3111">
        <v>25</v>
      </c>
    </row>
    <row r="91" spans="1:6" ht="24">
      <c r="A91" s="3111">
        <v>19</v>
      </c>
      <c r="B91" s="3758"/>
      <c r="C91" s="3085" t="s">
        <v>2682</v>
      </c>
      <c r="D91" s="3085" t="s">
        <v>2683</v>
      </c>
      <c r="E91" s="3111">
        <v>0.2</v>
      </c>
      <c r="F91" s="3111">
        <v>25</v>
      </c>
    </row>
    <row r="92" spans="1:6" ht="13.5">
      <c r="A92" s="3111">
        <v>20</v>
      </c>
      <c r="B92" s="3758"/>
      <c r="C92" s="3085" t="s">
        <v>2684</v>
      </c>
      <c r="D92" s="3085" t="s">
        <v>2685</v>
      </c>
      <c r="E92" s="3111">
        <v>0.15</v>
      </c>
      <c r="F92" s="3111">
        <v>20</v>
      </c>
    </row>
    <row r="93" spans="1:6" ht="13.5">
      <c r="A93" s="3111">
        <v>21</v>
      </c>
      <c r="B93" s="3758"/>
      <c r="C93" s="3085" t="s">
        <v>2686</v>
      </c>
      <c r="D93" s="3085" t="s">
        <v>2687</v>
      </c>
      <c r="E93" s="3111">
        <v>0.15</v>
      </c>
      <c r="F93" s="3111">
        <v>20</v>
      </c>
    </row>
    <row r="94" spans="1:6" ht="13.5">
      <c r="A94" s="3111">
        <v>22</v>
      </c>
      <c r="B94" s="3758"/>
      <c r="C94" s="3085" t="s">
        <v>2688</v>
      </c>
      <c r="D94" s="3085" t="s">
        <v>2689</v>
      </c>
      <c r="E94" s="3111">
        <v>0.15</v>
      </c>
      <c r="F94" s="3111">
        <v>20</v>
      </c>
    </row>
    <row r="95" spans="1:6" ht="36">
      <c r="A95" s="3111">
        <v>23</v>
      </c>
      <c r="B95" s="3758"/>
      <c r="C95" s="3085" t="s">
        <v>2690</v>
      </c>
      <c r="D95" s="3085" t="s">
        <v>2691</v>
      </c>
      <c r="E95" s="3111">
        <v>0.15</v>
      </c>
      <c r="F95" s="3111">
        <v>20</v>
      </c>
    </row>
    <row r="96" spans="1:6" ht="13.5">
      <c r="A96" s="3111">
        <v>24</v>
      </c>
      <c r="B96" s="3758"/>
      <c r="C96" s="3085" t="s">
        <v>2692</v>
      </c>
      <c r="D96" s="3085" t="s">
        <v>2693</v>
      </c>
      <c r="E96" s="3111">
        <v>0.1</v>
      </c>
      <c r="F96" s="3111">
        <v>15</v>
      </c>
    </row>
    <row r="97" spans="1:6" ht="13.5">
      <c r="A97" s="3111">
        <v>25</v>
      </c>
      <c r="B97" s="3758"/>
      <c r="C97" s="3085" t="s">
        <v>2694</v>
      </c>
      <c r="D97" s="3085" t="s">
        <v>2695</v>
      </c>
      <c r="E97" s="3111">
        <v>0.1</v>
      </c>
      <c r="F97" s="3111">
        <v>15</v>
      </c>
    </row>
    <row r="98" spans="1:6" ht="24">
      <c r="A98" s="3111">
        <v>26</v>
      </c>
      <c r="B98" s="3758"/>
      <c r="C98" s="3085" t="s">
        <v>2696</v>
      </c>
      <c r="D98" s="3085" t="s">
        <v>2697</v>
      </c>
      <c r="E98" s="3111">
        <v>0.1</v>
      </c>
      <c r="F98" s="3111">
        <v>15</v>
      </c>
    </row>
    <row r="99" spans="1:6" ht="24">
      <c r="A99" s="3111">
        <v>27</v>
      </c>
      <c r="B99" s="3758"/>
      <c r="C99" s="3085" t="s">
        <v>2698</v>
      </c>
      <c r="D99" s="3085" t="s">
        <v>2699</v>
      </c>
      <c r="E99" s="3111">
        <v>0.1</v>
      </c>
      <c r="F99" s="3111">
        <v>15</v>
      </c>
    </row>
    <row r="100" spans="1:6" ht="13.5">
      <c r="A100" s="3111">
        <v>28</v>
      </c>
      <c r="B100" s="3758"/>
      <c r="C100" s="3085" t="s">
        <v>2700</v>
      </c>
      <c r="D100" s="3085" t="s">
        <v>2701</v>
      </c>
      <c r="E100" s="3111">
        <v>0.1</v>
      </c>
      <c r="F100" s="3111">
        <v>15</v>
      </c>
    </row>
    <row r="101" spans="1:6" ht="13.5">
      <c r="A101" s="3111">
        <v>29</v>
      </c>
      <c r="B101" s="3758"/>
      <c r="C101" s="3085" t="s">
        <v>2702</v>
      </c>
      <c r="D101" s="3085" t="s">
        <v>2703</v>
      </c>
      <c r="E101" s="3111">
        <v>0.1</v>
      </c>
      <c r="F101" s="3111">
        <v>15</v>
      </c>
    </row>
    <row r="102" spans="1:6" ht="13.5">
      <c r="A102" s="3111">
        <v>30</v>
      </c>
      <c r="B102" s="3758"/>
      <c r="C102" s="3085" t="s">
        <v>2704</v>
      </c>
      <c r="D102" s="3085" t="s">
        <v>2705</v>
      </c>
      <c r="E102" s="3111">
        <v>0.1</v>
      </c>
      <c r="F102" s="3111">
        <v>15</v>
      </c>
    </row>
    <row r="103" spans="1:6" ht="24">
      <c r="A103" s="3111">
        <v>31</v>
      </c>
      <c r="B103" s="3758"/>
      <c r="C103" s="3085" t="s">
        <v>2706</v>
      </c>
      <c r="D103" s="3085" t="s">
        <v>2707</v>
      </c>
      <c r="E103" s="3111">
        <v>0.1</v>
      </c>
      <c r="F103" s="3111">
        <v>15</v>
      </c>
    </row>
    <row r="104" spans="1:6" ht="24">
      <c r="A104" s="3111">
        <v>32</v>
      </c>
      <c r="B104" s="3758"/>
      <c r="C104" s="3085" t="s">
        <v>2708</v>
      </c>
      <c r="D104" s="3085" t="s">
        <v>2709</v>
      </c>
      <c r="E104" s="3111">
        <v>0.1</v>
      </c>
      <c r="F104" s="3111">
        <v>15</v>
      </c>
    </row>
    <row r="105" spans="1:6" ht="24">
      <c r="A105" s="3111">
        <v>33</v>
      </c>
      <c r="B105" s="3758"/>
      <c r="C105" s="3085" t="s">
        <v>2710</v>
      </c>
      <c r="D105" s="3085" t="s">
        <v>2711</v>
      </c>
      <c r="E105" s="3111">
        <v>0.1</v>
      </c>
      <c r="F105" s="3111">
        <v>15</v>
      </c>
    </row>
    <row r="106" spans="1:6" ht="24">
      <c r="A106" s="3111">
        <v>34</v>
      </c>
      <c r="B106" s="3767"/>
      <c r="C106" s="3085" t="s">
        <v>2712</v>
      </c>
      <c r="D106" s="3085" t="s">
        <v>2713</v>
      </c>
      <c r="E106" s="3111">
        <v>0.1</v>
      </c>
      <c r="F106" s="3111">
        <v>15</v>
      </c>
    </row>
    <row r="107" spans="1:6" ht="24">
      <c r="A107" s="3111">
        <v>35</v>
      </c>
      <c r="B107" s="3763" t="s">
        <v>2714</v>
      </c>
      <c r="C107" s="3111" t="s">
        <v>2715</v>
      </c>
      <c r="D107" s="3085" t="s">
        <v>2716</v>
      </c>
      <c r="E107" s="3111">
        <v>0.15</v>
      </c>
      <c r="F107" s="3111">
        <v>20</v>
      </c>
    </row>
    <row r="108" spans="1:6" ht="13.5">
      <c r="A108" s="3111">
        <v>36</v>
      </c>
      <c r="B108" s="3758"/>
      <c r="C108" s="3111" t="s">
        <v>2717</v>
      </c>
      <c r="D108" s="3085" t="s">
        <v>2718</v>
      </c>
      <c r="E108" s="3111">
        <v>0.15</v>
      </c>
      <c r="F108" s="3111">
        <v>20</v>
      </c>
    </row>
    <row r="109" spans="1:6" ht="13.5">
      <c r="A109" s="3111">
        <v>37</v>
      </c>
      <c r="B109" s="3758"/>
      <c r="C109" s="3111" t="s">
        <v>2719</v>
      </c>
      <c r="D109" s="3085" t="s">
        <v>2720</v>
      </c>
      <c r="E109" s="3111">
        <v>0.15</v>
      </c>
      <c r="F109" s="3111">
        <v>20</v>
      </c>
    </row>
    <row r="110" spans="1:6" ht="13.5">
      <c r="A110" s="3111">
        <v>38</v>
      </c>
      <c r="B110" s="3758"/>
      <c r="C110" s="3111" t="s">
        <v>2721</v>
      </c>
      <c r="D110" s="3085" t="s">
        <v>2722</v>
      </c>
      <c r="E110" s="3111">
        <v>0.1</v>
      </c>
      <c r="F110" s="3111">
        <v>15</v>
      </c>
    </row>
    <row r="111" spans="1:6" ht="24">
      <c r="A111" s="3111">
        <v>39</v>
      </c>
      <c r="B111" s="3758"/>
      <c r="C111" s="3111" t="s">
        <v>2723</v>
      </c>
      <c r="D111" s="3085" t="s">
        <v>2724</v>
      </c>
      <c r="E111" s="3111">
        <v>0.1</v>
      </c>
      <c r="F111" s="3111">
        <v>15</v>
      </c>
    </row>
    <row r="112" spans="1:6" ht="24">
      <c r="A112" s="3111">
        <v>40</v>
      </c>
      <c r="B112" s="3767"/>
      <c r="C112" s="3111" t="s">
        <v>2725</v>
      </c>
      <c r="D112" s="3085" t="s">
        <v>2726</v>
      </c>
      <c r="E112" s="3111">
        <v>0.1</v>
      </c>
      <c r="F112" s="3111">
        <v>15</v>
      </c>
    </row>
    <row r="113" spans="1:6" ht="13.5">
      <c r="A113" s="3111">
        <v>41</v>
      </c>
      <c r="B113" s="3768" t="s">
        <v>2727</v>
      </c>
      <c r="C113" s="3111" t="s">
        <v>2728</v>
      </c>
      <c r="D113" s="3085" t="s">
        <v>2729</v>
      </c>
      <c r="E113" s="3111">
        <v>0.1</v>
      </c>
      <c r="F113" s="3111">
        <v>15</v>
      </c>
    </row>
    <row r="114" spans="1:6" ht="13.5">
      <c r="A114" s="3111">
        <v>42</v>
      </c>
      <c r="B114" s="3768"/>
      <c r="C114" s="3111" t="s">
        <v>2730</v>
      </c>
      <c r="D114" s="3085" t="s">
        <v>2731</v>
      </c>
      <c r="E114" s="3111">
        <v>0.1</v>
      </c>
      <c r="F114" s="3111">
        <v>15</v>
      </c>
    </row>
    <row r="115" spans="1:6" ht="24">
      <c r="A115" s="3111">
        <v>43</v>
      </c>
      <c r="B115" s="3768"/>
      <c r="C115" s="3111" t="s">
        <v>2732</v>
      </c>
      <c r="D115" s="3085" t="s">
        <v>2733</v>
      </c>
      <c r="E115" s="3111">
        <v>0.1</v>
      </c>
      <c r="F115" s="3111">
        <v>15</v>
      </c>
    </row>
    <row r="116" spans="1:6" ht="13.5">
      <c r="A116" s="3111">
        <v>44</v>
      </c>
      <c r="B116" s="3763" t="s">
        <v>2734</v>
      </c>
      <c r="C116" s="3111" t="s">
        <v>2735</v>
      </c>
      <c r="D116" s="3085" t="s">
        <v>2736</v>
      </c>
      <c r="E116" s="3111">
        <v>0.1</v>
      </c>
      <c r="F116" s="3111">
        <v>15</v>
      </c>
    </row>
    <row r="117" spans="1:6" ht="24">
      <c r="A117" s="3111">
        <v>45</v>
      </c>
      <c r="B117" s="3767"/>
      <c r="C117" s="3085" t="s">
        <v>2737</v>
      </c>
      <c r="D117" s="3085" t="s">
        <v>2738</v>
      </c>
      <c r="E117" s="3111">
        <v>0.1</v>
      </c>
      <c r="F117" s="3111">
        <v>15</v>
      </c>
    </row>
    <row r="118" spans="1:6" ht="24">
      <c r="A118" s="3111">
        <v>46</v>
      </c>
      <c r="B118" s="3763" t="s">
        <v>2739</v>
      </c>
      <c r="C118" s="3111" t="s">
        <v>2740</v>
      </c>
      <c r="D118" s="3085" t="s">
        <v>2741</v>
      </c>
      <c r="E118" s="3111">
        <v>0.1</v>
      </c>
      <c r="F118" s="3111">
        <v>15</v>
      </c>
    </row>
    <row r="119" spans="1:6" ht="24">
      <c r="A119" s="3111">
        <v>47</v>
      </c>
      <c r="B119" s="3767"/>
      <c r="C119" s="3111" t="s">
        <v>2742</v>
      </c>
      <c r="D119" s="3085" t="s">
        <v>2743</v>
      </c>
      <c r="E119" s="3111">
        <v>0.1</v>
      </c>
      <c r="F119" s="3111">
        <v>15</v>
      </c>
    </row>
    <row r="120" spans="1:6" ht="13.5">
      <c r="A120" s="3111">
        <v>48</v>
      </c>
      <c r="B120" s="3763" t="s">
        <v>2744</v>
      </c>
      <c r="C120" s="3111" t="s">
        <v>2745</v>
      </c>
      <c r="D120" s="3085" t="s">
        <v>2746</v>
      </c>
      <c r="E120" s="3111">
        <v>0.1</v>
      </c>
      <c r="F120" s="3111">
        <v>15</v>
      </c>
    </row>
    <row r="121" spans="1:6" ht="13.5">
      <c r="A121" s="3111">
        <v>49</v>
      </c>
      <c r="B121" s="3767"/>
      <c r="C121" s="3111" t="s">
        <v>2747</v>
      </c>
      <c r="D121" s="3085" t="s">
        <v>2748</v>
      </c>
      <c r="E121" s="3111">
        <v>0.1</v>
      </c>
      <c r="F121" s="3111">
        <v>15</v>
      </c>
    </row>
    <row r="122" spans="1:6" ht="24">
      <c r="A122" s="3111">
        <v>50</v>
      </c>
      <c r="B122" s="3768" t="s">
        <v>2749</v>
      </c>
      <c r="C122" s="3111" t="s">
        <v>2750</v>
      </c>
      <c r="D122" s="3085" t="s">
        <v>2751</v>
      </c>
      <c r="E122" s="3111">
        <v>0.1</v>
      </c>
      <c r="F122" s="3111">
        <v>15</v>
      </c>
    </row>
    <row r="123" spans="1:6" ht="24">
      <c r="A123" s="3111">
        <v>51</v>
      </c>
      <c r="B123" s="3768"/>
      <c r="C123" s="3111" t="s">
        <v>2752</v>
      </c>
      <c r="D123" s="3085" t="s">
        <v>2753</v>
      </c>
      <c r="E123" s="3111">
        <v>0.1</v>
      </c>
      <c r="F123" s="3111">
        <v>15</v>
      </c>
    </row>
    <row r="124" spans="1:6" ht="24">
      <c r="A124" s="3111">
        <v>52</v>
      </c>
      <c r="B124" s="3768" t="s">
        <v>2754</v>
      </c>
      <c r="C124" s="3111" t="s">
        <v>2755</v>
      </c>
      <c r="D124" s="3085" t="s">
        <v>2756</v>
      </c>
      <c r="E124" s="3111">
        <v>0.1</v>
      </c>
      <c r="F124" s="3111">
        <v>15</v>
      </c>
    </row>
    <row r="125" spans="1:6" ht="24">
      <c r="A125" s="3111">
        <v>53</v>
      </c>
      <c r="B125" s="3768"/>
      <c r="C125" s="3111" t="s">
        <v>2757</v>
      </c>
      <c r="D125" s="3085" t="s">
        <v>2758</v>
      </c>
      <c r="E125" s="3111">
        <v>0.1</v>
      </c>
      <c r="F125" s="3111">
        <v>15</v>
      </c>
    </row>
    <row r="126" spans="1:6" ht="13.5">
      <c r="A126" s="3111">
        <v>54</v>
      </c>
      <c r="B126" s="3111" t="s">
        <v>2759</v>
      </c>
      <c r="C126" s="3111" t="s">
        <v>2760</v>
      </c>
      <c r="D126" s="3085" t="s">
        <v>2761</v>
      </c>
      <c r="E126" s="3111">
        <v>0.1</v>
      </c>
      <c r="F126" s="3111">
        <v>15</v>
      </c>
    </row>
    <row r="127" spans="1:6" ht="13.5">
      <c r="A127" s="3111">
        <v>55</v>
      </c>
      <c r="B127" s="3768" t="s">
        <v>2762</v>
      </c>
      <c r="C127" s="3111" t="s">
        <v>2763</v>
      </c>
      <c r="D127" s="3085" t="s">
        <v>2764</v>
      </c>
      <c r="E127" s="3111">
        <v>0.1</v>
      </c>
      <c r="F127" s="3111">
        <v>15</v>
      </c>
    </row>
    <row r="128" spans="1:6" ht="13.5">
      <c r="A128" s="3111">
        <v>56</v>
      </c>
      <c r="B128" s="3768"/>
      <c r="C128" s="3111" t="s">
        <v>2765</v>
      </c>
      <c r="D128" s="3085" t="s">
        <v>2766</v>
      </c>
      <c r="E128" s="3111">
        <v>0.1</v>
      </c>
      <c r="F128" s="3111">
        <v>15</v>
      </c>
    </row>
    <row r="129" spans="1:6" ht="24">
      <c r="A129" s="3111">
        <v>57</v>
      </c>
      <c r="B129" s="3768"/>
      <c r="C129" s="3111" t="s">
        <v>2767</v>
      </c>
      <c r="D129" s="3085" t="s">
        <v>2768</v>
      </c>
      <c r="E129" s="3111">
        <v>0.1</v>
      </c>
      <c r="F129" s="3111">
        <v>15</v>
      </c>
    </row>
    <row r="130" spans="1:6" ht="24">
      <c r="A130" s="3111">
        <v>58</v>
      </c>
      <c r="B130" s="3768" t="s">
        <v>2769</v>
      </c>
      <c r="C130" s="3111" t="s">
        <v>2770</v>
      </c>
      <c r="D130" s="3085" t="s">
        <v>2771</v>
      </c>
      <c r="E130" s="3111">
        <v>0.1</v>
      </c>
      <c r="F130" s="3111">
        <v>15</v>
      </c>
    </row>
    <row r="131" spans="1:6" ht="13.5">
      <c r="A131" s="3111">
        <v>59</v>
      </c>
      <c r="B131" s="3768"/>
      <c r="C131" s="3111" t="s">
        <v>2772</v>
      </c>
      <c r="D131" s="3085" t="s">
        <v>2773</v>
      </c>
      <c r="E131" s="3111">
        <v>0.1</v>
      </c>
      <c r="F131" s="3111">
        <v>15</v>
      </c>
    </row>
    <row r="132" spans="1:6" ht="13.5">
      <c r="A132" s="3111">
        <v>60</v>
      </c>
      <c r="B132" s="3763" t="s">
        <v>2774</v>
      </c>
      <c r="C132" s="3111" t="s">
        <v>2775</v>
      </c>
      <c r="D132" s="3085" t="s">
        <v>2776</v>
      </c>
      <c r="E132" s="3111">
        <v>0.1</v>
      </c>
      <c r="F132" s="3111">
        <v>15</v>
      </c>
    </row>
    <row r="133" spans="1:6" ht="13.5">
      <c r="A133" s="3111">
        <v>61</v>
      </c>
      <c r="B133" s="3767"/>
      <c r="C133" s="3111" t="s">
        <v>2777</v>
      </c>
      <c r="D133" s="3085" t="s">
        <v>2778</v>
      </c>
      <c r="E133" s="3111">
        <v>0.1</v>
      </c>
      <c r="F133" s="3111">
        <v>15</v>
      </c>
    </row>
    <row r="134" spans="1:6" ht="24">
      <c r="A134" s="3111">
        <v>62</v>
      </c>
      <c r="B134" s="3111" t="s">
        <v>2779</v>
      </c>
      <c r="C134" s="3111" t="s">
        <v>2780</v>
      </c>
      <c r="D134" s="3085" t="s">
        <v>2781</v>
      </c>
      <c r="E134" s="3111">
        <v>0.1</v>
      </c>
      <c r="F134" s="3111">
        <v>15</v>
      </c>
    </row>
    <row r="135" spans="1:6" ht="13.5">
      <c r="A135" s="3111">
        <v>63</v>
      </c>
      <c r="B135" s="3768" t="s">
        <v>2782</v>
      </c>
      <c r="C135" s="3111" t="s">
        <v>2783</v>
      </c>
      <c r="D135" s="3085" t="s">
        <v>2784</v>
      </c>
      <c r="E135" s="3111">
        <v>0.1</v>
      </c>
      <c r="F135" s="3111">
        <v>15</v>
      </c>
    </row>
    <row r="136" spans="1:6" ht="13.5">
      <c r="A136" s="3111">
        <v>64</v>
      </c>
      <c r="B136" s="3768"/>
      <c r="C136" s="3111" t="s">
        <v>2785</v>
      </c>
      <c r="D136" s="3085" t="s">
        <v>2786</v>
      </c>
      <c r="E136" s="3111">
        <v>0.1</v>
      </c>
      <c r="F136" s="3111">
        <v>15</v>
      </c>
    </row>
    <row r="137" spans="1:6" ht="13.5">
      <c r="A137" s="3111">
        <v>65</v>
      </c>
      <c r="B137" s="3111" t="s">
        <v>2787</v>
      </c>
      <c r="C137" s="3111" t="s">
        <v>2788</v>
      </c>
      <c r="D137" s="3085" t="s">
        <v>2789</v>
      </c>
      <c r="E137" s="3111">
        <v>0.1</v>
      </c>
      <c r="F137" s="3111">
        <v>15</v>
      </c>
    </row>
    <row r="138" spans="1:6" ht="13.5">
      <c r="A138" s="3111"/>
      <c r="B138" s="3111"/>
      <c r="C138" s="3111"/>
      <c r="D138" s="3111"/>
      <c r="E138" s="3111" t="s">
        <v>2790</v>
      </c>
      <c r="F138" s="3111"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50"/>
  </cols>
  <sheetData>
    <row r="1" spans="1:20" ht="15" thickBot="1">
      <c r="A1" s="3120" t="s">
        <v>2791</v>
      </c>
      <c r="B1" s="3120"/>
      <c r="C1" s="3120"/>
      <c r="D1" s="3120"/>
      <c r="E1" s="3120"/>
      <c r="F1" s="3120"/>
      <c r="G1" s="3120"/>
      <c r="H1" s="3120"/>
      <c r="I1" s="3120"/>
      <c r="J1" s="3120"/>
      <c r="K1" s="3120"/>
      <c r="L1" s="3120"/>
      <c r="M1" s="3120"/>
      <c r="N1" s="749"/>
    </row>
    <row r="2" spans="1:20">
      <c r="A2" s="3121" t="s">
        <v>2792</v>
      </c>
      <c r="B2" s="3122" t="s">
        <v>2588</v>
      </c>
      <c r="C2" s="3122" t="s">
        <v>2589</v>
      </c>
      <c r="D2" s="3122" t="s">
        <v>2590</v>
      </c>
      <c r="E2" s="3122" t="s">
        <v>2591</v>
      </c>
      <c r="F2" s="3122" t="s">
        <v>2592</v>
      </c>
      <c r="G2" s="3122" t="s">
        <v>2593</v>
      </c>
      <c r="H2" s="3123" t="s">
        <v>2594</v>
      </c>
      <c r="I2" s="3123" t="s">
        <v>2595</v>
      </c>
      <c r="J2" s="3124" t="s">
        <v>2596</v>
      </c>
      <c r="K2" s="3124" t="s">
        <v>2597</v>
      </c>
      <c r="L2" s="3124" t="s">
        <v>2598</v>
      </c>
      <c r="M2" s="3125" t="s">
        <v>2599</v>
      </c>
      <c r="Q2" s="3135" t="s">
        <v>2797</v>
      </c>
      <c r="R2" s="3135" t="s">
        <v>2798</v>
      </c>
      <c r="S2" s="3135" t="s">
        <v>2799</v>
      </c>
      <c r="T2" s="3135" t="s">
        <v>2800</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1"/>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1"/>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1"/>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2793</v>
      </c>
      <c r="B93" s="3120"/>
      <c r="C93" s="3120"/>
      <c r="D93" s="3120"/>
      <c r="E93" s="3120"/>
      <c r="F93" s="3120"/>
      <c r="G93" s="3120"/>
      <c r="H93" s="3120"/>
      <c r="I93" s="3120"/>
      <c r="J93" s="3120"/>
      <c r="K93" s="3120"/>
      <c r="L93" s="3120"/>
      <c r="M93" s="3120"/>
    </row>
    <row r="94" spans="1:20">
      <c r="A94" s="3121" t="s">
        <v>2792</v>
      </c>
      <c r="B94" s="3122" t="s">
        <v>2588</v>
      </c>
      <c r="C94" s="3122" t="s">
        <v>2589</v>
      </c>
      <c r="D94" s="3122" t="s">
        <v>2590</v>
      </c>
      <c r="E94" s="3122" t="s">
        <v>2591</v>
      </c>
      <c r="F94" s="3122" t="s">
        <v>2592</v>
      </c>
      <c r="G94" s="3122" t="s">
        <v>2593</v>
      </c>
      <c r="H94" s="3123" t="s">
        <v>2594</v>
      </c>
      <c r="I94" s="3123" t="s">
        <v>2595</v>
      </c>
      <c r="J94" s="3124" t="s">
        <v>2596</v>
      </c>
      <c r="K94" s="3124" t="s">
        <v>2597</v>
      </c>
      <c r="L94" s="3124" t="s">
        <v>2598</v>
      </c>
      <c r="M94" s="3125" t="s">
        <v>2599</v>
      </c>
      <c r="N94" s="750">
        <f>SUMPRODUCT((A95:A184=ROUNDDOWN(基准地价修正!G3,1))*(B94:M94=基准地价修正!G2)*(B95:M184))</f>
        <v>1.1382000000000001</v>
      </c>
      <c r="Q94" s="3135" t="s">
        <v>2797</v>
      </c>
      <c r="R94" s="3135" t="s">
        <v>2798</v>
      </c>
      <c r="S94" s="3135" t="s">
        <v>2799</v>
      </c>
      <c r="T94" s="3135" t="s">
        <v>2800</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9"/>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9"/>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2794</v>
      </c>
      <c r="B185" s="3120"/>
      <c r="C185" s="3120"/>
      <c r="D185" s="3120"/>
      <c r="E185" s="3120"/>
      <c r="F185" s="3120"/>
      <c r="G185" s="3120"/>
      <c r="H185" s="3120"/>
      <c r="I185" s="3120"/>
      <c r="J185" s="3120"/>
      <c r="K185" s="3120"/>
      <c r="L185" s="3120"/>
      <c r="M185" s="3120"/>
    </row>
    <row r="186" spans="1:20">
      <c r="A186" s="3121" t="s">
        <v>2792</v>
      </c>
      <c r="B186" s="3122" t="s">
        <v>2588</v>
      </c>
      <c r="C186" s="3122" t="s">
        <v>2589</v>
      </c>
      <c r="D186" s="3122" t="s">
        <v>2590</v>
      </c>
      <c r="E186" s="3122" t="s">
        <v>2591</v>
      </c>
      <c r="F186" s="3122" t="s">
        <v>2592</v>
      </c>
      <c r="G186" s="3122" t="s">
        <v>2593</v>
      </c>
      <c r="H186" s="3123" t="s">
        <v>2594</v>
      </c>
      <c r="I186" s="3123" t="s">
        <v>2595</v>
      </c>
      <c r="J186" s="3124" t="s">
        <v>2596</v>
      </c>
      <c r="K186" s="3124" t="s">
        <v>2597</v>
      </c>
      <c r="L186" s="3124" t="s">
        <v>2598</v>
      </c>
      <c r="M186" s="3125" t="s">
        <v>2599</v>
      </c>
      <c r="Q186" s="3135" t="s">
        <v>2797</v>
      </c>
      <c r="R186" s="3135" t="s">
        <v>2798</v>
      </c>
      <c r="S186" s="3135" t="s">
        <v>2799</v>
      </c>
      <c r="T186" s="3135" t="s">
        <v>2800</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2795</v>
      </c>
      <c r="B277" s="3120"/>
      <c r="C277" s="3120"/>
      <c r="D277" s="3120"/>
      <c r="E277" s="3120"/>
      <c r="F277" s="3120"/>
      <c r="G277" s="3120"/>
      <c r="H277" s="3120"/>
      <c r="I277" s="3120"/>
      <c r="J277" s="3120"/>
      <c r="K277" s="3120"/>
      <c r="L277" s="3120"/>
      <c r="M277" s="3120"/>
    </row>
    <row r="278" spans="1:21">
      <c r="A278" s="3121" t="s">
        <v>2792</v>
      </c>
      <c r="B278" s="3122" t="s">
        <v>2588</v>
      </c>
      <c r="C278" s="3122" t="s">
        <v>2589</v>
      </c>
      <c r="D278" s="3122" t="s">
        <v>2590</v>
      </c>
      <c r="E278" s="3122" t="s">
        <v>2591</v>
      </c>
      <c r="F278" s="3122" t="s">
        <v>2592</v>
      </c>
      <c r="G278" s="3122" t="s">
        <v>2593</v>
      </c>
      <c r="H278" s="3123" t="s">
        <v>2594</v>
      </c>
      <c r="I278" s="3123" t="s">
        <v>2595</v>
      </c>
      <c r="J278" s="3124" t="s">
        <v>2596</v>
      </c>
      <c r="K278" s="3124" t="s">
        <v>2597</v>
      </c>
      <c r="L278" s="3124" t="s">
        <v>2598</v>
      </c>
      <c r="M278" s="3125" t="s">
        <v>2599</v>
      </c>
      <c r="Q278" s="3135" t="s">
        <v>2797</v>
      </c>
      <c r="R278" s="3135" t="s">
        <v>2798</v>
      </c>
      <c r="S278" s="3135" t="s">
        <v>2801</v>
      </c>
      <c r="T278" s="3135" t="s">
        <v>2802</v>
      </c>
      <c r="U278" s="3135" t="s">
        <v>2800</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2796</v>
      </c>
      <c r="B369" s="3133"/>
      <c r="C369" s="3133"/>
      <c r="D369" s="3133"/>
      <c r="E369" s="3133"/>
      <c r="F369" s="3133"/>
      <c r="G369" s="3133"/>
      <c r="H369" s="3133"/>
      <c r="I369" s="3133"/>
      <c r="J369" s="3133"/>
      <c r="K369" s="3133"/>
      <c r="L369" s="3133"/>
      <c r="M369" s="3133"/>
    </row>
    <row r="370" spans="1:20">
      <c r="A370" s="3121" t="s">
        <v>2792</v>
      </c>
      <c r="B370" s="3122" t="s">
        <v>2588</v>
      </c>
      <c r="C370" s="3122" t="s">
        <v>2589</v>
      </c>
      <c r="D370" s="3122" t="s">
        <v>2590</v>
      </c>
      <c r="E370" s="3122" t="s">
        <v>2591</v>
      </c>
      <c r="F370" s="3122" t="s">
        <v>2592</v>
      </c>
      <c r="G370" s="3122" t="s">
        <v>2593</v>
      </c>
      <c r="H370" s="3123" t="s">
        <v>2594</v>
      </c>
      <c r="I370" s="3123" t="s">
        <v>2595</v>
      </c>
      <c r="J370" s="3124" t="s">
        <v>2596</v>
      </c>
      <c r="K370" s="3124" t="s">
        <v>2597</v>
      </c>
      <c r="L370" s="3124" t="s">
        <v>2598</v>
      </c>
      <c r="M370" s="3125" t="s">
        <v>2599</v>
      </c>
      <c r="N370" s="750">
        <f>SUMPRODUCT((A371:A460=ROUNDDOWN(基准地价修正!G3,1))*(B370:M370=基准地价修正!G2)*(B371:M460))</f>
        <v>1.0827</v>
      </c>
      <c r="Q370" s="3135" t="s">
        <v>2797</v>
      </c>
      <c r="R370" s="3135" t="s">
        <v>2798</v>
      </c>
      <c r="S370" s="3135" t="s">
        <v>2799</v>
      </c>
      <c r="T370" s="3135" t="s">
        <v>2800</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估价结果一览表（市场价值不需“结果表-1”）</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74426</v>
      </c>
      <c r="E5" s="1491"/>
    </row>
    <row r="6" spans="1:5" ht="15.75">
      <c r="A6" s="1491"/>
      <c r="B6" s="3452"/>
      <c r="C6" s="1494" t="s">
        <v>911</v>
      </c>
      <c r="D6" s="850" t="str">
        <f ca="1">NUMBERSTRING(INT(D5*10000),2)&amp;"元整"</f>
        <v>柒亿肆仟肆佰贰拾陆万元整</v>
      </c>
      <c r="E6" s="1491"/>
    </row>
    <row r="7" spans="1:5" ht="15.75">
      <c r="A7" s="1491"/>
      <c r="B7" s="3457"/>
      <c r="C7" s="1495" t="s">
        <v>912</v>
      </c>
      <c r="D7" s="851">
        <f ca="1">结果表!H102</f>
        <v>27360</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74426</v>
      </c>
      <c r="E13" s="1491"/>
    </row>
    <row r="14" spans="1:5" ht="15.75">
      <c r="A14" s="1491"/>
      <c r="B14" s="3452"/>
      <c r="C14" s="1494" t="s">
        <v>911</v>
      </c>
      <c r="D14" s="850" t="str">
        <f ca="1">NUMBERSTRING(INT(D13*10000),2)&amp;"元整"</f>
        <v>柒亿肆仟肆佰贰拾陆万元整</v>
      </c>
      <c r="E14" s="1491"/>
    </row>
    <row r="15" spans="1:5" ht="15">
      <c r="A15" s="1491"/>
      <c r="B15" s="3457"/>
      <c r="C15" s="1495" t="s">
        <v>921</v>
      </c>
      <c r="D15" s="859">
        <f ca="1">结果表!H108</f>
        <v>27360</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36854</v>
      </c>
      <c r="C2" s="2" t="s">
        <v>106</v>
      </c>
      <c r="D2" s="199"/>
      <c r="E2" s="199"/>
      <c r="F2" s="199"/>
      <c r="G2" s="199"/>
    </row>
    <row r="3" spans="1:7" s="200" customFormat="1" ht="18" customHeight="1" thickBot="1">
      <c r="A3" s="203" t="s">
        <v>58</v>
      </c>
      <c r="B3" s="204">
        <f ca="1">ROUND(B2*10000/'数据-汇总表'!E3,0)</f>
        <v>13548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544</v>
      </c>
      <c r="D10" s="845">
        <f>'数据-汇总表'!E6</f>
        <v>27202.300000000003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544</v>
      </c>
      <c r="D19" s="849">
        <f>'数据-汇总表'!E3</f>
        <v>27202.300000000003</v>
      </c>
      <c r="E19" s="211">
        <f>'数据-取费表'!B31</f>
        <v>200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1115</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28</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3237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3237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28087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9641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8705</v>
      </c>
      <c r="D34" s="217"/>
      <c r="E34" s="220"/>
      <c r="F34" s="257">
        <f>IF('数据-取费表'!B24=0,1,'数据-取费表'!N16)</f>
        <v>1</v>
      </c>
      <c r="G34" s="219" t="s">
        <v>89</v>
      </c>
    </row>
    <row r="35" spans="1:7" ht="13.5" customHeight="1">
      <c r="A35" s="780" t="s">
        <v>351</v>
      </c>
      <c r="B35" s="215" t="s">
        <v>33</v>
      </c>
      <c r="C35" s="220">
        <f>ROUND(C34*F35,0)</f>
        <v>261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544</v>
      </c>
      <c r="D37" s="217">
        <f>'数据-汇总表'!E3</f>
        <v>27202.300000000003</v>
      </c>
      <c r="E37" s="249">
        <f>'数据-取费表'!B35</f>
        <v>200</v>
      </c>
      <c r="F37" s="259"/>
      <c r="G37" s="261" t="s">
        <v>92</v>
      </c>
    </row>
    <row r="38" spans="1:7" ht="13.5" customHeight="1">
      <c r="A38" s="780" t="s">
        <v>354</v>
      </c>
      <c r="B38" s="215" t="s">
        <v>36</v>
      </c>
      <c r="C38" s="220">
        <f>ROUND(C34*F38,0)</f>
        <v>131</v>
      </c>
      <c r="D38" s="220"/>
      <c r="E38" s="220"/>
      <c r="F38" s="259">
        <f>'数据-取费表'!B36</f>
        <v>1.4999999999999999E-2</v>
      </c>
      <c r="G38" s="219" t="s">
        <v>90</v>
      </c>
    </row>
    <row r="39" spans="1:7" s="214" customFormat="1" ht="13.5" customHeight="1">
      <c r="A39" s="777" t="s">
        <v>338</v>
      </c>
      <c r="B39" s="210" t="s">
        <v>77</v>
      </c>
      <c r="C39" s="232">
        <f>ROUND(C33*F20,0)</f>
        <v>193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253</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248</v>
      </c>
      <c r="D42" s="238"/>
      <c r="E42" s="238"/>
      <c r="F42" s="239"/>
      <c r="G42" s="3633" t="s">
        <v>94</v>
      </c>
    </row>
    <row r="43" spans="1:7" ht="13.5" customHeight="1">
      <c r="A43" s="780" t="s">
        <v>347</v>
      </c>
      <c r="B43" s="215" t="s">
        <v>426</v>
      </c>
      <c r="C43" s="238">
        <f ca="1">ROUND(IF('数据-取费表'!B22&lt;=1,C39*F22*'数据-取费表'!B21/2,C39*(POWER((1+F22),'数据-取费表'!B21/2)-1)),0)</f>
        <v>5</v>
      </c>
      <c r="D43" s="238"/>
      <c r="E43" s="238"/>
      <c r="F43" s="239"/>
      <c r="G43" s="3634"/>
    </row>
    <row r="44" spans="1:7" ht="13.5" customHeight="1">
      <c r="A44" s="780" t="s">
        <v>348</v>
      </c>
      <c r="B44" s="215" t="s">
        <v>428</v>
      </c>
      <c r="C44" s="238">
        <f ca="1">ROUND(IF('数据-取费表'!B22&lt;=1,C40*F22*'数据-取费表'!B21/2,C40*(POWER((1+F22),'数据-取费表'!B21/2)-1)),4)</f>
        <v>5.0000000000000001E-4</v>
      </c>
      <c r="D44" s="238"/>
      <c r="E44" s="238"/>
      <c r="F44" s="239"/>
      <c r="G44" s="3635"/>
    </row>
    <row r="45" spans="1:7" s="214" customFormat="1" ht="13.5" customHeight="1">
      <c r="A45" s="777" t="s">
        <v>341</v>
      </c>
      <c r="B45" s="244" t="s">
        <v>85</v>
      </c>
      <c r="C45" s="245">
        <f>C46</f>
        <v>1475</v>
      </c>
      <c r="D45" s="235">
        <f>C47</f>
        <v>3.0000000000000001E-3</v>
      </c>
      <c r="E45" s="236" t="s">
        <v>102</v>
      </c>
      <c r="F45" s="246"/>
      <c r="G45" s="247" t="s">
        <v>434</v>
      </c>
    </row>
    <row r="46" spans="1:7" s="214" customFormat="1" ht="13.5" customHeight="1">
      <c r="A46" s="780" t="s">
        <v>349</v>
      </c>
      <c r="B46" s="248" t="s">
        <v>427</v>
      </c>
      <c r="C46" s="249">
        <f>ROUND((C33+C39)*F27,0)</f>
        <v>1475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12524</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8767</v>
      </c>
      <c r="D51" s="232"/>
      <c r="E51" s="232"/>
      <c r="F51" s="264"/>
      <c r="G51" s="234" t="s">
        <v>37</v>
      </c>
    </row>
    <row r="52" spans="1:7" s="208" customFormat="1" ht="16.5" thickBot="1">
      <c r="A52" s="265" t="s">
        <v>38</v>
      </c>
      <c r="B52" s="266"/>
      <c r="C52" s="267">
        <f ca="1">C31+C51</f>
        <v>36854</v>
      </c>
      <c r="D52" s="266"/>
      <c r="E52" s="266"/>
      <c r="F52" s="266"/>
      <c r="G52" s="268"/>
    </row>
    <row r="55" spans="1:7" ht="15">
      <c r="B55" s="270" t="s">
        <v>39</v>
      </c>
      <c r="C55" s="271"/>
    </row>
    <row r="56" spans="1:7">
      <c r="B56" s="273" t="s">
        <v>40</v>
      </c>
      <c r="C56" s="274">
        <f ca="1">ROUND(C51/C52,3)</f>
        <v>0.23799999999999999</v>
      </c>
    </row>
    <row r="57" spans="1:7">
      <c r="B57" s="273" t="s">
        <v>41</v>
      </c>
      <c r="C57" s="275">
        <f ca="1">1-C56</f>
        <v>0.76200000000000001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771" t="s">
        <v>2834</v>
      </c>
      <c r="B1" s="3771"/>
      <c r="C1" s="3771"/>
      <c r="D1" s="3771"/>
      <c r="E1" s="3771"/>
      <c r="F1" s="3771"/>
      <c r="G1" s="3772"/>
      <c r="I1" s="3216" t="s">
        <v>2835</v>
      </c>
      <c r="J1" s="3217" t="s">
        <v>2836</v>
      </c>
      <c r="K1" s="3217" t="s">
        <v>2837</v>
      </c>
      <c r="L1" s="3217" t="s">
        <v>2838</v>
      </c>
      <c r="M1" s="3217" t="s">
        <v>2839</v>
      </c>
      <c r="N1" s="3217" t="s">
        <v>2840</v>
      </c>
      <c r="O1" s="3217" t="s">
        <v>2841</v>
      </c>
      <c r="P1" s="3217" t="s">
        <v>2842</v>
      </c>
      <c r="Q1" s="3217" t="s">
        <v>2843</v>
      </c>
      <c r="R1" s="3217" t="s">
        <v>2844</v>
      </c>
      <c r="S1" s="3217" t="s">
        <v>2845</v>
      </c>
      <c r="T1" s="3218" t="s">
        <v>2846</v>
      </c>
    </row>
    <row r="2" spans="1:20" ht="12" thickBot="1">
      <c r="A2" s="3220" t="s">
        <v>2847</v>
      </c>
      <c r="B2" s="3220"/>
      <c r="C2" s="3220"/>
      <c r="D2" s="3220"/>
      <c r="E2" s="3220"/>
      <c r="F2" s="3220"/>
      <c r="G2" s="3221" t="s">
        <v>2848</v>
      </c>
      <c r="I2" s="3222" t="s">
        <v>2849</v>
      </c>
      <c r="J2" s="3222" t="s">
        <v>2850</v>
      </c>
      <c r="K2" s="3222" t="s">
        <v>2851</v>
      </c>
      <c r="L2" s="3222" t="s">
        <v>2852</v>
      </c>
      <c r="M2" s="3222" t="s">
        <v>2853</v>
      </c>
      <c r="N2" s="3222" t="s">
        <v>2854</v>
      </c>
      <c r="O2" s="3222" t="s">
        <v>2855</v>
      </c>
      <c r="P2" s="3222" t="s">
        <v>2856</v>
      </c>
      <c r="Q2" s="3222" t="s">
        <v>2857</v>
      </c>
      <c r="R2" s="3222" t="s">
        <v>2858</v>
      </c>
      <c r="S2" s="3222" t="s">
        <v>2859</v>
      </c>
      <c r="T2" s="3222" t="s">
        <v>2860</v>
      </c>
    </row>
    <row r="3" spans="1:20" s="3228" customFormat="1">
      <c r="A3" s="3769" t="s">
        <v>2861</v>
      </c>
      <c r="B3" s="3223"/>
      <c r="C3" s="3224" t="s">
        <v>2804</v>
      </c>
      <c r="D3" s="3224" t="s">
        <v>2862</v>
      </c>
      <c r="E3" s="3224" t="s">
        <v>2806</v>
      </c>
      <c r="F3" s="3224" t="s">
        <v>2863</v>
      </c>
      <c r="G3" s="3224" t="s">
        <v>2624</v>
      </c>
      <c r="H3" s="3225"/>
      <c r="I3" s="3226" t="s">
        <v>2864</v>
      </c>
      <c r="J3" s="3227" t="s">
        <v>128</v>
      </c>
      <c r="K3" s="3227" t="s">
        <v>129</v>
      </c>
      <c r="L3" s="3226" t="s">
        <v>130</v>
      </c>
      <c r="M3" s="3226" t="s">
        <v>131</v>
      </c>
      <c r="N3" s="3226" t="s">
        <v>132</v>
      </c>
      <c r="O3" s="3226" t="s">
        <v>133</v>
      </c>
      <c r="P3" s="3226" t="s">
        <v>134</v>
      </c>
      <c r="Q3" s="3226" t="s">
        <v>135</v>
      </c>
      <c r="R3" s="3226" t="s">
        <v>136</v>
      </c>
      <c r="S3" s="3226" t="s">
        <v>2865</v>
      </c>
      <c r="T3" s="3226" t="s">
        <v>2866</v>
      </c>
    </row>
    <row r="4" spans="1:20" s="3228" customFormat="1" ht="12" thickBot="1">
      <c r="A4" s="3770"/>
      <c r="B4" s="3229" t="s">
        <v>2867</v>
      </c>
      <c r="C4" s="3229" t="s">
        <v>2868</v>
      </c>
      <c r="D4" s="3229" t="s">
        <v>2868</v>
      </c>
      <c r="E4" s="3229" t="s">
        <v>2868</v>
      </c>
      <c r="F4" s="3230" t="s">
        <v>2868</v>
      </c>
      <c r="G4" s="3230" t="s">
        <v>2868</v>
      </c>
      <c r="H4" s="3225"/>
      <c r="I4" s="3227" t="s">
        <v>137</v>
      </c>
      <c r="J4" s="3227" t="s">
        <v>111</v>
      </c>
      <c r="K4" s="3227" t="s">
        <v>138</v>
      </c>
      <c r="L4" s="3226" t="s">
        <v>139</v>
      </c>
      <c r="M4" s="3226" t="s">
        <v>140</v>
      </c>
      <c r="N4" s="3226" t="s">
        <v>141</v>
      </c>
      <c r="O4" s="3226" t="s">
        <v>142</v>
      </c>
      <c r="P4" s="3226" t="s">
        <v>143</v>
      </c>
      <c r="Q4" s="3226" t="s">
        <v>2869</v>
      </c>
      <c r="R4" s="3226" t="s">
        <v>2870</v>
      </c>
      <c r="S4" s="3226" t="s">
        <v>2871</v>
      </c>
      <c r="T4" s="3226" t="s">
        <v>2872</v>
      </c>
    </row>
    <row r="5" spans="1:20">
      <c r="A5" s="3231" t="s">
        <v>2835</v>
      </c>
      <c r="B5" s="3222" t="s">
        <v>2849</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2873</v>
      </c>
      <c r="R5" s="3226" t="s">
        <v>2874</v>
      </c>
      <c r="S5" s="3226" t="s">
        <v>153</v>
      </c>
      <c r="T5" s="3226" t="s">
        <v>2875</v>
      </c>
    </row>
    <row r="6" spans="1:20" ht="12" thickBot="1">
      <c r="A6" s="3226" t="s">
        <v>144</v>
      </c>
      <c r="B6" s="3226" t="s">
        <v>2864</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2876</v>
      </c>
      <c r="Q6" s="3226" t="s">
        <v>2877</v>
      </c>
      <c r="R6" s="3226" t="s">
        <v>161</v>
      </c>
      <c r="S6" s="3226" t="s">
        <v>2878</v>
      </c>
      <c r="T6" s="3226" t="s">
        <v>2879</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2880</v>
      </c>
      <c r="Q7" s="3226" t="s">
        <v>2881</v>
      </c>
      <c r="R7" s="3226" t="s">
        <v>2882</v>
      </c>
      <c r="S7" s="3226" t="s">
        <v>2883</v>
      </c>
      <c r="T7" s="3226" t="s">
        <v>2884</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2885</v>
      </c>
      <c r="Q8" s="3226" t="s">
        <v>174</v>
      </c>
      <c r="R8" s="3226" t="s">
        <v>2886</v>
      </c>
      <c r="S8" s="3226" t="s">
        <v>2887</v>
      </c>
      <c r="T8" s="3233" t="s">
        <v>2888</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2889</v>
      </c>
      <c r="Q9" s="3226" t="s">
        <v>182</v>
      </c>
      <c r="R9" s="3226" t="s">
        <v>183</v>
      </c>
      <c r="S9" s="3226" t="s">
        <v>200</v>
      </c>
    </row>
    <row r="10" spans="1:20">
      <c r="A10" s="3231" t="s">
        <v>184</v>
      </c>
      <c r="B10" s="3222" t="s">
        <v>2850</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2890</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2891</v>
      </c>
      <c r="P11" s="3226" t="s">
        <v>191</v>
      </c>
      <c r="Q11" s="3226" t="s">
        <v>199</v>
      </c>
      <c r="R11" s="3226" t="s">
        <v>2892</v>
      </c>
      <c r="S11" s="3226" t="s">
        <v>2893</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2894</v>
      </c>
      <c r="P12" s="3226" t="s">
        <v>2895</v>
      </c>
      <c r="Q12" s="3226" t="s">
        <v>2896</v>
      </c>
      <c r="R12" s="3226" t="s">
        <v>2897</v>
      </c>
      <c r="S12" s="3226" t="s">
        <v>2898</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2899</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2900</v>
      </c>
      <c r="K14" s="3227" t="s">
        <v>215</v>
      </c>
      <c r="L14" s="3226" t="s">
        <v>216</v>
      </c>
      <c r="M14" s="3226" t="s">
        <v>217</v>
      </c>
      <c r="N14" s="3226" t="s">
        <v>218</v>
      </c>
      <c r="O14" s="3226" t="s">
        <v>240</v>
      </c>
      <c r="P14" s="3226" t="s">
        <v>213</v>
      </c>
      <c r="Q14" s="3226" t="s">
        <v>2901</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2902</v>
      </c>
      <c r="P15" s="3226" t="s">
        <v>2903</v>
      </c>
      <c r="Q15" s="3226" t="s">
        <v>242</v>
      </c>
      <c r="R15" s="3226" t="s">
        <v>2904</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2905</v>
      </c>
      <c r="P16" s="3226" t="s">
        <v>227</v>
      </c>
      <c r="Q16" s="3226" t="s">
        <v>250</v>
      </c>
      <c r="R16" s="3226" t="s">
        <v>207</v>
      </c>
      <c r="S16" s="3226" t="s">
        <v>2906</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2907</v>
      </c>
      <c r="P17" s="3226" t="s">
        <v>2908</v>
      </c>
      <c r="Q17" s="3226" t="s">
        <v>256</v>
      </c>
      <c r="R17" s="3226" t="s">
        <v>2909</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2910</v>
      </c>
      <c r="P18" s="3226" t="s">
        <v>241</v>
      </c>
      <c r="Q18" s="3226" t="s">
        <v>2911</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2912</v>
      </c>
      <c r="P19" s="3226" t="s">
        <v>249</v>
      </c>
      <c r="Q19" s="3226" t="s">
        <v>2913</v>
      </c>
      <c r="R19" s="3226" t="s">
        <v>265</v>
      </c>
      <c r="S19" s="3226" t="s">
        <v>2914</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2915</v>
      </c>
      <c r="P20" s="3226" t="s">
        <v>2916</v>
      </c>
      <c r="Q20" s="3226" t="s">
        <v>290</v>
      </c>
      <c r="R20" s="3226" t="s">
        <v>2917</v>
      </c>
      <c r="S20" s="3226" t="s">
        <v>277</v>
      </c>
    </row>
    <row r="21" spans="1:19" ht="14.25" customHeight="1" thickBot="1">
      <c r="A21" s="3226" t="s">
        <v>184</v>
      </c>
      <c r="B21" s="3227" t="s">
        <v>208</v>
      </c>
      <c r="C21" s="3226">
        <v>32370</v>
      </c>
      <c r="D21" s="3226">
        <v>26730</v>
      </c>
      <c r="E21" s="3226">
        <v>26640</v>
      </c>
      <c r="F21" s="3226"/>
      <c r="G21" s="3226">
        <v>19440</v>
      </c>
      <c r="J21" s="3233" t="s">
        <v>2918</v>
      </c>
      <c r="K21" s="3227" t="s">
        <v>267</v>
      </c>
      <c r="L21" s="3226" t="s">
        <v>268</v>
      </c>
      <c r="M21" s="3226" t="s">
        <v>269</v>
      </c>
      <c r="N21" s="3226" t="s">
        <v>270</v>
      </c>
      <c r="O21" s="3226" t="s">
        <v>264</v>
      </c>
      <c r="P21" s="3226" t="s">
        <v>283</v>
      </c>
      <c r="Q21" s="3226" t="s">
        <v>293</v>
      </c>
      <c r="R21" s="3226" t="s">
        <v>2919</v>
      </c>
      <c r="S21" s="3233" t="s">
        <v>2920</v>
      </c>
    </row>
    <row r="22" spans="1:19" ht="14.25" customHeight="1">
      <c r="A22" s="3226" t="s">
        <v>184</v>
      </c>
      <c r="B22" s="3227" t="s">
        <v>2900</v>
      </c>
      <c r="C22" s="3226">
        <v>29830</v>
      </c>
      <c r="D22" s="3226">
        <v>27600</v>
      </c>
      <c r="E22" s="3226">
        <v>28150</v>
      </c>
      <c r="F22" s="3226"/>
      <c r="G22" s="3226">
        <v>20080</v>
      </c>
      <c r="K22" s="3227" t="s">
        <v>2921</v>
      </c>
      <c r="L22" s="3226" t="s">
        <v>272</v>
      </c>
      <c r="M22" s="3226" t="s">
        <v>273</v>
      </c>
      <c r="N22" s="3226" t="s">
        <v>274</v>
      </c>
      <c r="O22" s="3226" t="s">
        <v>2922</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2923</v>
      </c>
      <c r="L23" s="3226" t="s">
        <v>278</v>
      </c>
      <c r="M23" s="3226" t="s">
        <v>279</v>
      </c>
      <c r="N23" s="3226" t="s">
        <v>2924</v>
      </c>
      <c r="O23" s="3226" t="s">
        <v>2925</v>
      </c>
      <c r="P23" s="3226" t="s">
        <v>289</v>
      </c>
      <c r="Q23" s="3226" t="s">
        <v>298</v>
      </c>
      <c r="R23" s="3226" t="s">
        <v>2926</v>
      </c>
    </row>
    <row r="24" spans="1:19" ht="14.25" customHeight="1">
      <c r="A24" s="3226" t="s">
        <v>184</v>
      </c>
      <c r="B24" s="3227" t="s">
        <v>230</v>
      </c>
      <c r="C24" s="3226">
        <v>27930</v>
      </c>
      <c r="D24" s="3226">
        <v>32260</v>
      </c>
      <c r="E24" s="3226">
        <v>32120</v>
      </c>
      <c r="F24" s="3226"/>
      <c r="G24" s="3226">
        <v>23470</v>
      </c>
      <c r="K24" s="3227" t="s">
        <v>2927</v>
      </c>
      <c r="L24" s="3226" t="s">
        <v>281</v>
      </c>
      <c r="M24" s="3226" t="s">
        <v>282</v>
      </c>
      <c r="N24" s="3226" t="s">
        <v>2928</v>
      </c>
      <c r="O24" s="3226" t="s">
        <v>285</v>
      </c>
      <c r="P24" s="3226" t="s">
        <v>2929</v>
      </c>
      <c r="Q24" s="3235" t="s">
        <v>2930</v>
      </c>
      <c r="R24" s="3226" t="s">
        <v>2931</v>
      </c>
    </row>
    <row r="25" spans="1:19" ht="14.25" customHeight="1">
      <c r="A25" s="3226" t="s">
        <v>184</v>
      </c>
      <c r="B25" s="3227" t="s">
        <v>235</v>
      </c>
      <c r="C25" s="3226">
        <v>32230</v>
      </c>
      <c r="D25" s="3226">
        <v>29640</v>
      </c>
      <c r="E25" s="3226">
        <v>29510</v>
      </c>
      <c r="F25" s="3226"/>
      <c r="G25" s="3226">
        <v>21560</v>
      </c>
      <c r="K25" s="3227" t="s">
        <v>2932</v>
      </c>
      <c r="L25" s="3226" t="s">
        <v>2933</v>
      </c>
      <c r="M25" s="3226" t="s">
        <v>284</v>
      </c>
      <c r="N25" s="3226" t="s">
        <v>292</v>
      </c>
      <c r="O25" s="3226" t="s">
        <v>288</v>
      </c>
      <c r="P25" s="3226" t="s">
        <v>275</v>
      </c>
      <c r="Q25" s="3235" t="s">
        <v>271</v>
      </c>
      <c r="R25" s="3226" t="s">
        <v>2934</v>
      </c>
    </row>
    <row r="26" spans="1:19" ht="14.25" customHeight="1" thickBot="1">
      <c r="A26" s="3226" t="s">
        <v>184</v>
      </c>
      <c r="B26" s="3227" t="s">
        <v>244</v>
      </c>
      <c r="C26" s="3226">
        <v>31690</v>
      </c>
      <c r="D26" s="3226">
        <v>27650</v>
      </c>
      <c r="E26" s="3226">
        <v>28200</v>
      </c>
      <c r="F26" s="3226"/>
      <c r="G26" s="3226">
        <v>20110</v>
      </c>
      <c r="K26" s="3232" t="s">
        <v>2935</v>
      </c>
      <c r="L26" s="3226" t="s">
        <v>2936</v>
      </c>
      <c r="M26" s="3226" t="s">
        <v>287</v>
      </c>
      <c r="N26" s="3226" t="s">
        <v>294</v>
      </c>
      <c r="O26" s="3226" t="s">
        <v>2937</v>
      </c>
      <c r="P26" s="3226" t="s">
        <v>2938</v>
      </c>
      <c r="Q26" s="3235" t="s">
        <v>276</v>
      </c>
      <c r="R26" s="3226" t="s">
        <v>2939</v>
      </c>
    </row>
    <row r="27" spans="1:19" ht="14.25" customHeight="1">
      <c r="A27" s="3226" t="s">
        <v>184</v>
      </c>
      <c r="B27" s="3227" t="s">
        <v>251</v>
      </c>
      <c r="C27" s="3226">
        <v>29610</v>
      </c>
      <c r="D27" s="3226">
        <v>27770</v>
      </c>
      <c r="E27" s="3226">
        <v>28300</v>
      </c>
      <c r="F27" s="3226"/>
      <c r="G27" s="3226">
        <v>20210</v>
      </c>
      <c r="L27" s="3226" t="s">
        <v>2940</v>
      </c>
      <c r="M27" s="3226" t="s">
        <v>291</v>
      </c>
      <c r="N27" s="3226" t="s">
        <v>297</v>
      </c>
      <c r="O27" s="3226" t="s">
        <v>2941</v>
      </c>
      <c r="P27" s="3226" t="s">
        <v>2942</v>
      </c>
      <c r="Q27" s="3226" t="s">
        <v>2943</v>
      </c>
      <c r="R27" s="3226" t="s">
        <v>2944</v>
      </c>
    </row>
    <row r="28" spans="1:19" ht="14.25" customHeight="1">
      <c r="A28" s="3226" t="s">
        <v>184</v>
      </c>
      <c r="B28" s="3227" t="s">
        <v>259</v>
      </c>
      <c r="C28" s="3226"/>
      <c r="D28" s="3226">
        <v>31520</v>
      </c>
      <c r="E28" s="3226">
        <v>31410</v>
      </c>
      <c r="F28" s="3226"/>
      <c r="G28" s="3226">
        <v>22940</v>
      </c>
      <c r="L28" s="3226" t="s">
        <v>2945</v>
      </c>
      <c r="M28" s="3226" t="s">
        <v>2946</v>
      </c>
      <c r="N28" s="3226" t="s">
        <v>2947</v>
      </c>
      <c r="O28" s="3226" t="s">
        <v>2948</v>
      </c>
      <c r="P28" s="3226" t="s">
        <v>2949</v>
      </c>
      <c r="Q28" s="3226" t="s">
        <v>2950</v>
      </c>
      <c r="R28" s="3226" t="s">
        <v>2951</v>
      </c>
    </row>
    <row r="29" spans="1:19" ht="14.25" customHeight="1" thickBot="1">
      <c r="A29" s="3234" t="s">
        <v>184</v>
      </c>
      <c r="B29" s="3236" t="s">
        <v>2918</v>
      </c>
      <c r="C29" s="3237"/>
      <c r="D29" s="3237">
        <v>29460</v>
      </c>
      <c r="E29" s="3237">
        <v>28640</v>
      </c>
      <c r="F29" s="3237"/>
      <c r="G29" s="3237">
        <v>21430</v>
      </c>
      <c r="L29" s="3226" t="s">
        <v>2952</v>
      </c>
      <c r="M29" s="3226" t="s">
        <v>2953</v>
      </c>
      <c r="N29" s="3226" t="s">
        <v>2954</v>
      </c>
      <c r="O29" s="3226" t="s">
        <v>2955</v>
      </c>
      <c r="P29" s="3226" t="s">
        <v>2956</v>
      </c>
      <c r="Q29" s="3226" t="s">
        <v>2957</v>
      </c>
      <c r="R29" s="3226" t="s">
        <v>280</v>
      </c>
    </row>
    <row r="30" spans="1:19" ht="14.25" customHeight="1">
      <c r="A30" s="3231" t="s">
        <v>296</v>
      </c>
      <c r="B30" s="3222" t="s">
        <v>2851</v>
      </c>
      <c r="C30" s="3222">
        <v>26890</v>
      </c>
      <c r="D30" s="3222">
        <v>26770</v>
      </c>
      <c r="E30" s="3222">
        <v>25700</v>
      </c>
      <c r="F30" s="3222">
        <v>8180</v>
      </c>
      <c r="G30" s="3238">
        <v>18740</v>
      </c>
      <c r="L30" s="3226" t="s">
        <v>2958</v>
      </c>
      <c r="M30" s="3226" t="s">
        <v>2959</v>
      </c>
      <c r="N30" s="3226" t="s">
        <v>2960</v>
      </c>
      <c r="O30" s="3226" t="s">
        <v>2961</v>
      </c>
      <c r="P30" s="3226" t="s">
        <v>2962</v>
      </c>
      <c r="Q30" s="3226" t="s">
        <v>2963</v>
      </c>
      <c r="R30" s="3226" t="s">
        <v>2964</v>
      </c>
    </row>
    <row r="31" spans="1:19" ht="14.25" customHeight="1">
      <c r="A31" s="3226" t="s">
        <v>296</v>
      </c>
      <c r="B31" s="3227" t="s">
        <v>129</v>
      </c>
      <c r="C31" s="3226">
        <v>24550</v>
      </c>
      <c r="D31" s="3226">
        <v>23990</v>
      </c>
      <c r="E31" s="3226">
        <v>22930</v>
      </c>
      <c r="F31" s="3226">
        <v>7470</v>
      </c>
      <c r="G31" s="3239">
        <v>16790</v>
      </c>
      <c r="L31" s="3226" t="s">
        <v>2965</v>
      </c>
      <c r="M31" s="3226" t="s">
        <v>2966</v>
      </c>
      <c r="N31" s="3226" t="s">
        <v>2967</v>
      </c>
      <c r="O31" s="3226" t="s">
        <v>2968</v>
      </c>
      <c r="P31" s="3226" t="s">
        <v>2969</v>
      </c>
      <c r="Q31" s="3226" t="s">
        <v>2970</v>
      </c>
      <c r="R31" s="3226" t="s">
        <v>2971</v>
      </c>
    </row>
    <row r="32" spans="1:19" ht="14.25" customHeight="1" thickBot="1">
      <c r="A32" s="3226" t="s">
        <v>296</v>
      </c>
      <c r="B32" s="3227" t="s">
        <v>138</v>
      </c>
      <c r="C32" s="3226">
        <v>27210</v>
      </c>
      <c r="D32" s="3226">
        <v>23240</v>
      </c>
      <c r="E32" s="3226">
        <v>23260</v>
      </c>
      <c r="F32" s="3226">
        <v>7130</v>
      </c>
      <c r="G32" s="3239">
        <v>16270</v>
      </c>
      <c r="L32" s="3226" t="s">
        <v>2972</v>
      </c>
      <c r="M32" s="3226" t="s">
        <v>2973</v>
      </c>
      <c r="N32" s="3226" t="s">
        <v>300</v>
      </c>
      <c r="O32" s="3226" t="s">
        <v>2974</v>
      </c>
      <c r="P32" s="3226" t="s">
        <v>299</v>
      </c>
      <c r="Q32" s="3226" t="s">
        <v>2975</v>
      </c>
      <c r="R32" s="3233" t="s">
        <v>2976</v>
      </c>
    </row>
    <row r="33" spans="1:17" ht="14.25" customHeight="1" thickBot="1">
      <c r="A33" s="3226" t="s">
        <v>296</v>
      </c>
      <c r="B33" s="3227" t="s">
        <v>147</v>
      </c>
      <c r="C33" s="3226">
        <v>27300</v>
      </c>
      <c r="D33" s="3226">
        <v>22980</v>
      </c>
      <c r="E33" s="3226">
        <v>24260</v>
      </c>
      <c r="F33" s="3226">
        <v>5860</v>
      </c>
      <c r="G33" s="3239">
        <v>16090</v>
      </c>
      <c r="L33" s="3233" t="s">
        <v>2977</v>
      </c>
      <c r="M33" s="3226" t="s">
        <v>2978</v>
      </c>
      <c r="N33" s="3226" t="s">
        <v>301</v>
      </c>
      <c r="O33" s="3226" t="s">
        <v>2979</v>
      </c>
      <c r="P33" s="3226" t="s">
        <v>2980</v>
      </c>
      <c r="Q33" s="3226" t="s">
        <v>2981</v>
      </c>
    </row>
    <row r="34" spans="1:17" ht="14.25" customHeight="1">
      <c r="A34" s="3226" t="s">
        <v>296</v>
      </c>
      <c r="B34" s="3227" t="s">
        <v>156</v>
      </c>
      <c r="C34" s="3226">
        <v>23090</v>
      </c>
      <c r="D34" s="3226">
        <v>23390</v>
      </c>
      <c r="E34" s="3226">
        <v>23510</v>
      </c>
      <c r="F34" s="3226">
        <v>6700</v>
      </c>
      <c r="G34" s="3239">
        <v>16370</v>
      </c>
      <c r="M34" s="3226" t="s">
        <v>2982</v>
      </c>
      <c r="N34" s="3226" t="s">
        <v>302</v>
      </c>
      <c r="O34" s="3226" t="s">
        <v>2983</v>
      </c>
      <c r="P34" s="3226" t="s">
        <v>2984</v>
      </c>
      <c r="Q34" s="3226" t="s">
        <v>2985</v>
      </c>
    </row>
    <row r="35" spans="1:17" ht="14.25" customHeight="1">
      <c r="A35" s="3226" t="s">
        <v>296</v>
      </c>
      <c r="B35" s="3227" t="s">
        <v>163</v>
      </c>
      <c r="C35" s="3226">
        <v>27270</v>
      </c>
      <c r="D35" s="3226">
        <v>24270</v>
      </c>
      <c r="E35" s="3226">
        <v>24950</v>
      </c>
      <c r="F35" s="3226">
        <v>6600</v>
      </c>
      <c r="G35" s="3239">
        <v>16990</v>
      </c>
      <c r="M35" s="3226" t="s">
        <v>2986</v>
      </c>
      <c r="N35" s="3226" t="s">
        <v>2987</v>
      </c>
      <c r="O35" s="3226" t="s">
        <v>2988</v>
      </c>
      <c r="P35" s="3226" t="s">
        <v>2989</v>
      </c>
      <c r="Q35" s="3226" t="s">
        <v>2990</v>
      </c>
    </row>
    <row r="36" spans="1:17" ht="14.25" customHeight="1">
      <c r="A36" s="3226" t="s">
        <v>296</v>
      </c>
      <c r="B36" s="3227" t="s">
        <v>169</v>
      </c>
      <c r="C36" s="3226">
        <v>23490</v>
      </c>
      <c r="D36" s="3226">
        <v>23020</v>
      </c>
      <c r="E36" s="3226">
        <v>25230</v>
      </c>
      <c r="F36" s="3226">
        <v>6780</v>
      </c>
      <c r="G36" s="3239">
        <v>16120</v>
      </c>
      <c r="M36" s="3226" t="s">
        <v>2991</v>
      </c>
      <c r="N36" s="3226" t="s">
        <v>2992</v>
      </c>
      <c r="O36" s="3226" t="s">
        <v>2993</v>
      </c>
      <c r="P36" s="3226" t="s">
        <v>2994</v>
      </c>
      <c r="Q36" s="3226" t="s">
        <v>2995</v>
      </c>
    </row>
    <row r="37" spans="1:17" ht="14.25" customHeight="1">
      <c r="A37" s="3226" t="s">
        <v>296</v>
      </c>
      <c r="B37" s="3227" t="s">
        <v>176</v>
      </c>
      <c r="C37" s="3226">
        <v>24380</v>
      </c>
      <c r="D37" s="3226">
        <v>22240</v>
      </c>
      <c r="E37" s="3226">
        <v>25980</v>
      </c>
      <c r="F37" s="3226">
        <v>8160</v>
      </c>
      <c r="G37" s="3239">
        <v>15570</v>
      </c>
      <c r="M37" s="3226" t="s">
        <v>2996</v>
      </c>
      <c r="N37" s="3226" t="s">
        <v>2997</v>
      </c>
      <c r="O37" s="3226" t="s">
        <v>2998</v>
      </c>
      <c r="P37" s="3226" t="s">
        <v>2999</v>
      </c>
      <c r="Q37" s="3226" t="s">
        <v>3000</v>
      </c>
    </row>
    <row r="38" spans="1:17" ht="14.25" customHeight="1">
      <c r="A38" s="3226" t="s">
        <v>296</v>
      </c>
      <c r="B38" s="3227" t="s">
        <v>186</v>
      </c>
      <c r="C38" s="3226">
        <v>23120</v>
      </c>
      <c r="D38" s="3226">
        <v>24630</v>
      </c>
      <c r="E38" s="3226">
        <v>25030</v>
      </c>
      <c r="F38" s="3226">
        <v>7710</v>
      </c>
      <c r="G38" s="3239">
        <v>17240</v>
      </c>
      <c r="M38" s="3226" t="s">
        <v>3001</v>
      </c>
      <c r="N38" s="3226" t="s">
        <v>3002</v>
      </c>
      <c r="O38" s="3226" t="s">
        <v>3003</v>
      </c>
      <c r="P38" s="3226" t="s">
        <v>3004</v>
      </c>
      <c r="Q38" s="3226" t="s">
        <v>3005</v>
      </c>
    </row>
    <row r="39" spans="1:17" ht="14.25" customHeight="1">
      <c r="A39" s="3226" t="s">
        <v>296</v>
      </c>
      <c r="B39" s="3227" t="s">
        <v>195</v>
      </c>
      <c r="C39" s="3226">
        <v>22330</v>
      </c>
      <c r="D39" s="3226">
        <v>21140</v>
      </c>
      <c r="E39" s="3226">
        <v>23970</v>
      </c>
      <c r="F39" s="3226">
        <v>7940</v>
      </c>
      <c r="G39" s="3239">
        <v>14790</v>
      </c>
      <c r="M39" s="3226" t="s">
        <v>3006</v>
      </c>
      <c r="N39" s="3226" t="s">
        <v>3007</v>
      </c>
      <c r="O39" s="3226" t="s">
        <v>3008</v>
      </c>
      <c r="P39" s="3226" t="s">
        <v>3009</v>
      </c>
      <c r="Q39" s="3226" t="s">
        <v>3010</v>
      </c>
    </row>
    <row r="40" spans="1:17" ht="14.25" customHeight="1">
      <c r="A40" s="3226" t="s">
        <v>296</v>
      </c>
      <c r="B40" s="3227" t="s">
        <v>202</v>
      </c>
      <c r="C40" s="3226">
        <v>24740</v>
      </c>
      <c r="D40" s="3226">
        <v>24690</v>
      </c>
      <c r="E40" s="3226">
        <v>22610</v>
      </c>
      <c r="F40" s="3226"/>
      <c r="G40" s="3239">
        <v>17280</v>
      </c>
      <c r="M40" s="3226" t="s">
        <v>3011</v>
      </c>
      <c r="N40" s="3226" t="s">
        <v>3012</v>
      </c>
      <c r="O40" s="3226" t="s">
        <v>3013</v>
      </c>
      <c r="P40" s="3226" t="s">
        <v>3014</v>
      </c>
      <c r="Q40" s="3226" t="s">
        <v>3015</v>
      </c>
    </row>
    <row r="41" spans="1:17" ht="14.25" customHeight="1" thickBot="1">
      <c r="A41" s="3226" t="s">
        <v>296</v>
      </c>
      <c r="B41" s="3227" t="s">
        <v>209</v>
      </c>
      <c r="C41" s="3226">
        <v>21220</v>
      </c>
      <c r="D41" s="3226">
        <v>21120</v>
      </c>
      <c r="E41" s="3226">
        <v>22590</v>
      </c>
      <c r="F41" s="3226"/>
      <c r="G41" s="3239">
        <v>14780</v>
      </c>
      <c r="M41" s="3233" t="s">
        <v>3016</v>
      </c>
      <c r="N41" s="3226" t="s">
        <v>3017</v>
      </c>
      <c r="O41" s="3226" t="s">
        <v>3018</v>
      </c>
      <c r="P41" s="3226" t="s">
        <v>3019</v>
      </c>
      <c r="Q41" s="3226" t="s">
        <v>3020</v>
      </c>
    </row>
    <row r="42" spans="1:17" ht="14.25" customHeight="1">
      <c r="A42" s="3226" t="s">
        <v>296</v>
      </c>
      <c r="B42" s="3227" t="s">
        <v>215</v>
      </c>
      <c r="C42" s="3226">
        <v>24800</v>
      </c>
      <c r="D42" s="3226">
        <v>22280</v>
      </c>
      <c r="E42" s="3226">
        <v>24350</v>
      </c>
      <c r="F42" s="3226"/>
      <c r="G42" s="3239">
        <v>15590</v>
      </c>
      <c r="N42" s="3226" t="s">
        <v>3021</v>
      </c>
      <c r="O42" s="3226" t="s">
        <v>3022</v>
      </c>
      <c r="P42" s="3226" t="s">
        <v>3023</v>
      </c>
      <c r="Q42" s="3226" t="s">
        <v>3024</v>
      </c>
    </row>
    <row r="43" spans="1:17" ht="14.25" customHeight="1">
      <c r="A43" s="3226" t="s">
        <v>3025</v>
      </c>
      <c r="B43" s="3227" t="s">
        <v>223</v>
      </c>
      <c r="C43" s="3226">
        <v>21210</v>
      </c>
      <c r="D43" s="3226">
        <v>21160</v>
      </c>
      <c r="E43" s="3226">
        <v>22650</v>
      </c>
      <c r="F43" s="3226"/>
      <c r="G43" s="3239">
        <v>14800</v>
      </c>
      <c r="N43" s="3226" t="s">
        <v>3026</v>
      </c>
      <c r="O43" s="3226" t="s">
        <v>3027</v>
      </c>
      <c r="P43" s="3226" t="s">
        <v>3028</v>
      </c>
      <c r="Q43" s="3226" t="s">
        <v>3029</v>
      </c>
    </row>
    <row r="44" spans="1:17" ht="14.25" customHeight="1" thickBot="1">
      <c r="A44" s="3226" t="s">
        <v>296</v>
      </c>
      <c r="B44" s="3227" t="s">
        <v>231</v>
      </c>
      <c r="C44" s="3226">
        <v>22370</v>
      </c>
      <c r="D44" s="3226">
        <v>23140</v>
      </c>
      <c r="E44" s="3226">
        <v>25090</v>
      </c>
      <c r="F44" s="3226"/>
      <c r="G44" s="3239">
        <v>16190</v>
      </c>
      <c r="N44" s="3226" t="s">
        <v>3030</v>
      </c>
      <c r="O44" s="3226" t="s">
        <v>3031</v>
      </c>
      <c r="P44" s="3233" t="s">
        <v>3032</v>
      </c>
      <c r="Q44" s="3226" t="s">
        <v>3033</v>
      </c>
    </row>
    <row r="45" spans="1:17" ht="14.25" customHeight="1" thickBot="1">
      <c r="A45" s="3226" t="s">
        <v>296</v>
      </c>
      <c r="B45" s="3227" t="s">
        <v>236</v>
      </c>
      <c r="C45" s="3226">
        <v>21240</v>
      </c>
      <c r="D45" s="3226">
        <v>27050</v>
      </c>
      <c r="E45" s="3226">
        <v>28000</v>
      </c>
      <c r="F45" s="3226"/>
      <c r="G45" s="3239">
        <v>18940</v>
      </c>
      <c r="N45" s="3226" t="s">
        <v>3034</v>
      </c>
      <c r="O45" s="3233" t="s">
        <v>3035</v>
      </c>
      <c r="Q45" s="3226" t="s">
        <v>3036</v>
      </c>
    </row>
    <row r="46" spans="1:17" ht="14.25" customHeight="1">
      <c r="A46" s="3226" t="s">
        <v>296</v>
      </c>
      <c r="B46" s="3227" t="s">
        <v>245</v>
      </c>
      <c r="C46" s="3226">
        <v>23240</v>
      </c>
      <c r="D46" s="3226">
        <v>23000</v>
      </c>
      <c r="E46" s="3226">
        <v>24980</v>
      </c>
      <c r="F46" s="3226"/>
      <c r="G46" s="3239">
        <v>16100</v>
      </c>
      <c r="N46" s="3226" t="s">
        <v>3037</v>
      </c>
      <c r="Q46" s="3226" t="s">
        <v>3038</v>
      </c>
    </row>
    <row r="47" spans="1:17" ht="14.25" customHeight="1">
      <c r="A47" s="3226" t="s">
        <v>296</v>
      </c>
      <c r="B47" s="3227" t="s">
        <v>252</v>
      </c>
      <c r="C47" s="3226">
        <v>27150</v>
      </c>
      <c r="D47" s="3226">
        <v>23310</v>
      </c>
      <c r="E47" s="3226">
        <v>25150</v>
      </c>
      <c r="F47" s="3226"/>
      <c r="G47" s="3239">
        <v>16310</v>
      </c>
      <c r="N47" s="3226" t="s">
        <v>3039</v>
      </c>
      <c r="Q47" s="3226" t="s">
        <v>3040</v>
      </c>
    </row>
    <row r="48" spans="1:17" ht="14.25" customHeight="1">
      <c r="A48" s="3226" t="s">
        <v>296</v>
      </c>
      <c r="B48" s="3227" t="s">
        <v>260</v>
      </c>
      <c r="C48" s="3226">
        <v>23100</v>
      </c>
      <c r="D48" s="3226">
        <v>21110</v>
      </c>
      <c r="E48" s="3226">
        <v>23080</v>
      </c>
      <c r="F48" s="3226"/>
      <c r="G48" s="3239">
        <v>14780</v>
      </c>
      <c r="N48" s="3226" t="s">
        <v>3041</v>
      </c>
      <c r="Q48" s="3226" t="s">
        <v>3042</v>
      </c>
    </row>
    <row r="49" spans="1:17" ht="14.25" customHeight="1">
      <c r="A49" s="3226" t="s">
        <v>296</v>
      </c>
      <c r="B49" s="3227" t="s">
        <v>267</v>
      </c>
      <c r="C49" s="3226">
        <v>23400</v>
      </c>
      <c r="D49" s="3226">
        <v>22920</v>
      </c>
      <c r="E49" s="3226">
        <v>24900</v>
      </c>
      <c r="F49" s="3226"/>
      <c r="G49" s="3239">
        <v>16040</v>
      </c>
      <c r="N49" s="3226" t="s">
        <v>3043</v>
      </c>
      <c r="Q49" s="3226" t="s">
        <v>3044</v>
      </c>
    </row>
    <row r="50" spans="1:17" ht="14.25" customHeight="1">
      <c r="A50" s="3226" t="s">
        <v>296</v>
      </c>
      <c r="B50" s="3227" t="s">
        <v>2921</v>
      </c>
      <c r="C50" s="3226">
        <v>21200</v>
      </c>
      <c r="D50" s="3226">
        <v>26540</v>
      </c>
      <c r="E50" s="3226">
        <v>23200</v>
      </c>
      <c r="F50" s="3226"/>
      <c r="G50" s="3239">
        <v>18580</v>
      </c>
      <c r="N50" s="3226" t="s">
        <v>3045</v>
      </c>
      <c r="Q50" s="3227" t="s">
        <v>3046</v>
      </c>
    </row>
    <row r="51" spans="1:17" ht="14.25" customHeight="1" thickBot="1">
      <c r="A51" s="3226" t="s">
        <v>296</v>
      </c>
      <c r="B51" s="3227" t="s">
        <v>2923</v>
      </c>
      <c r="C51" s="3226">
        <v>23000</v>
      </c>
      <c r="D51" s="3226">
        <v>23460</v>
      </c>
      <c r="E51" s="3226">
        <v>25290</v>
      </c>
      <c r="F51" s="3226"/>
      <c r="G51" s="3239">
        <v>16420</v>
      </c>
      <c r="N51" s="3226" t="s">
        <v>3047</v>
      </c>
      <c r="Q51" s="3233" t="s">
        <v>3048</v>
      </c>
    </row>
    <row r="52" spans="1:17" ht="14.25" customHeight="1">
      <c r="A52" s="3226" t="s">
        <v>296</v>
      </c>
      <c r="B52" s="3227" t="s">
        <v>2927</v>
      </c>
      <c r="C52" s="3226">
        <v>26660</v>
      </c>
      <c r="D52" s="3226">
        <v>22350</v>
      </c>
      <c r="E52" s="3226">
        <v>22920</v>
      </c>
      <c r="F52" s="3226"/>
      <c r="G52" s="3239">
        <v>15640</v>
      </c>
      <c r="N52" s="3226" t="s">
        <v>3049</v>
      </c>
    </row>
    <row r="53" spans="1:17" ht="14.25" customHeight="1">
      <c r="A53" s="3226" t="s">
        <v>296</v>
      </c>
      <c r="B53" s="3227" t="s">
        <v>2932</v>
      </c>
      <c r="C53" s="3226">
        <v>23580</v>
      </c>
      <c r="D53" s="3226"/>
      <c r="E53" s="3226">
        <v>24280</v>
      </c>
      <c r="F53" s="3226"/>
      <c r="G53" s="3239"/>
      <c r="N53" s="3226" t="s">
        <v>3050</v>
      </c>
    </row>
    <row r="54" spans="1:17" ht="14.25" customHeight="1" thickBot="1">
      <c r="A54" s="3240" t="s">
        <v>296</v>
      </c>
      <c r="B54" s="3232" t="s">
        <v>2935</v>
      </c>
      <c r="C54" s="3233">
        <v>22460</v>
      </c>
      <c r="D54" s="3233"/>
      <c r="E54" s="3233"/>
      <c r="F54" s="3233"/>
      <c r="G54" s="3241"/>
      <c r="N54" s="3226" t="s">
        <v>3051</v>
      </c>
    </row>
    <row r="55" spans="1:17" ht="14.25" customHeight="1">
      <c r="A55" s="3231" t="s">
        <v>110</v>
      </c>
      <c r="B55" s="3222" t="s">
        <v>3052</v>
      </c>
      <c r="C55" s="3226">
        <v>21970</v>
      </c>
      <c r="D55" s="3226">
        <v>20370</v>
      </c>
      <c r="E55" s="3226">
        <v>20180</v>
      </c>
      <c r="F55" s="3226">
        <v>5730</v>
      </c>
      <c r="G55" s="3226">
        <v>13820</v>
      </c>
      <c r="N55" s="3226" t="s">
        <v>3053</v>
      </c>
    </row>
    <row r="56" spans="1:17" ht="14.25" customHeight="1">
      <c r="A56" s="3226" t="s">
        <v>110</v>
      </c>
      <c r="B56" s="3226" t="s">
        <v>130</v>
      </c>
      <c r="C56" s="3226">
        <v>20470</v>
      </c>
      <c r="D56" s="3226">
        <v>20700</v>
      </c>
      <c r="E56" s="3226">
        <v>20380</v>
      </c>
      <c r="F56" s="3226">
        <v>4760</v>
      </c>
      <c r="G56" s="3226">
        <v>14050</v>
      </c>
      <c r="N56" s="3226" t="s">
        <v>3054</v>
      </c>
    </row>
    <row r="57" spans="1:17" ht="14.25" customHeight="1">
      <c r="A57" s="3226" t="s">
        <v>110</v>
      </c>
      <c r="B57" s="3226" t="s">
        <v>139</v>
      </c>
      <c r="C57" s="3226">
        <v>20790</v>
      </c>
      <c r="D57" s="3226">
        <v>21370</v>
      </c>
      <c r="E57" s="3226">
        <v>20890</v>
      </c>
      <c r="F57" s="3226">
        <v>4910</v>
      </c>
      <c r="G57" s="3226">
        <v>14510</v>
      </c>
      <c r="N57" s="3226" t="s">
        <v>3055</v>
      </c>
    </row>
    <row r="58" spans="1:17" ht="14.25" customHeight="1">
      <c r="A58" s="3226" t="s">
        <v>110</v>
      </c>
      <c r="B58" s="3226" t="s">
        <v>148</v>
      </c>
      <c r="C58" s="3226">
        <v>21460</v>
      </c>
      <c r="D58" s="3226">
        <v>20920</v>
      </c>
      <c r="E58" s="3226">
        <v>23410</v>
      </c>
      <c r="F58" s="3226">
        <v>5100</v>
      </c>
      <c r="G58" s="3226">
        <v>14200</v>
      </c>
      <c r="N58" s="3226" t="s">
        <v>3056</v>
      </c>
    </row>
    <row r="59" spans="1:17" ht="14.25" customHeight="1">
      <c r="A59" s="3226" t="s">
        <v>110</v>
      </c>
      <c r="B59" s="3226" t="s">
        <v>157</v>
      </c>
      <c r="C59" s="3226">
        <v>21000</v>
      </c>
      <c r="D59" s="3226">
        <v>21550</v>
      </c>
      <c r="E59" s="3226">
        <v>21150</v>
      </c>
      <c r="F59" s="3226">
        <v>5250</v>
      </c>
      <c r="G59" s="3226">
        <v>14630</v>
      </c>
      <c r="N59" s="3226" t="s">
        <v>3057</v>
      </c>
    </row>
    <row r="60" spans="1:17" ht="14.25" customHeight="1">
      <c r="A60" s="3226" t="s">
        <v>110</v>
      </c>
      <c r="B60" s="3226" t="s">
        <v>164</v>
      </c>
      <c r="C60" s="3226">
        <v>21640</v>
      </c>
      <c r="D60" s="3226">
        <v>21260</v>
      </c>
      <c r="E60" s="3226">
        <v>24040</v>
      </c>
      <c r="F60" s="3226">
        <v>4470</v>
      </c>
      <c r="G60" s="3226">
        <v>14430</v>
      </c>
      <c r="N60" s="3226" t="s">
        <v>3058</v>
      </c>
    </row>
    <row r="61" spans="1:17" ht="14.25" customHeight="1">
      <c r="A61" s="3226" t="s">
        <v>110</v>
      </c>
      <c r="B61" s="3226" t="s">
        <v>170</v>
      </c>
      <c r="C61" s="3226">
        <v>21330</v>
      </c>
      <c r="D61" s="3226">
        <v>18640</v>
      </c>
      <c r="E61" s="3226">
        <v>21190</v>
      </c>
      <c r="F61" s="3226">
        <v>4180</v>
      </c>
      <c r="G61" s="3226">
        <v>12650</v>
      </c>
      <c r="N61" s="3226" t="s">
        <v>3059</v>
      </c>
    </row>
    <row r="62" spans="1:17" ht="14.25" customHeight="1">
      <c r="A62" s="3226" t="s">
        <v>110</v>
      </c>
      <c r="B62" s="3226" t="s">
        <v>177</v>
      </c>
      <c r="C62" s="3226">
        <v>18710</v>
      </c>
      <c r="D62" s="3226">
        <v>19400</v>
      </c>
      <c r="E62" s="3226">
        <v>23750</v>
      </c>
      <c r="F62" s="3226">
        <v>4860</v>
      </c>
      <c r="G62" s="3226">
        <v>13170</v>
      </c>
      <c r="N62" s="3226" t="s">
        <v>3060</v>
      </c>
    </row>
    <row r="63" spans="1:17" ht="14.25" customHeight="1">
      <c r="A63" s="3226" t="s">
        <v>110</v>
      </c>
      <c r="B63" s="3226" t="s">
        <v>187</v>
      </c>
      <c r="C63" s="3226">
        <v>19480</v>
      </c>
      <c r="D63" s="3226">
        <v>16830</v>
      </c>
      <c r="E63" s="3226">
        <v>21590</v>
      </c>
      <c r="F63" s="3226">
        <v>4560</v>
      </c>
      <c r="G63" s="3226">
        <v>11420</v>
      </c>
      <c r="N63" s="3226" t="s">
        <v>3061</v>
      </c>
    </row>
    <row r="64" spans="1:17" ht="14.25" customHeight="1" thickBot="1">
      <c r="A64" s="3226" t="s">
        <v>110</v>
      </c>
      <c r="B64" s="3226" t="s">
        <v>196</v>
      </c>
      <c r="C64" s="3226">
        <v>16920</v>
      </c>
      <c r="D64" s="3226">
        <v>19190</v>
      </c>
      <c r="E64" s="3226">
        <v>22200</v>
      </c>
      <c r="F64" s="3226">
        <v>4390</v>
      </c>
      <c r="G64" s="3226">
        <v>13030</v>
      </c>
      <c r="N64" s="3233" t="s">
        <v>3062</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2933</v>
      </c>
      <c r="C78" s="3226">
        <v>19820</v>
      </c>
      <c r="D78" s="3226">
        <v>19780</v>
      </c>
      <c r="E78" s="3226">
        <v>18560</v>
      </c>
      <c r="F78" s="3226"/>
      <c r="G78" s="3226">
        <v>13430</v>
      </c>
    </row>
    <row r="79" spans="1:7" s="3215" customFormat="1" ht="14.25" customHeight="1">
      <c r="A79" s="3226" t="s">
        <v>110</v>
      </c>
      <c r="B79" s="3226" t="s">
        <v>2936</v>
      </c>
      <c r="C79" s="3226">
        <v>21660</v>
      </c>
      <c r="D79" s="3226">
        <v>18000</v>
      </c>
      <c r="E79" s="3226">
        <v>22570</v>
      </c>
      <c r="F79" s="3226"/>
      <c r="G79" s="3226">
        <v>12220</v>
      </c>
    </row>
    <row r="80" spans="1:7" s="3215" customFormat="1" ht="14.25" customHeight="1">
      <c r="A80" s="3226" t="s">
        <v>110</v>
      </c>
      <c r="B80" s="3226" t="s">
        <v>2940</v>
      </c>
      <c r="C80" s="3226">
        <v>19850</v>
      </c>
      <c r="D80" s="3226"/>
      <c r="E80" s="3226">
        <v>21700</v>
      </c>
      <c r="F80" s="3226"/>
      <c r="G80" s="3226"/>
    </row>
    <row r="81" spans="1:7" s="3215" customFormat="1" ht="14.25" customHeight="1">
      <c r="A81" s="3226" t="s">
        <v>110</v>
      </c>
      <c r="B81" s="3226" t="s">
        <v>2945</v>
      </c>
      <c r="C81" s="3226">
        <v>18080</v>
      </c>
      <c r="D81" s="3226"/>
      <c r="E81" s="3226">
        <v>20900</v>
      </c>
      <c r="F81" s="3226"/>
      <c r="G81" s="3226"/>
    </row>
    <row r="82" spans="1:7" s="3215" customFormat="1" ht="14.25" customHeight="1">
      <c r="A82" s="3226" t="s">
        <v>110</v>
      </c>
      <c r="B82" s="3226" t="s">
        <v>2952</v>
      </c>
      <c r="C82" s="3226"/>
      <c r="D82" s="3226"/>
      <c r="E82" s="3226">
        <v>20840</v>
      </c>
      <c r="F82" s="3226"/>
      <c r="G82" s="3226"/>
    </row>
    <row r="83" spans="1:7" s="3215" customFormat="1" ht="14.25" customHeight="1">
      <c r="A83" s="3226" t="s">
        <v>110</v>
      </c>
      <c r="B83" s="3226" t="s">
        <v>3063</v>
      </c>
      <c r="C83" s="3226"/>
      <c r="D83" s="3226"/>
      <c r="E83" s="3226"/>
      <c r="F83" s="3226">
        <v>4770</v>
      </c>
      <c r="G83" s="3226"/>
    </row>
    <row r="84" spans="1:7" s="3215" customFormat="1" ht="14.25" customHeight="1">
      <c r="A84" s="3226" t="s">
        <v>110</v>
      </c>
      <c r="B84" s="3226" t="s">
        <v>3064</v>
      </c>
      <c r="C84" s="3226"/>
      <c r="D84" s="3226"/>
      <c r="E84" s="3226"/>
      <c r="F84" s="3226">
        <v>4600</v>
      </c>
      <c r="G84" s="3226"/>
    </row>
    <row r="85" spans="1:7" s="3215" customFormat="1" ht="14.25" customHeight="1">
      <c r="A85" s="3226" t="s">
        <v>110</v>
      </c>
      <c r="B85" s="3226" t="s">
        <v>3065</v>
      </c>
      <c r="C85" s="3226"/>
      <c r="D85" s="3226"/>
      <c r="E85" s="3226"/>
      <c r="F85" s="3226">
        <v>4680</v>
      </c>
      <c r="G85" s="3226"/>
    </row>
    <row r="86" spans="1:7" s="3215" customFormat="1" ht="14.25" customHeight="1" thickBot="1">
      <c r="A86" s="3234" t="s">
        <v>110</v>
      </c>
      <c r="B86" s="3236" t="s">
        <v>3066</v>
      </c>
      <c r="C86" s="3237">
        <v>16610</v>
      </c>
      <c r="D86" s="3237">
        <v>16540</v>
      </c>
      <c r="E86" s="3237">
        <v>18850</v>
      </c>
      <c r="F86" s="3237"/>
      <c r="G86" s="3237">
        <v>11220</v>
      </c>
    </row>
    <row r="87" spans="1:7" s="3215" customFormat="1" ht="14.25" customHeight="1">
      <c r="A87" s="3231" t="s">
        <v>303</v>
      </c>
      <c r="B87" s="3222" t="s">
        <v>3067</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2946</v>
      </c>
      <c r="C113" s="3226">
        <v>15520</v>
      </c>
      <c r="D113" s="3226">
        <v>15450</v>
      </c>
      <c r="E113" s="3226"/>
      <c r="F113" s="3226"/>
      <c r="G113" s="3239">
        <v>10210</v>
      </c>
    </row>
    <row r="114" spans="1:7" s="3215" customFormat="1" ht="14.25" customHeight="1">
      <c r="A114" s="3226" t="s">
        <v>303</v>
      </c>
      <c r="B114" s="3226" t="s">
        <v>2953</v>
      </c>
      <c r="C114" s="3226">
        <v>13110</v>
      </c>
      <c r="D114" s="3226">
        <v>13050</v>
      </c>
      <c r="E114" s="3226"/>
      <c r="F114" s="3226"/>
      <c r="G114" s="3239">
        <v>8620</v>
      </c>
    </row>
    <row r="115" spans="1:7" s="3215" customFormat="1" ht="14.25" customHeight="1">
      <c r="A115" s="3226" t="s">
        <v>303</v>
      </c>
      <c r="B115" s="3226" t="s">
        <v>2959</v>
      </c>
      <c r="C115" s="3226">
        <v>12460</v>
      </c>
      <c r="D115" s="3226">
        <v>12390</v>
      </c>
      <c r="E115" s="3226"/>
      <c r="F115" s="3226"/>
      <c r="G115" s="3239">
        <v>8190</v>
      </c>
    </row>
    <row r="116" spans="1:7" s="3215" customFormat="1" ht="14.25" customHeight="1">
      <c r="A116" s="3226" t="s">
        <v>303</v>
      </c>
      <c r="B116" s="3226" t="s">
        <v>2966</v>
      </c>
      <c r="C116" s="3226">
        <v>13580</v>
      </c>
      <c r="D116" s="3226">
        <v>13520</v>
      </c>
      <c r="E116" s="3226"/>
      <c r="F116" s="3226"/>
      <c r="G116" s="3239">
        <v>8930</v>
      </c>
    </row>
    <row r="117" spans="1:7" s="3215" customFormat="1" ht="14.25" customHeight="1">
      <c r="A117" s="3226" t="s">
        <v>303</v>
      </c>
      <c r="B117" s="3226" t="s">
        <v>2973</v>
      </c>
      <c r="C117" s="3226">
        <v>17120</v>
      </c>
      <c r="D117" s="3226">
        <v>17040</v>
      </c>
      <c r="E117" s="3226"/>
      <c r="F117" s="3226"/>
      <c r="G117" s="3239">
        <v>11260</v>
      </c>
    </row>
    <row r="118" spans="1:7" s="3215" customFormat="1" ht="14.25" customHeight="1">
      <c r="A118" s="3226" t="s">
        <v>303</v>
      </c>
      <c r="B118" s="3226" t="s">
        <v>2978</v>
      </c>
      <c r="C118" s="3226">
        <v>14860</v>
      </c>
      <c r="D118" s="3226">
        <v>14790</v>
      </c>
      <c r="E118" s="3226"/>
      <c r="F118" s="3226"/>
      <c r="G118" s="3239">
        <v>9780</v>
      </c>
    </row>
    <row r="119" spans="1:7" s="3215" customFormat="1" ht="14.25" customHeight="1">
      <c r="A119" s="3226" t="s">
        <v>303</v>
      </c>
      <c r="B119" s="3226" t="s">
        <v>2982</v>
      </c>
      <c r="C119" s="3226">
        <v>16470</v>
      </c>
      <c r="D119" s="3226">
        <v>16400</v>
      </c>
      <c r="E119" s="3226"/>
      <c r="F119" s="3226"/>
      <c r="G119" s="3239">
        <v>10840</v>
      </c>
    </row>
    <row r="120" spans="1:7" s="3215" customFormat="1" ht="14.25" customHeight="1">
      <c r="A120" s="3226" t="s">
        <v>303</v>
      </c>
      <c r="B120" s="3226" t="s">
        <v>3068</v>
      </c>
      <c r="C120" s="3226"/>
      <c r="D120" s="3226"/>
      <c r="E120" s="3226"/>
      <c r="F120" s="3226">
        <v>4160</v>
      </c>
      <c r="G120" s="3239"/>
    </row>
    <row r="121" spans="1:7" s="3215" customFormat="1" ht="14.25" customHeight="1">
      <c r="A121" s="3226" t="s">
        <v>303</v>
      </c>
      <c r="B121" s="3226" t="s">
        <v>3069</v>
      </c>
      <c r="C121" s="3226"/>
      <c r="D121" s="3226"/>
      <c r="E121" s="3226"/>
      <c r="F121" s="3226">
        <v>3880</v>
      </c>
      <c r="G121" s="3239"/>
    </row>
    <row r="122" spans="1:7" s="3215" customFormat="1" ht="14.25" customHeight="1">
      <c r="A122" s="3226" t="s">
        <v>303</v>
      </c>
      <c r="B122" s="3226" t="s">
        <v>3070</v>
      </c>
      <c r="C122" s="3226">
        <v>13750</v>
      </c>
      <c r="D122" s="3226">
        <v>13680</v>
      </c>
      <c r="E122" s="3226">
        <v>16460</v>
      </c>
      <c r="F122" s="3226">
        <v>2880</v>
      </c>
      <c r="G122" s="3239">
        <v>9040</v>
      </c>
    </row>
    <row r="123" spans="1:7" s="3215" customFormat="1" ht="14.25" customHeight="1">
      <c r="A123" s="3226" t="s">
        <v>303</v>
      </c>
      <c r="B123" s="3226" t="s">
        <v>3001</v>
      </c>
      <c r="C123" s="3226">
        <v>13590</v>
      </c>
      <c r="D123" s="3226">
        <v>13520</v>
      </c>
      <c r="E123" s="3226">
        <v>16290</v>
      </c>
      <c r="F123" s="3226">
        <v>2790</v>
      </c>
      <c r="G123" s="3239">
        <v>8930</v>
      </c>
    </row>
    <row r="124" spans="1:7" s="3215" customFormat="1" ht="14.25" customHeight="1">
      <c r="A124" s="3226" t="s">
        <v>303</v>
      </c>
      <c r="B124" s="3226" t="s">
        <v>3006</v>
      </c>
      <c r="C124" s="3226">
        <v>13400</v>
      </c>
      <c r="D124" s="3226">
        <v>13320</v>
      </c>
      <c r="E124" s="3226">
        <v>16100</v>
      </c>
      <c r="F124" s="3226">
        <v>2320</v>
      </c>
      <c r="G124" s="3239">
        <v>8800</v>
      </c>
    </row>
    <row r="125" spans="1:7" s="3215" customFormat="1" ht="14.25" customHeight="1">
      <c r="A125" s="3226" t="s">
        <v>303</v>
      </c>
      <c r="B125" s="3226" t="s">
        <v>3011</v>
      </c>
      <c r="C125" s="3226">
        <v>12860</v>
      </c>
      <c r="D125" s="3226">
        <v>12790</v>
      </c>
      <c r="E125" s="3226">
        <v>15370</v>
      </c>
      <c r="F125" s="3226">
        <v>2280</v>
      </c>
      <c r="G125" s="3239">
        <v>8450</v>
      </c>
    </row>
    <row r="126" spans="1:7" s="3215" customFormat="1" ht="14.25" customHeight="1" thickBot="1">
      <c r="A126" s="3240" t="s">
        <v>303</v>
      </c>
      <c r="B126" s="3233" t="s">
        <v>3016</v>
      </c>
      <c r="C126" s="3233">
        <v>12960</v>
      </c>
      <c r="D126" s="3233">
        <v>12890</v>
      </c>
      <c r="E126" s="3233">
        <v>15530</v>
      </c>
      <c r="F126" s="3233">
        <v>2910</v>
      </c>
      <c r="G126" s="3241">
        <v>8520</v>
      </c>
    </row>
    <row r="127" spans="1:7" s="3215" customFormat="1" ht="14.25" customHeight="1">
      <c r="A127" s="3231" t="s">
        <v>29</v>
      </c>
      <c r="B127" s="3222" t="s">
        <v>3071</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3072</v>
      </c>
      <c r="C148" s="3226">
        <v>10370</v>
      </c>
      <c r="D148" s="3226">
        <v>10310</v>
      </c>
      <c r="E148" s="3226">
        <v>12970</v>
      </c>
      <c r="F148" s="3226"/>
      <c r="G148" s="3226">
        <v>6630</v>
      </c>
    </row>
    <row r="149" spans="1:7" s="3215" customFormat="1" ht="14.25" customHeight="1">
      <c r="A149" s="3226" t="s">
        <v>29</v>
      </c>
      <c r="B149" s="3226" t="s">
        <v>3073</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2947</v>
      </c>
      <c r="C153" s="3226">
        <v>10880</v>
      </c>
      <c r="D153" s="3226">
        <v>10820</v>
      </c>
      <c r="E153" s="3226">
        <v>13660</v>
      </c>
      <c r="F153" s="3226">
        <v>2260</v>
      </c>
      <c r="G153" s="3226">
        <v>6970</v>
      </c>
    </row>
    <row r="154" spans="1:7" s="3215" customFormat="1" ht="14.25" customHeight="1">
      <c r="A154" s="3226" t="s">
        <v>29</v>
      </c>
      <c r="B154" s="3226" t="s">
        <v>3074</v>
      </c>
      <c r="C154" s="3226">
        <v>11220</v>
      </c>
      <c r="D154" s="3226">
        <v>11160</v>
      </c>
      <c r="E154" s="3226">
        <v>14130</v>
      </c>
      <c r="F154" s="3226">
        <v>2230</v>
      </c>
      <c r="G154" s="3226">
        <v>7180</v>
      </c>
    </row>
    <row r="155" spans="1:7" s="3215" customFormat="1" ht="14.25" customHeight="1">
      <c r="A155" s="3226" t="s">
        <v>29</v>
      </c>
      <c r="B155" s="3226" t="s">
        <v>2960</v>
      </c>
      <c r="C155" s="3226">
        <v>10430</v>
      </c>
      <c r="D155" s="3226">
        <v>10380</v>
      </c>
      <c r="E155" s="3226">
        <v>13140</v>
      </c>
      <c r="F155" s="3226">
        <v>2080</v>
      </c>
      <c r="G155" s="3226">
        <v>6650</v>
      </c>
    </row>
    <row r="156" spans="1:7" s="3215" customFormat="1" ht="14.25" customHeight="1">
      <c r="A156" s="3226" t="s">
        <v>29</v>
      </c>
      <c r="B156" s="3226" t="s">
        <v>3075</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3076</v>
      </c>
      <c r="C160" s="3226">
        <v>11180</v>
      </c>
      <c r="D160" s="3226">
        <v>11140</v>
      </c>
      <c r="E160" s="3226">
        <v>14050</v>
      </c>
      <c r="F160" s="3226">
        <v>2270</v>
      </c>
      <c r="G160" s="3226">
        <v>7170</v>
      </c>
    </row>
    <row r="161" spans="1:7" s="3215" customFormat="1" ht="14.25" customHeight="1">
      <c r="A161" s="3226" t="s">
        <v>29</v>
      </c>
      <c r="B161" s="3226" t="s">
        <v>2992</v>
      </c>
      <c r="C161" s="3226">
        <v>11160</v>
      </c>
      <c r="D161" s="3226">
        <v>11120</v>
      </c>
      <c r="E161" s="3226">
        <v>14020</v>
      </c>
      <c r="F161" s="3226">
        <v>2150</v>
      </c>
      <c r="G161" s="3226">
        <v>7160</v>
      </c>
    </row>
    <row r="162" spans="1:7" s="3215" customFormat="1" ht="14.25" customHeight="1">
      <c r="A162" s="3226" t="s">
        <v>29</v>
      </c>
      <c r="B162" s="3226" t="s">
        <v>2997</v>
      </c>
      <c r="C162" s="3226">
        <v>9620</v>
      </c>
      <c r="D162" s="3226">
        <v>9570</v>
      </c>
      <c r="E162" s="3226">
        <v>12320</v>
      </c>
      <c r="F162" s="3226">
        <v>2010</v>
      </c>
      <c r="G162" s="3226">
        <v>6160</v>
      </c>
    </row>
    <row r="163" spans="1:7" s="3215" customFormat="1" ht="14.25" customHeight="1">
      <c r="A163" s="3226" t="s">
        <v>29</v>
      </c>
      <c r="B163" s="3226" t="s">
        <v>3002</v>
      </c>
      <c r="C163" s="3226">
        <v>9320</v>
      </c>
      <c r="D163" s="3226">
        <v>9270</v>
      </c>
      <c r="E163" s="3226">
        <v>11790</v>
      </c>
      <c r="F163" s="3226">
        <v>1920</v>
      </c>
      <c r="G163" s="3226">
        <v>5960</v>
      </c>
    </row>
    <row r="164" spans="1:7" s="3215" customFormat="1" ht="14.25" customHeight="1">
      <c r="A164" s="3226" t="s">
        <v>29</v>
      </c>
      <c r="B164" s="3226" t="s">
        <v>3007</v>
      </c>
      <c r="C164" s="3226"/>
      <c r="D164" s="3226"/>
      <c r="E164" s="3226"/>
      <c r="F164" s="3226">
        <v>1980</v>
      </c>
      <c r="G164" s="3226"/>
    </row>
    <row r="165" spans="1:7" s="3215" customFormat="1" ht="14.25" customHeight="1">
      <c r="A165" s="3226" t="s">
        <v>29</v>
      </c>
      <c r="B165" s="3226" t="s">
        <v>3077</v>
      </c>
      <c r="C165" s="3226">
        <v>11060</v>
      </c>
      <c r="D165" s="3226">
        <v>11030</v>
      </c>
      <c r="E165" s="3226">
        <v>13850</v>
      </c>
      <c r="F165" s="3226">
        <v>2170</v>
      </c>
      <c r="G165" s="3226">
        <v>7090</v>
      </c>
    </row>
    <row r="166" spans="1:7" s="3215" customFormat="1" ht="14.25" customHeight="1">
      <c r="A166" s="3226" t="s">
        <v>29</v>
      </c>
      <c r="B166" s="3226" t="s">
        <v>3017</v>
      </c>
      <c r="C166" s="3226">
        <v>11050</v>
      </c>
      <c r="D166" s="3226">
        <v>11010</v>
      </c>
      <c r="E166" s="3226">
        <v>13920</v>
      </c>
      <c r="F166" s="3226">
        <v>2140</v>
      </c>
      <c r="G166" s="3226">
        <v>7080</v>
      </c>
    </row>
    <row r="167" spans="1:7" s="3215" customFormat="1" ht="14.25" customHeight="1">
      <c r="A167" s="3226" t="s">
        <v>29</v>
      </c>
      <c r="B167" s="3226" t="s">
        <v>3021</v>
      </c>
      <c r="C167" s="3226">
        <v>10930</v>
      </c>
      <c r="D167" s="3226">
        <v>10890</v>
      </c>
      <c r="E167" s="3226">
        <v>13790</v>
      </c>
      <c r="F167" s="3226">
        <v>2010</v>
      </c>
      <c r="G167" s="3226">
        <v>7000</v>
      </c>
    </row>
    <row r="168" spans="1:7" s="3215" customFormat="1" ht="14.25" customHeight="1">
      <c r="A168" s="3226" t="s">
        <v>29</v>
      </c>
      <c r="B168" s="3226" t="s">
        <v>3026</v>
      </c>
      <c r="C168" s="3226">
        <v>9420</v>
      </c>
      <c r="D168" s="3226">
        <v>9380</v>
      </c>
      <c r="E168" s="3226">
        <v>11970</v>
      </c>
      <c r="F168" s="3226"/>
      <c r="G168" s="3226">
        <v>6040</v>
      </c>
    </row>
    <row r="169" spans="1:7" s="3215" customFormat="1" ht="14.25" customHeight="1">
      <c r="A169" s="3226" t="s">
        <v>29</v>
      </c>
      <c r="B169" s="3226" t="s">
        <v>3078</v>
      </c>
      <c r="C169" s="3226"/>
      <c r="D169" s="3226"/>
      <c r="E169" s="3226"/>
      <c r="F169" s="3226">
        <v>2880</v>
      </c>
      <c r="G169" s="3226"/>
    </row>
    <row r="170" spans="1:7" s="3215" customFormat="1" ht="14.25" customHeight="1">
      <c r="A170" s="3226" t="s">
        <v>29</v>
      </c>
      <c r="B170" s="3226" t="s">
        <v>3034</v>
      </c>
      <c r="C170" s="3226"/>
      <c r="D170" s="3226"/>
      <c r="E170" s="3226"/>
      <c r="F170" s="3226">
        <v>2880</v>
      </c>
      <c r="G170" s="3226"/>
    </row>
    <row r="171" spans="1:7" s="3215" customFormat="1" ht="14.25" customHeight="1">
      <c r="A171" s="3226" t="s">
        <v>29</v>
      </c>
      <c r="B171" s="3226" t="s">
        <v>3037</v>
      </c>
      <c r="C171" s="3226"/>
      <c r="D171" s="3226"/>
      <c r="E171" s="3226"/>
      <c r="F171" s="3226">
        <v>2880</v>
      </c>
      <c r="G171" s="3226"/>
    </row>
    <row r="172" spans="1:7" s="3215" customFormat="1" ht="14.25" customHeight="1">
      <c r="A172" s="3226" t="s">
        <v>29</v>
      </c>
      <c r="B172" s="3226" t="s">
        <v>3039</v>
      </c>
      <c r="C172" s="3226"/>
      <c r="D172" s="3226"/>
      <c r="E172" s="3226"/>
      <c r="F172" s="3226">
        <v>2880</v>
      </c>
      <c r="G172" s="3226"/>
    </row>
    <row r="173" spans="1:7" s="3215" customFormat="1" ht="14.25" customHeight="1">
      <c r="A173" s="3226" t="s">
        <v>29</v>
      </c>
      <c r="B173" s="3226" t="s">
        <v>3041</v>
      </c>
      <c r="C173" s="3226"/>
      <c r="D173" s="3226"/>
      <c r="E173" s="3226"/>
      <c r="F173" s="3226">
        <v>2150</v>
      </c>
      <c r="G173" s="3226"/>
    </row>
    <row r="174" spans="1:7" s="3215" customFormat="1" ht="14.25" customHeight="1">
      <c r="A174" s="3226" t="s">
        <v>29</v>
      </c>
      <c r="B174" s="3226" t="s">
        <v>3043</v>
      </c>
      <c r="C174" s="3226"/>
      <c r="D174" s="3226"/>
      <c r="E174" s="3226"/>
      <c r="F174" s="3226">
        <v>2030</v>
      </c>
      <c r="G174" s="3226"/>
    </row>
    <row r="175" spans="1:7" s="3215" customFormat="1" ht="14.25" customHeight="1">
      <c r="A175" s="3226" t="s">
        <v>29</v>
      </c>
      <c r="B175" s="3226" t="s">
        <v>3045</v>
      </c>
      <c r="C175" s="3226"/>
      <c r="D175" s="3226"/>
      <c r="E175" s="3226"/>
      <c r="F175" s="3226">
        <v>2780</v>
      </c>
      <c r="G175" s="3226"/>
    </row>
    <row r="176" spans="1:7" s="3215" customFormat="1" ht="14.25" customHeight="1">
      <c r="A176" s="3226" t="s">
        <v>29</v>
      </c>
      <c r="B176" s="3226" t="s">
        <v>3047</v>
      </c>
      <c r="C176" s="3226"/>
      <c r="D176" s="3226"/>
      <c r="E176" s="3226"/>
      <c r="F176" s="3226">
        <v>2780</v>
      </c>
      <c r="G176" s="3226"/>
    </row>
    <row r="177" spans="1:7" s="3215" customFormat="1" ht="14.25" customHeight="1">
      <c r="A177" s="3226" t="s">
        <v>29</v>
      </c>
      <c r="B177" s="3226" t="s">
        <v>3079</v>
      </c>
      <c r="C177" s="3226"/>
      <c r="D177" s="3226"/>
      <c r="E177" s="3226"/>
      <c r="F177" s="3226">
        <v>2780</v>
      </c>
      <c r="G177" s="3226"/>
    </row>
    <row r="178" spans="1:7" s="3215" customFormat="1" ht="14.25" customHeight="1">
      <c r="A178" s="3226" t="s">
        <v>29</v>
      </c>
      <c r="B178" s="3226" t="s">
        <v>3080</v>
      </c>
      <c r="C178" s="3226"/>
      <c r="D178" s="3226"/>
      <c r="E178" s="3226"/>
      <c r="F178" s="3226">
        <v>2060</v>
      </c>
      <c r="G178" s="3226"/>
    </row>
    <row r="179" spans="1:7" s="3215" customFormat="1" ht="14.25" customHeight="1">
      <c r="A179" s="3226" t="s">
        <v>29</v>
      </c>
      <c r="B179" s="3226" t="s">
        <v>3081</v>
      </c>
      <c r="C179" s="3226"/>
      <c r="D179" s="3226"/>
      <c r="E179" s="3226"/>
      <c r="F179" s="3226">
        <v>2120</v>
      </c>
      <c r="G179" s="3226"/>
    </row>
    <row r="180" spans="1:7" s="3215" customFormat="1" ht="14.25" customHeight="1">
      <c r="A180" s="3226" t="s">
        <v>29</v>
      </c>
      <c r="B180" s="3226" t="s">
        <v>3053</v>
      </c>
      <c r="C180" s="3226"/>
      <c r="D180" s="3226"/>
      <c r="E180" s="3226"/>
      <c r="F180" s="3226">
        <v>2340</v>
      </c>
      <c r="G180" s="3226"/>
    </row>
    <row r="181" spans="1:7" s="3215" customFormat="1" ht="14.25" customHeight="1">
      <c r="A181" s="3226" t="s">
        <v>29</v>
      </c>
      <c r="B181" s="3226" t="s">
        <v>3054</v>
      </c>
      <c r="C181" s="3226"/>
      <c r="D181" s="3226"/>
      <c r="E181" s="3226"/>
      <c r="F181" s="3226">
        <v>2340</v>
      </c>
      <c r="G181" s="3226"/>
    </row>
    <row r="182" spans="1:7" s="3215" customFormat="1" ht="14.25" customHeight="1">
      <c r="A182" s="3226" t="s">
        <v>29</v>
      </c>
      <c r="B182" s="3226" t="s">
        <v>3055</v>
      </c>
      <c r="C182" s="3226"/>
      <c r="D182" s="3226"/>
      <c r="E182" s="3226"/>
      <c r="F182" s="3226">
        <v>2340</v>
      </c>
      <c r="G182" s="3226"/>
    </row>
    <row r="183" spans="1:7" s="3215" customFormat="1" ht="14.25" customHeight="1">
      <c r="A183" s="3226" t="s">
        <v>29</v>
      </c>
      <c r="B183" s="3226" t="s">
        <v>3056</v>
      </c>
      <c r="C183" s="3226"/>
      <c r="D183" s="3226"/>
      <c r="E183" s="3226"/>
      <c r="F183" s="3226">
        <v>2340</v>
      </c>
      <c r="G183" s="3226"/>
    </row>
    <row r="184" spans="1:7" s="3215" customFormat="1" ht="14.25" customHeight="1">
      <c r="A184" s="3226" t="s">
        <v>29</v>
      </c>
      <c r="B184" s="3226" t="s">
        <v>3057</v>
      </c>
      <c r="C184" s="3226"/>
      <c r="D184" s="3226"/>
      <c r="E184" s="3226"/>
      <c r="F184" s="3226">
        <v>2340</v>
      </c>
      <c r="G184" s="3226"/>
    </row>
    <row r="185" spans="1:7" s="3215" customFormat="1" ht="14.25" customHeight="1">
      <c r="A185" s="3226" t="s">
        <v>29</v>
      </c>
      <c r="B185" s="3226" t="s">
        <v>3058</v>
      </c>
      <c r="C185" s="3226"/>
      <c r="D185" s="3226"/>
      <c r="E185" s="3226"/>
      <c r="F185" s="3226">
        <v>2530</v>
      </c>
      <c r="G185" s="3226"/>
    </row>
    <row r="186" spans="1:7" s="3215" customFormat="1" ht="14.25" customHeight="1">
      <c r="A186" s="3226" t="s">
        <v>29</v>
      </c>
      <c r="B186" s="3226" t="s">
        <v>3059</v>
      </c>
      <c r="C186" s="3226"/>
      <c r="D186" s="3226"/>
      <c r="E186" s="3226"/>
      <c r="F186" s="3226">
        <v>2550</v>
      </c>
      <c r="G186" s="3226"/>
    </row>
    <row r="187" spans="1:7" s="3215" customFormat="1" ht="14.25" customHeight="1">
      <c r="A187" s="3226" t="s">
        <v>29</v>
      </c>
      <c r="B187" s="3226" t="s">
        <v>3060</v>
      </c>
      <c r="C187" s="3226"/>
      <c r="D187" s="3226"/>
      <c r="E187" s="3226"/>
      <c r="F187" s="3226">
        <v>2070</v>
      </c>
      <c r="G187" s="3226"/>
    </row>
    <row r="188" spans="1:7" s="3215" customFormat="1" ht="14.25" customHeight="1">
      <c r="A188" s="3226" t="s">
        <v>29</v>
      </c>
      <c r="B188" s="3226" t="s">
        <v>3061</v>
      </c>
      <c r="C188" s="3226"/>
      <c r="D188" s="3226"/>
      <c r="E188" s="3226"/>
      <c r="F188" s="3226">
        <v>2340</v>
      </c>
      <c r="G188" s="3226"/>
    </row>
    <row r="189" spans="1:7" s="3215" customFormat="1" ht="14.25" customHeight="1" thickBot="1">
      <c r="A189" s="3234" t="s">
        <v>29</v>
      </c>
      <c r="B189" s="3237" t="s">
        <v>3062</v>
      </c>
      <c r="C189" s="3237"/>
      <c r="D189" s="3237"/>
      <c r="E189" s="3237"/>
      <c r="F189" s="3237">
        <v>2050</v>
      </c>
      <c r="G189" s="3237"/>
    </row>
    <row r="190" spans="1:7" s="3215" customFormat="1" ht="14.25" customHeight="1">
      <c r="A190" s="3231" t="s">
        <v>304</v>
      </c>
      <c r="B190" s="3222" t="s">
        <v>3082</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3083</v>
      </c>
      <c r="C199" s="3226">
        <v>8690</v>
      </c>
      <c r="D199" s="3226">
        <v>8630</v>
      </c>
      <c r="E199" s="3226">
        <v>11350</v>
      </c>
      <c r="F199" s="3226">
        <v>1600</v>
      </c>
      <c r="G199" s="3239">
        <v>5450</v>
      </c>
    </row>
    <row r="200" spans="1:7" s="3215" customFormat="1" ht="14.25" customHeight="1">
      <c r="A200" s="3226" t="s">
        <v>304</v>
      </c>
      <c r="B200" s="3226" t="s">
        <v>2894</v>
      </c>
      <c r="C200" s="3226"/>
      <c r="D200" s="3226"/>
      <c r="E200" s="3226"/>
      <c r="F200" s="3226">
        <v>1510</v>
      </c>
      <c r="G200" s="3239"/>
    </row>
    <row r="201" spans="1:7" s="3215" customFormat="1" ht="14.25" customHeight="1">
      <c r="A201" s="3226" t="s">
        <v>304</v>
      </c>
      <c r="B201" s="3226" t="s">
        <v>3084</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3085</v>
      </c>
      <c r="C203" s="3226">
        <v>8130</v>
      </c>
      <c r="D203" s="3226">
        <v>8070</v>
      </c>
      <c r="E203" s="3226">
        <v>10820</v>
      </c>
      <c r="F203" s="3226">
        <v>1690</v>
      </c>
      <c r="G203" s="3239">
        <v>5100</v>
      </c>
    </row>
    <row r="204" spans="1:7" s="3215" customFormat="1" ht="14.25" customHeight="1">
      <c r="A204" s="3226" t="s">
        <v>304</v>
      </c>
      <c r="B204" s="3226" t="s">
        <v>2905</v>
      </c>
      <c r="C204" s="3226">
        <v>8350</v>
      </c>
      <c r="D204" s="3226">
        <v>8290</v>
      </c>
      <c r="E204" s="3226">
        <v>11080</v>
      </c>
      <c r="F204" s="3226">
        <v>1450</v>
      </c>
      <c r="G204" s="3239">
        <v>5240</v>
      </c>
    </row>
    <row r="205" spans="1:7" s="3215" customFormat="1" ht="14.25" customHeight="1">
      <c r="A205" s="3226" t="s">
        <v>304</v>
      </c>
      <c r="B205" s="3226" t="s">
        <v>2907</v>
      </c>
      <c r="C205" s="3226">
        <v>7190</v>
      </c>
      <c r="D205" s="3226">
        <v>7130</v>
      </c>
      <c r="E205" s="3226">
        <v>9490</v>
      </c>
      <c r="F205" s="3226">
        <v>1470</v>
      </c>
      <c r="G205" s="3239">
        <v>4510</v>
      </c>
    </row>
    <row r="206" spans="1:7" s="3215" customFormat="1" ht="14.25" customHeight="1">
      <c r="A206" s="3226" t="s">
        <v>304</v>
      </c>
      <c r="B206" s="3226" t="s">
        <v>2910</v>
      </c>
      <c r="C206" s="3226">
        <v>7000</v>
      </c>
      <c r="D206" s="3226">
        <v>6950</v>
      </c>
      <c r="E206" s="3226">
        <v>9170</v>
      </c>
      <c r="F206" s="3226">
        <v>1400</v>
      </c>
      <c r="G206" s="3239">
        <v>4380</v>
      </c>
    </row>
    <row r="207" spans="1:7" s="3215" customFormat="1" ht="14.25" customHeight="1">
      <c r="A207" s="3226" t="s">
        <v>304</v>
      </c>
      <c r="B207" s="3226" t="s">
        <v>2912</v>
      </c>
      <c r="C207" s="3226">
        <v>6950</v>
      </c>
      <c r="D207" s="3226">
        <v>6900</v>
      </c>
      <c r="E207" s="3226">
        <v>9110</v>
      </c>
      <c r="F207" s="3226">
        <v>1790</v>
      </c>
      <c r="G207" s="3239">
        <v>4360</v>
      </c>
    </row>
    <row r="208" spans="1:7" s="3215" customFormat="1" ht="14.25" customHeight="1">
      <c r="A208" s="3226" t="s">
        <v>304</v>
      </c>
      <c r="B208" s="3226" t="s">
        <v>3086</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2922</v>
      </c>
      <c r="C210" s="3226">
        <v>8710</v>
      </c>
      <c r="D210" s="3226">
        <v>8660</v>
      </c>
      <c r="E210" s="3226">
        <v>11440</v>
      </c>
      <c r="F210" s="3226">
        <v>1740</v>
      </c>
      <c r="G210" s="3239">
        <v>5470</v>
      </c>
    </row>
    <row r="211" spans="1:7" s="3215" customFormat="1" ht="14.25" customHeight="1">
      <c r="A211" s="3226" t="s">
        <v>304</v>
      </c>
      <c r="B211" s="3226" t="s">
        <v>3087</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3088</v>
      </c>
      <c r="C214" s="3226">
        <v>8090</v>
      </c>
      <c r="D214" s="3226">
        <v>8030</v>
      </c>
      <c r="E214" s="3226">
        <v>10780</v>
      </c>
      <c r="F214" s="3226">
        <v>1570</v>
      </c>
      <c r="G214" s="3239">
        <v>5070</v>
      </c>
    </row>
    <row r="215" spans="1:7" s="3215" customFormat="1" ht="14.25" customHeight="1">
      <c r="A215" s="3226" t="s">
        <v>304</v>
      </c>
      <c r="B215" s="3226" t="s">
        <v>3089</v>
      </c>
      <c r="C215" s="3226">
        <v>7950</v>
      </c>
      <c r="D215" s="3226">
        <v>7900</v>
      </c>
      <c r="E215" s="3226">
        <v>10560</v>
      </c>
      <c r="F215" s="3226">
        <v>1630</v>
      </c>
      <c r="G215" s="3239">
        <v>4990</v>
      </c>
    </row>
    <row r="216" spans="1:7" s="3215" customFormat="1" ht="14.25" customHeight="1">
      <c r="A216" s="3226" t="s">
        <v>304</v>
      </c>
      <c r="B216" s="3226" t="s">
        <v>3090</v>
      </c>
      <c r="C216" s="3226">
        <v>8490</v>
      </c>
      <c r="D216" s="3226">
        <v>8440</v>
      </c>
      <c r="E216" s="3226">
        <v>11260</v>
      </c>
      <c r="F216" s="3226">
        <v>1690</v>
      </c>
      <c r="G216" s="3239">
        <v>5330</v>
      </c>
    </row>
    <row r="217" spans="1:7" s="3215" customFormat="1" ht="14.25" customHeight="1">
      <c r="A217" s="3226" t="s">
        <v>304</v>
      </c>
      <c r="B217" s="3226" t="s">
        <v>2955</v>
      </c>
      <c r="C217" s="3226">
        <v>8200</v>
      </c>
      <c r="D217" s="3226">
        <v>8150</v>
      </c>
      <c r="E217" s="3226">
        <v>10910</v>
      </c>
      <c r="F217" s="3226">
        <v>1670</v>
      </c>
      <c r="G217" s="3239">
        <v>5150</v>
      </c>
    </row>
    <row r="218" spans="1:7" s="3215" customFormat="1" ht="14.25" customHeight="1">
      <c r="A218" s="3226" t="s">
        <v>304</v>
      </c>
      <c r="B218" s="3226" t="s">
        <v>3091</v>
      </c>
      <c r="C218" s="3226"/>
      <c r="D218" s="3226"/>
      <c r="E218" s="3226"/>
      <c r="F218" s="3226">
        <v>2040</v>
      </c>
      <c r="G218" s="3239"/>
    </row>
    <row r="219" spans="1:7" s="3215" customFormat="1" ht="14.25" customHeight="1">
      <c r="A219" s="3226" t="s">
        <v>304</v>
      </c>
      <c r="B219" s="3226" t="s">
        <v>3092</v>
      </c>
      <c r="C219" s="3226"/>
      <c r="D219" s="3226"/>
      <c r="E219" s="3226"/>
      <c r="F219" s="3226">
        <v>2040</v>
      </c>
      <c r="G219" s="3239"/>
    </row>
    <row r="220" spans="1:7" s="3215" customFormat="1" ht="14.25" customHeight="1">
      <c r="A220" s="3226" t="s">
        <v>304</v>
      </c>
      <c r="B220" s="3226" t="s">
        <v>3093</v>
      </c>
      <c r="C220" s="3226"/>
      <c r="D220" s="3226"/>
      <c r="E220" s="3226"/>
      <c r="F220" s="3226">
        <v>2040</v>
      </c>
      <c r="G220" s="3239"/>
    </row>
    <row r="221" spans="1:7" s="3215" customFormat="1" ht="14.25" customHeight="1">
      <c r="A221" s="3226" t="s">
        <v>304</v>
      </c>
      <c r="B221" s="3226" t="s">
        <v>3094</v>
      </c>
      <c r="C221" s="3226"/>
      <c r="D221" s="3226"/>
      <c r="E221" s="3226"/>
      <c r="F221" s="3226">
        <v>2040</v>
      </c>
      <c r="G221" s="3239"/>
    </row>
    <row r="222" spans="1:7" s="3215" customFormat="1" ht="14.25" customHeight="1">
      <c r="A222" s="3226" t="s">
        <v>304</v>
      </c>
      <c r="B222" s="3226" t="s">
        <v>3095</v>
      </c>
      <c r="C222" s="3226"/>
      <c r="D222" s="3226"/>
      <c r="E222" s="3226"/>
      <c r="F222" s="3226">
        <v>2040</v>
      </c>
      <c r="G222" s="3239"/>
    </row>
    <row r="223" spans="1:7" s="3215" customFormat="1" ht="14.25" customHeight="1">
      <c r="A223" s="3226" t="s">
        <v>304</v>
      </c>
      <c r="B223" s="3226" t="s">
        <v>3096</v>
      </c>
      <c r="C223" s="3226"/>
      <c r="D223" s="3226"/>
      <c r="E223" s="3226"/>
      <c r="F223" s="3226">
        <v>1930</v>
      </c>
      <c r="G223" s="3239"/>
    </row>
    <row r="224" spans="1:7" s="3215" customFormat="1" ht="14.25" customHeight="1">
      <c r="A224" s="3226" t="s">
        <v>304</v>
      </c>
      <c r="B224" s="3226" t="s">
        <v>3097</v>
      </c>
      <c r="C224" s="3226"/>
      <c r="D224" s="3226"/>
      <c r="E224" s="3226"/>
      <c r="F224" s="3226">
        <v>1930</v>
      </c>
      <c r="G224" s="3239"/>
    </row>
    <row r="225" spans="1:7" s="3215" customFormat="1" ht="14.25" customHeight="1">
      <c r="A225" s="3226" t="s">
        <v>304</v>
      </c>
      <c r="B225" s="3226" t="s">
        <v>3098</v>
      </c>
      <c r="C225" s="3226"/>
      <c r="D225" s="3226"/>
      <c r="E225" s="3226"/>
      <c r="F225" s="3226">
        <v>1930</v>
      </c>
      <c r="G225" s="3239"/>
    </row>
    <row r="226" spans="1:7" s="3215" customFormat="1" ht="14.25" customHeight="1">
      <c r="A226" s="3226" t="s">
        <v>304</v>
      </c>
      <c r="B226" s="3226" t="s">
        <v>3099</v>
      </c>
      <c r="C226" s="3226"/>
      <c r="D226" s="3226"/>
      <c r="E226" s="3226"/>
      <c r="F226" s="3226">
        <v>1700</v>
      </c>
      <c r="G226" s="3239"/>
    </row>
    <row r="227" spans="1:7" s="3215" customFormat="1" ht="14.25" customHeight="1">
      <c r="A227" s="3226" t="s">
        <v>304</v>
      </c>
      <c r="B227" s="3226" t="s">
        <v>3100</v>
      </c>
      <c r="C227" s="3226"/>
      <c r="D227" s="3226"/>
      <c r="E227" s="3226"/>
      <c r="F227" s="3226">
        <v>1520</v>
      </c>
      <c r="G227" s="3239"/>
    </row>
    <row r="228" spans="1:7" s="3215" customFormat="1" ht="14.25" customHeight="1">
      <c r="A228" s="3226" t="s">
        <v>304</v>
      </c>
      <c r="B228" s="3226" t="s">
        <v>3101</v>
      </c>
      <c r="C228" s="3226"/>
      <c r="D228" s="3226"/>
      <c r="E228" s="3226"/>
      <c r="F228" s="3226">
        <v>1520</v>
      </c>
      <c r="G228" s="3239"/>
    </row>
    <row r="229" spans="1:7" s="3215" customFormat="1" ht="14.25" customHeight="1">
      <c r="A229" s="3226" t="s">
        <v>304</v>
      </c>
      <c r="B229" s="3226" t="s">
        <v>3018</v>
      </c>
      <c r="C229" s="3226"/>
      <c r="D229" s="3226"/>
      <c r="E229" s="3226"/>
      <c r="F229" s="3226">
        <v>1520</v>
      </c>
      <c r="G229" s="3239"/>
    </row>
    <row r="230" spans="1:7" s="3215" customFormat="1" ht="14.25" customHeight="1">
      <c r="A230" s="3226" t="s">
        <v>304</v>
      </c>
      <c r="B230" s="3226" t="s">
        <v>3102</v>
      </c>
      <c r="C230" s="3226"/>
      <c r="D230" s="3226"/>
      <c r="E230" s="3226"/>
      <c r="F230" s="3226">
        <v>1820</v>
      </c>
      <c r="G230" s="3239"/>
    </row>
    <row r="231" spans="1:7" s="3215" customFormat="1" ht="14.25" customHeight="1">
      <c r="A231" s="3226" t="s">
        <v>304</v>
      </c>
      <c r="B231" s="3226" t="s">
        <v>3103</v>
      </c>
      <c r="C231" s="3226"/>
      <c r="D231" s="3226"/>
      <c r="E231" s="3226"/>
      <c r="F231" s="3226">
        <v>1760</v>
      </c>
      <c r="G231" s="3239"/>
    </row>
    <row r="232" spans="1:7" s="3215" customFormat="1" ht="14.25" customHeight="1">
      <c r="A232" s="3226" t="s">
        <v>304</v>
      </c>
      <c r="B232" s="3226" t="s">
        <v>3104</v>
      </c>
      <c r="C232" s="3226"/>
      <c r="D232" s="3226"/>
      <c r="E232" s="3226"/>
      <c r="F232" s="3226">
        <v>1840</v>
      </c>
      <c r="G232" s="3239"/>
    </row>
    <row r="233" spans="1:7" s="3215" customFormat="1" ht="14.25" customHeight="1" thickBot="1">
      <c r="A233" s="3240" t="s">
        <v>304</v>
      </c>
      <c r="B233" s="3233" t="s">
        <v>3035</v>
      </c>
      <c r="C233" s="3233"/>
      <c r="D233" s="3233"/>
      <c r="E233" s="3233"/>
      <c r="F233" s="3233">
        <v>1770</v>
      </c>
      <c r="G233" s="3241"/>
    </row>
    <row r="234" spans="1:7" s="3215" customFormat="1" ht="14.25" customHeight="1">
      <c r="A234" s="3231" t="s">
        <v>305</v>
      </c>
      <c r="B234" s="3222" t="s">
        <v>3105</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2876</v>
      </c>
      <c r="C238" s="3226">
        <v>6920</v>
      </c>
      <c r="D238" s="3226">
        <v>6890</v>
      </c>
      <c r="E238" s="3226">
        <v>8640</v>
      </c>
      <c r="F238" s="3226">
        <v>1310</v>
      </c>
      <c r="G238" s="3226">
        <v>4230</v>
      </c>
    </row>
    <row r="239" spans="1:7" s="3215" customFormat="1" ht="14.25" customHeight="1">
      <c r="A239" s="3226" t="s">
        <v>305</v>
      </c>
      <c r="B239" s="3226" t="s">
        <v>3106</v>
      </c>
      <c r="C239" s="3226">
        <v>6780</v>
      </c>
      <c r="D239" s="3226">
        <v>6750</v>
      </c>
      <c r="E239" s="3226">
        <v>8440</v>
      </c>
      <c r="F239" s="3226">
        <v>1160</v>
      </c>
      <c r="G239" s="3226">
        <v>4140</v>
      </c>
    </row>
    <row r="240" spans="1:7" s="3215" customFormat="1" ht="14.25" customHeight="1">
      <c r="A240" s="3226" t="s">
        <v>305</v>
      </c>
      <c r="B240" s="3226" t="s">
        <v>3107</v>
      </c>
      <c r="C240" s="3226">
        <v>5420</v>
      </c>
      <c r="D240" s="3226">
        <v>5380</v>
      </c>
      <c r="E240" s="3226">
        <v>6640</v>
      </c>
      <c r="F240" s="3226">
        <v>1020</v>
      </c>
      <c r="G240" s="3226">
        <v>3300</v>
      </c>
    </row>
    <row r="241" spans="1:7" s="3215" customFormat="1" ht="14.25" customHeight="1">
      <c r="A241" s="3226" t="s">
        <v>305</v>
      </c>
      <c r="B241" s="3226" t="s">
        <v>3108</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3109</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3110</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3111</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3112</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3113</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2938</v>
      </c>
      <c r="C258" s="3226">
        <v>6190</v>
      </c>
      <c r="D258" s="3226">
        <v>6160</v>
      </c>
      <c r="E258" s="3226">
        <v>7680</v>
      </c>
      <c r="F258" s="3226">
        <v>1170</v>
      </c>
      <c r="G258" s="3226">
        <v>3780</v>
      </c>
    </row>
    <row r="259" spans="1:7" s="3215" customFormat="1" ht="14.25" customHeight="1">
      <c r="A259" s="3226" t="s">
        <v>305</v>
      </c>
      <c r="B259" s="3226" t="s">
        <v>3114</v>
      </c>
      <c r="C259" s="3226">
        <v>7610</v>
      </c>
      <c r="D259" s="3226">
        <v>7570</v>
      </c>
      <c r="E259" s="3226">
        <v>9350</v>
      </c>
      <c r="F259" s="3226">
        <v>1350</v>
      </c>
      <c r="G259" s="3226">
        <v>4650</v>
      </c>
    </row>
    <row r="260" spans="1:7" s="3215" customFormat="1" ht="14.25" customHeight="1">
      <c r="A260" s="3226" t="s">
        <v>305</v>
      </c>
      <c r="B260" s="3226" t="s">
        <v>3115</v>
      </c>
      <c r="C260" s="3226">
        <v>6920</v>
      </c>
      <c r="D260" s="3226">
        <v>6880</v>
      </c>
      <c r="E260" s="3226">
        <v>8380</v>
      </c>
      <c r="F260" s="3226">
        <v>1160</v>
      </c>
      <c r="G260" s="3226">
        <v>4220</v>
      </c>
    </row>
    <row r="261" spans="1:7" s="3215" customFormat="1" ht="14.25" customHeight="1">
      <c r="A261" s="3226" t="s">
        <v>305</v>
      </c>
      <c r="B261" s="3226" t="s">
        <v>3116</v>
      </c>
      <c r="C261" s="3226">
        <v>6850</v>
      </c>
      <c r="D261" s="3226">
        <v>6810</v>
      </c>
      <c r="E261" s="3226">
        <v>8290</v>
      </c>
      <c r="F261" s="3226">
        <v>1130</v>
      </c>
      <c r="G261" s="3226">
        <v>4180</v>
      </c>
    </row>
    <row r="262" spans="1:7" s="3215" customFormat="1" ht="14.25" customHeight="1">
      <c r="A262" s="3226" t="s">
        <v>305</v>
      </c>
      <c r="B262" s="3226" t="s">
        <v>3117</v>
      </c>
      <c r="C262" s="3226">
        <v>5860</v>
      </c>
      <c r="D262" s="3226">
        <v>5820</v>
      </c>
      <c r="E262" s="3226">
        <v>7640</v>
      </c>
      <c r="F262" s="3226">
        <v>1070</v>
      </c>
      <c r="G262" s="3226">
        <v>3570</v>
      </c>
    </row>
    <row r="263" spans="1:7" s="3215" customFormat="1" ht="14.25" customHeight="1">
      <c r="A263" s="3226" t="s">
        <v>305</v>
      </c>
      <c r="B263" s="3226" t="s">
        <v>3118</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3119</v>
      </c>
      <c r="C265" s="3226"/>
      <c r="D265" s="3226"/>
      <c r="E265" s="3226"/>
      <c r="F265" s="3226">
        <v>1500</v>
      </c>
      <c r="G265" s="3226"/>
    </row>
    <row r="266" spans="1:7" s="3215" customFormat="1" ht="14.25" customHeight="1">
      <c r="A266" s="3226" t="s">
        <v>305</v>
      </c>
      <c r="B266" s="3226" t="s">
        <v>3120</v>
      </c>
      <c r="C266" s="3226"/>
      <c r="D266" s="3226"/>
      <c r="E266" s="3226"/>
      <c r="F266" s="3226">
        <v>1500</v>
      </c>
      <c r="G266" s="3226"/>
    </row>
    <row r="267" spans="1:7" s="3215" customFormat="1" ht="14.25" customHeight="1">
      <c r="A267" s="3226" t="s">
        <v>305</v>
      </c>
      <c r="B267" s="3226" t="s">
        <v>3121</v>
      </c>
      <c r="C267" s="3226"/>
      <c r="D267" s="3226"/>
      <c r="E267" s="3226"/>
      <c r="F267" s="3226">
        <v>1500</v>
      </c>
      <c r="G267" s="3226"/>
    </row>
    <row r="268" spans="1:7" s="3215" customFormat="1" ht="14.25" customHeight="1">
      <c r="A268" s="3226" t="s">
        <v>305</v>
      </c>
      <c r="B268" s="3226" t="s">
        <v>3122</v>
      </c>
      <c r="C268" s="3226"/>
      <c r="D268" s="3226"/>
      <c r="E268" s="3226"/>
      <c r="F268" s="3226">
        <v>1290</v>
      </c>
      <c r="G268" s="3226"/>
    </row>
    <row r="269" spans="1:7" s="3215" customFormat="1" ht="14.25" customHeight="1">
      <c r="A269" s="3226" t="s">
        <v>305</v>
      </c>
      <c r="B269" s="3226" t="s">
        <v>3123</v>
      </c>
      <c r="C269" s="3226"/>
      <c r="D269" s="3226"/>
      <c r="E269" s="3226"/>
      <c r="F269" s="3226">
        <v>1150</v>
      </c>
      <c r="G269" s="3226"/>
    </row>
    <row r="270" spans="1:7" s="3215" customFormat="1" ht="14.25" customHeight="1">
      <c r="A270" s="3226" t="s">
        <v>305</v>
      </c>
      <c r="B270" s="3226" t="s">
        <v>3124</v>
      </c>
      <c r="C270" s="3226"/>
      <c r="D270" s="3226"/>
      <c r="E270" s="3226"/>
      <c r="F270" s="3226">
        <v>1380</v>
      </c>
      <c r="G270" s="3226"/>
    </row>
    <row r="271" spans="1:7" s="3215" customFormat="1" ht="14.25" customHeight="1">
      <c r="A271" s="3226" t="s">
        <v>305</v>
      </c>
      <c r="B271" s="3226" t="s">
        <v>3125</v>
      </c>
      <c r="C271" s="3226"/>
      <c r="D271" s="3226"/>
      <c r="E271" s="3226"/>
      <c r="F271" s="3226">
        <v>1460</v>
      </c>
      <c r="G271" s="3226"/>
    </row>
    <row r="272" spans="1:7" s="3215" customFormat="1" ht="14.25" customHeight="1">
      <c r="A272" s="3226" t="s">
        <v>305</v>
      </c>
      <c r="B272" s="3226" t="s">
        <v>3126</v>
      </c>
      <c r="C272" s="3226"/>
      <c r="D272" s="3226"/>
      <c r="E272" s="3226"/>
      <c r="F272" s="3226">
        <v>1460</v>
      </c>
      <c r="G272" s="3226"/>
    </row>
    <row r="273" spans="1:7" s="3215" customFormat="1" ht="14.25" customHeight="1">
      <c r="A273" s="3226" t="s">
        <v>305</v>
      </c>
      <c r="B273" s="3226" t="s">
        <v>3019</v>
      </c>
      <c r="C273" s="3226"/>
      <c r="D273" s="3226"/>
      <c r="E273" s="3226"/>
      <c r="F273" s="3226">
        <v>1490</v>
      </c>
      <c r="G273" s="3226"/>
    </row>
    <row r="274" spans="1:7" s="3215" customFormat="1" ht="14.25" customHeight="1">
      <c r="A274" s="3226" t="s">
        <v>305</v>
      </c>
      <c r="B274" s="3226" t="s">
        <v>3127</v>
      </c>
      <c r="C274" s="3226"/>
      <c r="D274" s="3226"/>
      <c r="E274" s="3226"/>
      <c r="F274" s="3226">
        <v>1490</v>
      </c>
      <c r="G274" s="3226"/>
    </row>
    <row r="275" spans="1:7" s="3215" customFormat="1" ht="14.25" customHeight="1">
      <c r="A275" s="3226" t="s">
        <v>305</v>
      </c>
      <c r="B275" s="3226" t="s">
        <v>3128</v>
      </c>
      <c r="C275" s="3226"/>
      <c r="D275" s="3226"/>
      <c r="E275" s="3226"/>
      <c r="F275" s="3226">
        <v>1220</v>
      </c>
      <c r="G275" s="3226"/>
    </row>
    <row r="276" spans="1:7" s="3215" customFormat="1" ht="14.25" customHeight="1" thickBot="1">
      <c r="A276" s="3234" t="s">
        <v>305</v>
      </c>
      <c r="B276" s="3236" t="s">
        <v>3129</v>
      </c>
      <c r="C276" s="3237"/>
      <c r="D276" s="3237"/>
      <c r="E276" s="3237"/>
      <c r="F276" s="3237">
        <v>1380</v>
      </c>
      <c r="G276" s="3237"/>
    </row>
    <row r="277" spans="1:7" s="3215" customFormat="1" ht="14.25" customHeight="1">
      <c r="A277" s="3231" t="s">
        <v>306</v>
      </c>
      <c r="B277" s="3222" t="s">
        <v>3130</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3131</v>
      </c>
      <c r="C279" s="3226">
        <v>4760</v>
      </c>
      <c r="D279" s="3226">
        <v>4720</v>
      </c>
      <c r="E279" s="3226">
        <v>5540</v>
      </c>
      <c r="F279" s="3226">
        <v>810</v>
      </c>
      <c r="G279" s="3239">
        <v>2850</v>
      </c>
    </row>
    <row r="280" spans="1:7" s="3215" customFormat="1" ht="14.25" customHeight="1">
      <c r="A280" s="3226" t="s">
        <v>306</v>
      </c>
      <c r="B280" s="3226" t="s">
        <v>3132</v>
      </c>
      <c r="C280" s="3226">
        <v>4010</v>
      </c>
      <c r="D280" s="3226">
        <v>3950</v>
      </c>
      <c r="E280" s="3226">
        <v>4710</v>
      </c>
      <c r="F280" s="3226">
        <v>800</v>
      </c>
      <c r="G280" s="3239">
        <v>2390</v>
      </c>
    </row>
    <row r="281" spans="1:7" s="3215" customFormat="1" ht="14.25" customHeight="1">
      <c r="A281" s="3226" t="s">
        <v>306</v>
      </c>
      <c r="B281" s="3226" t="s">
        <v>3133</v>
      </c>
      <c r="C281" s="3226">
        <v>4480</v>
      </c>
      <c r="D281" s="3226">
        <v>4420</v>
      </c>
      <c r="E281" s="3226">
        <v>5230</v>
      </c>
      <c r="F281" s="3226">
        <v>870</v>
      </c>
      <c r="G281" s="3239">
        <v>2660</v>
      </c>
    </row>
    <row r="282" spans="1:7" s="3215" customFormat="1" ht="14.25" customHeight="1">
      <c r="A282" s="3226" t="s">
        <v>306</v>
      </c>
      <c r="B282" s="3226" t="s">
        <v>3134</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3135</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3136</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2911</v>
      </c>
      <c r="C293" s="3226">
        <v>5320</v>
      </c>
      <c r="D293" s="3226">
        <v>5270</v>
      </c>
      <c r="E293" s="3226">
        <v>6160</v>
      </c>
      <c r="F293" s="3226">
        <v>990</v>
      </c>
      <c r="G293" s="3239">
        <v>3170</v>
      </c>
    </row>
    <row r="294" spans="1:7" s="3215" customFormat="1" ht="14.25" customHeight="1">
      <c r="A294" s="3226" t="s">
        <v>306</v>
      </c>
      <c r="B294" s="3226" t="s">
        <v>3137</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2930</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3138</v>
      </c>
      <c r="C302" s="3226">
        <v>5520</v>
      </c>
      <c r="D302" s="3226">
        <v>5470</v>
      </c>
      <c r="E302" s="3226">
        <v>6410</v>
      </c>
      <c r="F302" s="3226">
        <v>950</v>
      </c>
      <c r="G302" s="3239">
        <v>3300</v>
      </c>
    </row>
    <row r="303" spans="1:7" s="3215" customFormat="1" ht="14.25" customHeight="1">
      <c r="A303" s="3226" t="s">
        <v>306</v>
      </c>
      <c r="B303" s="3226" t="s">
        <v>2950</v>
      </c>
      <c r="C303" s="3226">
        <v>5630</v>
      </c>
      <c r="D303" s="3226">
        <v>5590</v>
      </c>
      <c r="E303" s="3226">
        <v>6550</v>
      </c>
      <c r="F303" s="3226">
        <v>1010</v>
      </c>
      <c r="G303" s="3239">
        <v>3370</v>
      </c>
    </row>
    <row r="304" spans="1:7" s="3215" customFormat="1" ht="14.25" customHeight="1">
      <c r="A304" s="3226" t="s">
        <v>306</v>
      </c>
      <c r="B304" s="3226" t="s">
        <v>2957</v>
      </c>
      <c r="C304" s="3226">
        <v>5680</v>
      </c>
      <c r="D304" s="3226">
        <v>5620</v>
      </c>
      <c r="E304" s="3226">
        <v>6620</v>
      </c>
      <c r="F304" s="3226">
        <v>1050</v>
      </c>
      <c r="G304" s="3239">
        <v>3390</v>
      </c>
    </row>
    <row r="305" spans="1:7" s="3215" customFormat="1" ht="14.25" customHeight="1">
      <c r="A305" s="3226" t="s">
        <v>306</v>
      </c>
      <c r="B305" s="3226" t="s">
        <v>2963</v>
      </c>
      <c r="C305" s="3226">
        <v>5590</v>
      </c>
      <c r="D305" s="3226">
        <v>5530</v>
      </c>
      <c r="E305" s="3226">
        <v>6460</v>
      </c>
      <c r="F305" s="3226">
        <v>900</v>
      </c>
      <c r="G305" s="3239">
        <v>3340</v>
      </c>
    </row>
    <row r="306" spans="1:7" s="3215" customFormat="1" ht="14.25" customHeight="1">
      <c r="A306" s="3226" t="s">
        <v>306</v>
      </c>
      <c r="B306" s="3226" t="s">
        <v>3139</v>
      </c>
      <c r="C306" s="3226">
        <v>5560</v>
      </c>
      <c r="D306" s="3226">
        <v>5510</v>
      </c>
      <c r="E306" s="3226">
        <v>6440</v>
      </c>
      <c r="F306" s="3226">
        <v>900</v>
      </c>
      <c r="G306" s="3239">
        <v>3320</v>
      </c>
    </row>
    <row r="307" spans="1:7" s="3215" customFormat="1" ht="14.25" customHeight="1">
      <c r="A307" s="3226" t="s">
        <v>306</v>
      </c>
      <c r="B307" s="3226" t="s">
        <v>2975</v>
      </c>
      <c r="C307" s="3226">
        <v>5650</v>
      </c>
      <c r="D307" s="3226">
        <v>5600</v>
      </c>
      <c r="E307" s="3226">
        <v>6590</v>
      </c>
      <c r="F307" s="3226">
        <v>930</v>
      </c>
      <c r="G307" s="3239">
        <v>3380</v>
      </c>
    </row>
    <row r="308" spans="1:7" s="3215" customFormat="1" ht="14.25" customHeight="1">
      <c r="A308" s="3226" t="s">
        <v>306</v>
      </c>
      <c r="B308" s="3226" t="s">
        <v>3140</v>
      </c>
      <c r="C308" s="3226">
        <v>5620</v>
      </c>
      <c r="D308" s="3226">
        <v>5580</v>
      </c>
      <c r="E308" s="3226">
        <v>6540</v>
      </c>
      <c r="F308" s="3226">
        <v>910</v>
      </c>
      <c r="G308" s="3239">
        <v>3370</v>
      </c>
    </row>
    <row r="309" spans="1:7" s="3215" customFormat="1" ht="14.25" customHeight="1">
      <c r="A309" s="3226" t="s">
        <v>306</v>
      </c>
      <c r="B309" s="3226" t="s">
        <v>3141</v>
      </c>
      <c r="C309" s="3226">
        <v>5060</v>
      </c>
      <c r="D309" s="3226">
        <v>5020</v>
      </c>
      <c r="E309" s="3226">
        <v>6370</v>
      </c>
      <c r="F309" s="3226">
        <v>800</v>
      </c>
      <c r="G309" s="3239">
        <v>3020</v>
      </c>
    </row>
    <row r="310" spans="1:7" s="3215" customFormat="1" ht="14.25" customHeight="1">
      <c r="A310" s="3226" t="s">
        <v>306</v>
      </c>
      <c r="B310" s="3226" t="s">
        <v>2990</v>
      </c>
      <c r="C310" s="3226">
        <v>5150</v>
      </c>
      <c r="D310" s="3226">
        <v>5110</v>
      </c>
      <c r="E310" s="3226">
        <v>6500</v>
      </c>
      <c r="F310" s="3226">
        <v>880</v>
      </c>
      <c r="G310" s="3239">
        <v>3080</v>
      </c>
    </row>
    <row r="311" spans="1:7" s="3215" customFormat="1" ht="14.25" customHeight="1">
      <c r="A311" s="3226" t="s">
        <v>306</v>
      </c>
      <c r="B311" s="3226" t="s">
        <v>3142</v>
      </c>
      <c r="C311" s="3226">
        <v>4750</v>
      </c>
      <c r="D311" s="3226">
        <v>4710</v>
      </c>
      <c r="E311" s="3226">
        <v>5510</v>
      </c>
      <c r="F311" s="3226">
        <v>880</v>
      </c>
      <c r="G311" s="3239">
        <v>2840</v>
      </c>
    </row>
    <row r="312" spans="1:7" s="3215" customFormat="1" ht="14.25" customHeight="1">
      <c r="A312" s="3226" t="s">
        <v>306</v>
      </c>
      <c r="B312" s="3226" t="s">
        <v>3000</v>
      </c>
      <c r="C312" s="3226">
        <v>4690</v>
      </c>
      <c r="D312" s="3226">
        <v>4640</v>
      </c>
      <c r="E312" s="3226">
        <v>5420</v>
      </c>
      <c r="F312" s="3226">
        <v>800</v>
      </c>
      <c r="G312" s="3239">
        <v>2800</v>
      </c>
    </row>
    <row r="313" spans="1:7" s="3215" customFormat="1" ht="14.25" customHeight="1">
      <c r="A313" s="3226" t="s">
        <v>306</v>
      </c>
      <c r="B313" s="3226" t="s">
        <v>3005</v>
      </c>
      <c r="C313" s="3226">
        <v>4810</v>
      </c>
      <c r="D313" s="3226">
        <v>4760</v>
      </c>
      <c r="E313" s="3226">
        <v>5550</v>
      </c>
      <c r="F313" s="3226">
        <v>920</v>
      </c>
      <c r="G313" s="3239">
        <v>2870</v>
      </c>
    </row>
    <row r="314" spans="1:7" s="3215" customFormat="1" ht="14.25" customHeight="1">
      <c r="A314" s="3226" t="s">
        <v>306</v>
      </c>
      <c r="B314" s="3226" t="s">
        <v>3143</v>
      </c>
      <c r="C314" s="3226"/>
      <c r="D314" s="3226"/>
      <c r="E314" s="3226"/>
      <c r="F314" s="3226">
        <v>1020</v>
      </c>
      <c r="G314" s="3239"/>
    </row>
    <row r="315" spans="1:7" s="3215" customFormat="1" ht="14.25" customHeight="1">
      <c r="A315" s="3226" t="s">
        <v>306</v>
      </c>
      <c r="B315" s="3226" t="s">
        <v>3144</v>
      </c>
      <c r="C315" s="3226"/>
      <c r="D315" s="3226"/>
      <c r="E315" s="3226"/>
      <c r="F315" s="3226">
        <v>1050</v>
      </c>
      <c r="G315" s="3239"/>
    </row>
    <row r="316" spans="1:7" s="3215" customFormat="1" ht="14.25" customHeight="1">
      <c r="A316" s="3226" t="s">
        <v>306</v>
      </c>
      <c r="B316" s="3226" t="s">
        <v>3020</v>
      </c>
      <c r="C316" s="3226"/>
      <c r="D316" s="3226"/>
      <c r="E316" s="3226"/>
      <c r="F316" s="3226">
        <v>900</v>
      </c>
      <c r="G316" s="3239"/>
    </row>
    <row r="317" spans="1:7" s="3215" customFormat="1" ht="14.25" customHeight="1">
      <c r="A317" s="3226" t="s">
        <v>306</v>
      </c>
      <c r="B317" s="3226" t="s">
        <v>3145</v>
      </c>
      <c r="C317" s="3226"/>
      <c r="D317" s="3226"/>
      <c r="E317" s="3226"/>
      <c r="F317" s="3226">
        <v>920</v>
      </c>
      <c r="G317" s="3239"/>
    </row>
    <row r="318" spans="1:7" s="3215" customFormat="1" ht="14.25" customHeight="1">
      <c r="A318" s="3226" t="s">
        <v>306</v>
      </c>
      <c r="B318" s="3226" t="s">
        <v>3146</v>
      </c>
      <c r="C318" s="3226"/>
      <c r="D318" s="3226"/>
      <c r="E318" s="3226"/>
      <c r="F318" s="3226">
        <v>1080</v>
      </c>
      <c r="G318" s="3239"/>
    </row>
    <row r="319" spans="1:7" s="3215" customFormat="1" ht="14.25" customHeight="1">
      <c r="A319" s="3226" t="s">
        <v>306</v>
      </c>
      <c r="B319" s="3226" t="s">
        <v>3033</v>
      </c>
      <c r="C319" s="3226"/>
      <c r="D319" s="3226"/>
      <c r="E319" s="3226"/>
      <c r="F319" s="3226">
        <v>1020</v>
      </c>
      <c r="G319" s="3239"/>
    </row>
    <row r="320" spans="1:7" s="3215" customFormat="1" ht="14.25" customHeight="1">
      <c r="A320" s="3226" t="s">
        <v>306</v>
      </c>
      <c r="B320" s="3226" t="s">
        <v>3036</v>
      </c>
      <c r="C320" s="3226"/>
      <c r="D320" s="3226"/>
      <c r="E320" s="3226"/>
      <c r="F320" s="3226">
        <v>1050</v>
      </c>
      <c r="G320" s="3239"/>
    </row>
    <row r="321" spans="1:7" s="3215" customFormat="1" ht="14.25" customHeight="1">
      <c r="A321" s="3226" t="s">
        <v>306</v>
      </c>
      <c r="B321" s="3226" t="s">
        <v>3038</v>
      </c>
      <c r="C321" s="3226"/>
      <c r="D321" s="3226"/>
      <c r="E321" s="3226"/>
      <c r="F321" s="3226">
        <v>960</v>
      </c>
      <c r="G321" s="3239"/>
    </row>
    <row r="322" spans="1:7" s="3215" customFormat="1" ht="14.25" customHeight="1">
      <c r="A322" s="3226" t="s">
        <v>306</v>
      </c>
      <c r="B322" s="3226" t="s">
        <v>3040</v>
      </c>
      <c r="C322" s="3226"/>
      <c r="D322" s="3226"/>
      <c r="E322" s="3226"/>
      <c r="F322" s="3226">
        <v>960</v>
      </c>
      <c r="G322" s="3239"/>
    </row>
    <row r="323" spans="1:7" s="3215" customFormat="1" ht="14.25" customHeight="1">
      <c r="A323" s="3226" t="s">
        <v>306</v>
      </c>
      <c r="B323" s="3226" t="s">
        <v>3042</v>
      </c>
      <c r="C323" s="3226"/>
      <c r="D323" s="3226"/>
      <c r="E323" s="3226"/>
      <c r="F323" s="3226">
        <v>880</v>
      </c>
      <c r="G323" s="3239"/>
    </row>
    <row r="324" spans="1:7" s="3215" customFormat="1" ht="14.25" customHeight="1">
      <c r="A324" s="3226" t="s">
        <v>306</v>
      </c>
      <c r="B324" s="3226" t="s">
        <v>3044</v>
      </c>
      <c r="C324" s="3226"/>
      <c r="D324" s="3226"/>
      <c r="E324" s="3226"/>
      <c r="F324" s="3226">
        <v>930</v>
      </c>
      <c r="G324" s="3239"/>
    </row>
    <row r="325" spans="1:7" s="3215" customFormat="1" ht="14.25" customHeight="1">
      <c r="A325" s="3226" t="s">
        <v>306</v>
      </c>
      <c r="B325" s="3227" t="s">
        <v>3046</v>
      </c>
      <c r="C325" s="3226"/>
      <c r="D325" s="3226"/>
      <c r="E325" s="3226"/>
      <c r="F325" s="3226">
        <v>900</v>
      </c>
      <c r="G325" s="3239"/>
    </row>
    <row r="326" spans="1:7" s="3215" customFormat="1" ht="14.25" customHeight="1" thickBot="1">
      <c r="A326" s="3240" t="s">
        <v>306</v>
      </c>
      <c r="B326" s="3233" t="s">
        <v>3048</v>
      </c>
      <c r="C326" s="3233"/>
      <c r="D326" s="3233"/>
      <c r="E326" s="3233"/>
      <c r="F326" s="3233">
        <v>790</v>
      </c>
      <c r="G326" s="3241"/>
    </row>
    <row r="327" spans="1:7" s="3215" customFormat="1" ht="14.25" customHeight="1">
      <c r="A327" s="3231" t="s">
        <v>307</v>
      </c>
      <c r="B327" s="3222" t="s">
        <v>3147</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3148</v>
      </c>
      <c r="C329" s="3226">
        <v>2730</v>
      </c>
      <c r="D329" s="3226">
        <v>2690</v>
      </c>
      <c r="E329" s="3226">
        <v>3100</v>
      </c>
      <c r="F329" s="3226">
        <v>660</v>
      </c>
      <c r="G329" s="3226">
        <v>1610</v>
      </c>
    </row>
    <row r="330" spans="1:7" s="3215" customFormat="1" ht="14.25" customHeight="1">
      <c r="A330" s="3226" t="s">
        <v>307</v>
      </c>
      <c r="B330" s="3226" t="s">
        <v>3149</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2882</v>
      </c>
      <c r="C332" s="3226">
        <v>3520</v>
      </c>
      <c r="D332" s="3226">
        <v>3480</v>
      </c>
      <c r="E332" s="3226">
        <v>3830</v>
      </c>
      <c r="F332" s="3226">
        <v>720</v>
      </c>
      <c r="G332" s="3226">
        <v>2090</v>
      </c>
    </row>
    <row r="333" spans="1:7" s="3215" customFormat="1" ht="14.25" customHeight="1">
      <c r="A333" s="3226" t="s">
        <v>307</v>
      </c>
      <c r="B333" s="3226" t="s">
        <v>3150</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2892</v>
      </c>
      <c r="C336" s="3226">
        <v>3570</v>
      </c>
      <c r="D336" s="3226">
        <v>3530</v>
      </c>
      <c r="E336" s="3226">
        <v>3880</v>
      </c>
      <c r="F336" s="3226">
        <v>770</v>
      </c>
      <c r="G336" s="3226">
        <v>2110</v>
      </c>
    </row>
    <row r="337" spans="1:10" s="3215" customFormat="1" ht="14.25" customHeight="1">
      <c r="A337" s="3226" t="s">
        <v>307</v>
      </c>
      <c r="B337" s="3226" t="s">
        <v>3151</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3152</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3153</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2917</v>
      </c>
      <c r="C345" s="3226">
        <v>3190</v>
      </c>
      <c r="D345" s="3226">
        <v>3140</v>
      </c>
      <c r="E345" s="3226">
        <v>3450</v>
      </c>
      <c r="F345" s="3226">
        <v>720</v>
      </c>
      <c r="G345" s="3226">
        <v>1880</v>
      </c>
      <c r="J345" s="3215"/>
    </row>
    <row r="346" spans="1:10">
      <c r="A346" s="3226" t="s">
        <v>307</v>
      </c>
      <c r="B346" s="3226" t="s">
        <v>3154</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2926</v>
      </c>
      <c r="C348" s="3226">
        <v>4000</v>
      </c>
      <c r="D348" s="3226">
        <v>3950</v>
      </c>
      <c r="E348" s="3226">
        <v>4430</v>
      </c>
      <c r="F348" s="3226">
        <v>760</v>
      </c>
      <c r="G348" s="3226">
        <v>2360</v>
      </c>
      <c r="J348" s="3215"/>
    </row>
    <row r="349" spans="1:10">
      <c r="A349" s="3226" t="s">
        <v>307</v>
      </c>
      <c r="B349" s="3226" t="s">
        <v>2931</v>
      </c>
      <c r="C349" s="3226">
        <v>3820</v>
      </c>
      <c r="D349" s="3226">
        <v>3780</v>
      </c>
      <c r="E349" s="3226">
        <v>4170</v>
      </c>
      <c r="F349" s="3226">
        <v>710</v>
      </c>
      <c r="G349" s="3226">
        <v>2260</v>
      </c>
      <c r="J349" s="3215"/>
    </row>
    <row r="350" spans="1:10">
      <c r="A350" s="3226" t="s">
        <v>307</v>
      </c>
      <c r="B350" s="3226" t="s">
        <v>3155</v>
      </c>
      <c r="C350" s="3226">
        <v>3760</v>
      </c>
      <c r="D350" s="3226">
        <v>3730</v>
      </c>
      <c r="E350" s="3226">
        <v>4100</v>
      </c>
      <c r="F350" s="3226">
        <v>800</v>
      </c>
      <c r="G350" s="3226">
        <v>2230</v>
      </c>
      <c r="J350" s="3215"/>
    </row>
    <row r="351" spans="1:10">
      <c r="A351" s="3226" t="s">
        <v>307</v>
      </c>
      <c r="B351" s="3226" t="s">
        <v>2939</v>
      </c>
      <c r="C351" s="3226">
        <v>3610</v>
      </c>
      <c r="D351" s="3226">
        <v>3580</v>
      </c>
      <c r="E351" s="3226">
        <v>3930</v>
      </c>
      <c r="F351" s="3226">
        <v>700</v>
      </c>
      <c r="G351" s="3226">
        <v>2140</v>
      </c>
      <c r="J351" s="3215"/>
    </row>
    <row r="352" spans="1:10">
      <c r="A352" s="3226" t="s">
        <v>307</v>
      </c>
      <c r="B352" s="3226" t="s">
        <v>2944</v>
      </c>
      <c r="C352" s="3226">
        <v>3670</v>
      </c>
      <c r="D352" s="3226">
        <v>3630</v>
      </c>
      <c r="E352" s="3226">
        <v>4000</v>
      </c>
      <c r="F352" s="3226">
        <v>750</v>
      </c>
      <c r="G352" s="3226">
        <v>2180</v>
      </c>
    </row>
    <row r="353" spans="1:7" s="3219" customFormat="1">
      <c r="A353" s="3226" t="s">
        <v>307</v>
      </c>
      <c r="B353" s="3226" t="s">
        <v>3156</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2964</v>
      </c>
      <c r="C355" s="3226">
        <v>3650</v>
      </c>
      <c r="D355" s="3226">
        <v>3610</v>
      </c>
      <c r="E355" s="3226">
        <v>4200</v>
      </c>
      <c r="F355" s="3226">
        <v>640</v>
      </c>
      <c r="G355" s="3226">
        <v>2160</v>
      </c>
    </row>
    <row r="356" spans="1:7" s="3219" customFormat="1">
      <c r="A356" s="3226" t="s">
        <v>307</v>
      </c>
      <c r="B356" s="3226" t="s">
        <v>2971</v>
      </c>
      <c r="C356" s="3226">
        <v>3260</v>
      </c>
      <c r="D356" s="3226">
        <v>3230</v>
      </c>
      <c r="E356" s="3226">
        <v>3740</v>
      </c>
      <c r="F356" s="3226">
        <v>600</v>
      </c>
      <c r="G356" s="3226">
        <v>1930</v>
      </c>
    </row>
    <row r="357" spans="1:7" s="3219" customFormat="1" ht="12" thickBot="1">
      <c r="A357" s="3234" t="s">
        <v>307</v>
      </c>
      <c r="B357" s="3237" t="s">
        <v>3157</v>
      </c>
      <c r="C357" s="3237">
        <v>3690</v>
      </c>
      <c r="D357" s="3237">
        <v>3650</v>
      </c>
      <c r="E357" s="3237">
        <v>4020</v>
      </c>
      <c r="F357" s="3237">
        <v>700</v>
      </c>
      <c r="G357" s="3237">
        <v>2190</v>
      </c>
    </row>
    <row r="358" spans="1:7" s="3219" customFormat="1">
      <c r="A358" s="3231" t="s">
        <v>3158</v>
      </c>
      <c r="B358" s="3222" t="s">
        <v>3159</v>
      </c>
      <c r="C358" s="3222">
        <v>2080</v>
      </c>
      <c r="D358" s="3222">
        <v>2040</v>
      </c>
      <c r="E358" s="3222">
        <v>2010</v>
      </c>
      <c r="F358" s="3222">
        <v>530</v>
      </c>
      <c r="G358" s="3238">
        <v>1230</v>
      </c>
    </row>
    <row r="359" spans="1:7" s="3219" customFormat="1">
      <c r="A359" s="3226" t="s">
        <v>3158</v>
      </c>
      <c r="B359" s="3226" t="s">
        <v>3160</v>
      </c>
      <c r="C359" s="3226">
        <v>1850</v>
      </c>
      <c r="D359" s="3226">
        <v>1820</v>
      </c>
      <c r="E359" s="3226">
        <v>1780</v>
      </c>
      <c r="F359" s="3226">
        <v>520</v>
      </c>
      <c r="G359" s="3239">
        <v>1100</v>
      </c>
    </row>
    <row r="360" spans="1:7" s="3219" customFormat="1">
      <c r="A360" s="3226" t="s">
        <v>3158</v>
      </c>
      <c r="B360" s="3226" t="s">
        <v>3161</v>
      </c>
      <c r="C360" s="3226">
        <v>2020</v>
      </c>
      <c r="D360" s="3226">
        <v>1990</v>
      </c>
      <c r="E360" s="3226">
        <v>1950</v>
      </c>
      <c r="F360" s="3226">
        <v>500</v>
      </c>
      <c r="G360" s="3239">
        <v>1200</v>
      </c>
    </row>
    <row r="361" spans="1:7" s="3219" customFormat="1">
      <c r="A361" s="3226" t="s">
        <v>3158</v>
      </c>
      <c r="B361" s="3226" t="s">
        <v>153</v>
      </c>
      <c r="C361" s="3226">
        <v>2260</v>
      </c>
      <c r="D361" s="3226">
        <v>2220</v>
      </c>
      <c r="E361" s="3226">
        <v>2180</v>
      </c>
      <c r="F361" s="3226">
        <v>580</v>
      </c>
      <c r="G361" s="3239">
        <v>1340</v>
      </c>
    </row>
    <row r="362" spans="1:7" s="3219" customFormat="1">
      <c r="A362" s="3226" t="s">
        <v>3158</v>
      </c>
      <c r="B362" s="3226" t="s">
        <v>3162</v>
      </c>
      <c r="C362" s="3226">
        <v>2650</v>
      </c>
      <c r="D362" s="3226">
        <v>2610</v>
      </c>
      <c r="E362" s="3226">
        <v>2570</v>
      </c>
      <c r="F362" s="3226">
        <v>630</v>
      </c>
      <c r="G362" s="3239">
        <v>1570</v>
      </c>
    </row>
    <row r="363" spans="1:7" s="3219" customFormat="1">
      <c r="A363" s="3226" t="s">
        <v>3158</v>
      </c>
      <c r="B363" s="3226" t="s">
        <v>2883</v>
      </c>
      <c r="C363" s="3226">
        <v>2390</v>
      </c>
      <c r="D363" s="3226">
        <v>2360</v>
      </c>
      <c r="E363" s="3226">
        <v>2320</v>
      </c>
      <c r="F363" s="3226">
        <v>600</v>
      </c>
      <c r="G363" s="3239">
        <v>1420</v>
      </c>
    </row>
    <row r="364" spans="1:7" s="3219" customFormat="1">
      <c r="A364" s="3226" t="s">
        <v>3158</v>
      </c>
      <c r="B364" s="3226" t="s">
        <v>3163</v>
      </c>
      <c r="C364" s="3226">
        <v>2050</v>
      </c>
      <c r="D364" s="3226">
        <v>2030</v>
      </c>
      <c r="E364" s="3226">
        <v>1990</v>
      </c>
      <c r="F364" s="3226">
        <v>550</v>
      </c>
      <c r="G364" s="3239">
        <v>1220</v>
      </c>
    </row>
    <row r="365" spans="1:7" s="3219" customFormat="1">
      <c r="A365" s="3226" t="s">
        <v>3158</v>
      </c>
      <c r="B365" s="3226" t="s">
        <v>200</v>
      </c>
      <c r="C365" s="3226">
        <v>2140</v>
      </c>
      <c r="D365" s="3226">
        <v>2100</v>
      </c>
      <c r="E365" s="3226">
        <v>2060</v>
      </c>
      <c r="F365" s="3226">
        <v>540</v>
      </c>
      <c r="G365" s="3239">
        <v>1270</v>
      </c>
    </row>
    <row r="366" spans="1:7" s="3219" customFormat="1">
      <c r="A366" s="3226" t="s">
        <v>3158</v>
      </c>
      <c r="B366" s="3226" t="s">
        <v>2890</v>
      </c>
      <c r="C366" s="3226">
        <v>2410</v>
      </c>
      <c r="D366" s="3226">
        <v>2370</v>
      </c>
      <c r="E366" s="3226">
        <v>2330</v>
      </c>
      <c r="F366" s="3226">
        <v>570</v>
      </c>
      <c r="G366" s="3239">
        <v>1440</v>
      </c>
    </row>
    <row r="367" spans="1:7" s="3219" customFormat="1">
      <c r="A367" s="3226" t="s">
        <v>3158</v>
      </c>
      <c r="B367" s="3226" t="s">
        <v>3164</v>
      </c>
      <c r="C367" s="3226">
        <v>2300</v>
      </c>
      <c r="D367" s="3226">
        <v>2260</v>
      </c>
      <c r="E367" s="3226">
        <v>2220</v>
      </c>
      <c r="F367" s="3226">
        <v>560</v>
      </c>
      <c r="G367" s="3239">
        <v>1370</v>
      </c>
    </row>
    <row r="368" spans="1:7" s="3219" customFormat="1">
      <c r="A368" s="3226" t="s">
        <v>3158</v>
      </c>
      <c r="B368" s="3226" t="s">
        <v>3165</v>
      </c>
      <c r="C368" s="3226">
        <v>2430</v>
      </c>
      <c r="D368" s="3226">
        <v>2390</v>
      </c>
      <c r="E368" s="3226">
        <v>2350</v>
      </c>
      <c r="F368" s="3226">
        <v>570</v>
      </c>
      <c r="G368" s="3239">
        <v>1450</v>
      </c>
    </row>
    <row r="369" spans="1:7" s="3219" customFormat="1">
      <c r="A369" s="3226" t="s">
        <v>3158</v>
      </c>
      <c r="B369" s="3226" t="s">
        <v>214</v>
      </c>
      <c r="C369" s="3226">
        <v>2320</v>
      </c>
      <c r="D369" s="3226">
        <v>2290</v>
      </c>
      <c r="E369" s="3226">
        <v>2250</v>
      </c>
      <c r="F369" s="3226">
        <v>550</v>
      </c>
      <c r="G369" s="3239">
        <v>1380</v>
      </c>
    </row>
    <row r="370" spans="1:7" s="3219" customFormat="1">
      <c r="A370" s="3226" t="s">
        <v>3158</v>
      </c>
      <c r="B370" s="3226" t="s">
        <v>221</v>
      </c>
      <c r="C370" s="3226">
        <v>2190</v>
      </c>
      <c r="D370" s="3226">
        <v>2170</v>
      </c>
      <c r="E370" s="3226">
        <v>2130</v>
      </c>
      <c r="F370" s="3226">
        <v>530</v>
      </c>
      <c r="G370" s="3239">
        <v>1310</v>
      </c>
    </row>
    <row r="371" spans="1:7" s="3219" customFormat="1">
      <c r="A371" s="3226" t="s">
        <v>3158</v>
      </c>
      <c r="B371" s="3226" t="s">
        <v>229</v>
      </c>
      <c r="C371" s="3226">
        <v>2460</v>
      </c>
      <c r="D371" s="3226">
        <v>2420</v>
      </c>
      <c r="E371" s="3226">
        <v>2370</v>
      </c>
      <c r="F371" s="3226">
        <v>560</v>
      </c>
      <c r="G371" s="3239">
        <v>1470</v>
      </c>
    </row>
    <row r="372" spans="1:7" s="3219" customFormat="1">
      <c r="A372" s="3226" t="s">
        <v>3158</v>
      </c>
      <c r="B372" s="3226" t="s">
        <v>3166</v>
      </c>
      <c r="C372" s="3226">
        <v>2250</v>
      </c>
      <c r="D372" s="3226">
        <v>2210</v>
      </c>
      <c r="E372" s="3226">
        <v>2180</v>
      </c>
      <c r="F372" s="3226">
        <v>550</v>
      </c>
      <c r="G372" s="3239">
        <v>1340</v>
      </c>
    </row>
    <row r="373" spans="1:7" s="3219" customFormat="1">
      <c r="A373" s="3226" t="s">
        <v>3158</v>
      </c>
      <c r="B373" s="3226" t="s">
        <v>258</v>
      </c>
      <c r="C373" s="3226">
        <v>2210</v>
      </c>
      <c r="D373" s="3226">
        <v>2190</v>
      </c>
      <c r="E373" s="3226">
        <v>2150</v>
      </c>
      <c r="F373" s="3226">
        <v>530</v>
      </c>
      <c r="G373" s="3239">
        <v>1320</v>
      </c>
    </row>
    <row r="374" spans="1:7" s="3219" customFormat="1">
      <c r="A374" s="3226" t="s">
        <v>3158</v>
      </c>
      <c r="B374" s="3226" t="s">
        <v>266</v>
      </c>
      <c r="C374" s="3226">
        <v>2320</v>
      </c>
      <c r="D374" s="3226">
        <v>2280</v>
      </c>
      <c r="E374" s="3226">
        <v>2230</v>
      </c>
      <c r="F374" s="3226">
        <v>580</v>
      </c>
      <c r="G374" s="3239">
        <v>1380</v>
      </c>
    </row>
    <row r="375" spans="1:7" s="3219" customFormat="1">
      <c r="A375" s="3226" t="s">
        <v>3158</v>
      </c>
      <c r="B375" s="3226" t="s">
        <v>3167</v>
      </c>
      <c r="C375" s="3226">
        <v>2090</v>
      </c>
      <c r="D375" s="3226">
        <v>2050</v>
      </c>
      <c r="E375" s="3226">
        <v>2020</v>
      </c>
      <c r="F375" s="3226">
        <v>520</v>
      </c>
      <c r="G375" s="3239">
        <v>1240</v>
      </c>
    </row>
    <row r="376" spans="1:7" s="3219" customFormat="1">
      <c r="A376" s="3226" t="s">
        <v>3158</v>
      </c>
      <c r="B376" s="3226" t="s">
        <v>277</v>
      </c>
      <c r="C376" s="3226">
        <v>2010</v>
      </c>
      <c r="D376" s="3226">
        <v>1980</v>
      </c>
      <c r="E376" s="3226">
        <v>1940</v>
      </c>
      <c r="F376" s="3226">
        <v>540</v>
      </c>
      <c r="G376" s="3239">
        <v>1190</v>
      </c>
    </row>
    <row r="377" spans="1:7" s="3219" customFormat="1" ht="12" thickBot="1">
      <c r="A377" s="3234" t="s">
        <v>3158</v>
      </c>
      <c r="B377" s="3237" t="s">
        <v>2920</v>
      </c>
      <c r="C377" s="3237">
        <v>1930</v>
      </c>
      <c r="D377" s="3237">
        <v>1890</v>
      </c>
      <c r="E377" s="3237">
        <v>1860</v>
      </c>
      <c r="F377" s="3237">
        <v>530</v>
      </c>
      <c r="G377" s="3242">
        <v>1150</v>
      </c>
    </row>
    <row r="378" spans="1:7" s="3219" customFormat="1">
      <c r="A378" s="3243" t="s">
        <v>3168</v>
      </c>
      <c r="B378" s="3222" t="s">
        <v>3169</v>
      </c>
      <c r="C378" s="3222">
        <v>1520</v>
      </c>
      <c r="D378" s="3222">
        <v>1490</v>
      </c>
      <c r="E378" s="3222">
        <v>1460</v>
      </c>
      <c r="F378" s="3222">
        <v>460</v>
      </c>
      <c r="G378" s="3238">
        <v>940</v>
      </c>
    </row>
    <row r="379" spans="1:7" s="3219" customFormat="1">
      <c r="A379" s="3244" t="s">
        <v>3168</v>
      </c>
      <c r="B379" s="3226" t="s">
        <v>3170</v>
      </c>
      <c r="C379" s="3226">
        <v>1500</v>
      </c>
      <c r="D379" s="3226">
        <v>1470</v>
      </c>
      <c r="E379" s="3226">
        <v>1430</v>
      </c>
      <c r="F379" s="3226">
        <v>460</v>
      </c>
      <c r="G379" s="3239">
        <v>920</v>
      </c>
    </row>
    <row r="380" spans="1:7" s="3219" customFormat="1">
      <c r="A380" s="3244" t="s">
        <v>3168</v>
      </c>
      <c r="B380" s="3226" t="s">
        <v>3171</v>
      </c>
      <c r="C380" s="3226">
        <v>1620</v>
      </c>
      <c r="D380" s="3226">
        <v>1590</v>
      </c>
      <c r="E380" s="3226">
        <v>1560</v>
      </c>
      <c r="F380" s="3226">
        <v>480</v>
      </c>
      <c r="G380" s="3239">
        <v>1000</v>
      </c>
    </row>
    <row r="381" spans="1:7" s="3219" customFormat="1">
      <c r="A381" s="3244" t="s">
        <v>3168</v>
      </c>
      <c r="B381" s="3226" t="s">
        <v>3172</v>
      </c>
      <c r="C381" s="3226">
        <v>1460</v>
      </c>
      <c r="D381" s="3226">
        <v>1430</v>
      </c>
      <c r="E381" s="3226">
        <v>1390</v>
      </c>
      <c r="F381" s="3226">
        <v>450</v>
      </c>
      <c r="G381" s="3239">
        <v>900</v>
      </c>
    </row>
    <row r="382" spans="1:7" s="3219" customFormat="1">
      <c r="A382" s="3244" t="s">
        <v>3168</v>
      </c>
      <c r="B382" s="3226" t="s">
        <v>3173</v>
      </c>
      <c r="C382" s="3226">
        <v>1310</v>
      </c>
      <c r="D382" s="3226">
        <v>1280</v>
      </c>
      <c r="E382" s="3226">
        <v>1250</v>
      </c>
      <c r="F382" s="3226">
        <v>440</v>
      </c>
      <c r="G382" s="3239">
        <v>800</v>
      </c>
    </row>
    <row r="383" spans="1:7" s="3219" customFormat="1">
      <c r="A383" s="3244" t="s">
        <v>3168</v>
      </c>
      <c r="B383" s="3226" t="s">
        <v>3174</v>
      </c>
      <c r="C383" s="3226">
        <v>1260</v>
      </c>
      <c r="D383" s="3226">
        <v>1230</v>
      </c>
      <c r="E383" s="3226">
        <v>1200</v>
      </c>
      <c r="F383" s="3226">
        <v>420</v>
      </c>
      <c r="G383" s="3239">
        <v>770</v>
      </c>
    </row>
    <row r="384" spans="1:7" s="3219" customFormat="1" ht="12" thickBot="1">
      <c r="A384" s="3245" t="s">
        <v>3168</v>
      </c>
      <c r="B384" s="3233" t="s">
        <v>3175</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773" t="s">
        <v>3176</v>
      </c>
      <c r="B1" s="3773"/>
    </row>
    <row r="2" spans="1:7" ht="14.25" thickBot="1">
      <c r="A2" s="3248"/>
      <c r="B2" s="3248"/>
    </row>
    <row r="3" spans="1:7" ht="14.25" thickBot="1">
      <c r="A3" s="3248"/>
      <c r="B3" s="3248"/>
      <c r="C3" s="3249" t="s">
        <v>2804</v>
      </c>
      <c r="D3" s="3249" t="s">
        <v>2862</v>
      </c>
      <c r="E3" s="3249" t="s">
        <v>2806</v>
      </c>
      <c r="F3" s="3249" t="s">
        <v>2863</v>
      </c>
      <c r="G3" s="3249" t="s">
        <v>2624</v>
      </c>
    </row>
    <row r="4" spans="1:7" ht="14.25" thickBot="1">
      <c r="A4" s="3250" t="s">
        <v>2861</v>
      </c>
      <c r="B4" s="3251" t="s">
        <v>2867</v>
      </c>
      <c r="C4" s="3249"/>
      <c r="D4" s="3249"/>
      <c r="E4" s="3249"/>
      <c r="F4" s="3249"/>
      <c r="G4" s="3249"/>
    </row>
    <row r="5" spans="1:7">
      <c r="A5" s="3252" t="s">
        <v>2835</v>
      </c>
      <c r="B5" s="3253" t="s">
        <v>2849</v>
      </c>
      <c r="C5" s="3254">
        <v>9.8000000000000004E-2</v>
      </c>
      <c r="D5" s="3254">
        <v>8.6999999999999994E-2</v>
      </c>
      <c r="E5" s="3254">
        <v>8.6999999999999994E-2</v>
      </c>
      <c r="F5" s="3254">
        <v>9.8000000000000004E-2</v>
      </c>
      <c r="G5" s="3255">
        <v>9.5000000000000001E-2</v>
      </c>
    </row>
    <row r="6" spans="1:7">
      <c r="A6" s="3256" t="s">
        <v>144</v>
      </c>
      <c r="B6" s="3257" t="s">
        <v>2864</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2850</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2900</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2918</v>
      </c>
      <c r="C29" s="3266"/>
      <c r="D29" s="3262">
        <v>5.1999999999999998E-2</v>
      </c>
      <c r="E29" s="3262">
        <v>7.0000000000000007E-2</v>
      </c>
      <c r="F29" s="3266"/>
      <c r="G29" s="3264">
        <v>7.0999999999999994E-2</v>
      </c>
    </row>
    <row r="30" spans="1:7">
      <c r="A30" s="3267" t="s">
        <v>296</v>
      </c>
      <c r="B30" s="3253" t="s">
        <v>2851</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2837</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2921</v>
      </c>
      <c r="C50" s="3258">
        <v>9.8000000000000004E-2</v>
      </c>
      <c r="D50" s="3258">
        <v>7.2999999999999995E-2</v>
      </c>
      <c r="E50" s="3258">
        <v>7.0999999999999994E-2</v>
      </c>
      <c r="F50" s="3269"/>
      <c r="G50" s="3259">
        <v>7.2999999999999995E-2</v>
      </c>
    </row>
    <row r="51" spans="1:7">
      <c r="A51" s="3268" t="s">
        <v>296</v>
      </c>
      <c r="B51" s="3257" t="s">
        <v>2923</v>
      </c>
      <c r="C51" s="3258">
        <v>9.9000000000000005E-2</v>
      </c>
      <c r="D51" s="3258">
        <v>8.5000000000000006E-2</v>
      </c>
      <c r="E51" s="3258">
        <v>6.3E-2</v>
      </c>
      <c r="F51" s="3269"/>
      <c r="G51" s="3259">
        <v>9.6000000000000002E-2</v>
      </c>
    </row>
    <row r="52" spans="1:7">
      <c r="A52" s="3268" t="s">
        <v>296</v>
      </c>
      <c r="B52" s="3257" t="s">
        <v>2927</v>
      </c>
      <c r="C52" s="3258">
        <v>7.3999999999999996E-2</v>
      </c>
      <c r="D52" s="3258">
        <v>9.6000000000000002E-2</v>
      </c>
      <c r="E52" s="3258">
        <v>0.05</v>
      </c>
      <c r="F52" s="3269"/>
      <c r="G52" s="3259">
        <v>9.8000000000000004E-2</v>
      </c>
    </row>
    <row r="53" spans="1:7">
      <c r="A53" s="3268" t="s">
        <v>296</v>
      </c>
      <c r="B53" s="3257" t="s">
        <v>2932</v>
      </c>
      <c r="C53" s="3258">
        <v>8.5999999999999993E-2</v>
      </c>
      <c r="D53" s="3269"/>
      <c r="E53" s="3258">
        <v>9.1999999999999998E-2</v>
      </c>
      <c r="F53" s="3269"/>
      <c r="G53" s="3270"/>
    </row>
    <row r="54" spans="1:7" ht="14.25" thickBot="1">
      <c r="A54" s="3271" t="s">
        <v>296</v>
      </c>
      <c r="B54" s="3261" t="s">
        <v>2935</v>
      </c>
      <c r="C54" s="3262">
        <v>9.6000000000000002E-2</v>
      </c>
      <c r="D54" s="3263"/>
      <c r="E54" s="3272"/>
      <c r="F54" s="3263"/>
      <c r="G54" s="3273"/>
    </row>
    <row r="55" spans="1:7">
      <c r="A55" s="3267" t="s">
        <v>110</v>
      </c>
      <c r="B55" s="3253" t="s">
        <v>2852</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2933</v>
      </c>
      <c r="C78" s="3258">
        <v>0.1</v>
      </c>
      <c r="D78" s="3258">
        <v>8.5000000000000006E-2</v>
      </c>
      <c r="E78" s="3258">
        <v>9.6000000000000002E-2</v>
      </c>
      <c r="F78" s="3269"/>
      <c r="G78" s="3259">
        <v>9.6000000000000002E-2</v>
      </c>
    </row>
    <row r="79" spans="1:7">
      <c r="A79" s="3268" t="s">
        <v>110</v>
      </c>
      <c r="B79" s="3257" t="s">
        <v>2936</v>
      </c>
      <c r="C79" s="3258">
        <v>0.05</v>
      </c>
      <c r="D79" s="3258">
        <v>9.6000000000000002E-2</v>
      </c>
      <c r="E79" s="3258">
        <v>9.5000000000000001E-2</v>
      </c>
      <c r="F79" s="3269"/>
      <c r="G79" s="3259">
        <v>9.8000000000000004E-2</v>
      </c>
    </row>
    <row r="80" spans="1:7">
      <c r="A80" s="3268" t="s">
        <v>110</v>
      </c>
      <c r="B80" s="3257" t="s">
        <v>2940</v>
      </c>
      <c r="C80" s="3258">
        <v>8.5999999999999993E-2</v>
      </c>
      <c r="D80" s="3274"/>
      <c r="E80" s="3258">
        <v>0.1</v>
      </c>
      <c r="F80" s="3269"/>
      <c r="G80" s="3270"/>
    </row>
    <row r="81" spans="1:7">
      <c r="A81" s="3268" t="s">
        <v>110</v>
      </c>
      <c r="B81" s="3257" t="s">
        <v>2945</v>
      </c>
      <c r="C81" s="3258">
        <v>9.6000000000000002E-2</v>
      </c>
      <c r="D81" s="3269"/>
      <c r="E81" s="3258">
        <v>9.8000000000000004E-2</v>
      </c>
      <c r="F81" s="3269"/>
      <c r="G81" s="3270"/>
    </row>
    <row r="82" spans="1:7">
      <c r="A82" s="3268" t="s">
        <v>110</v>
      </c>
      <c r="B82" s="3257" t="s">
        <v>2952</v>
      </c>
      <c r="C82" s="3274"/>
      <c r="D82" s="3269"/>
      <c r="E82" s="3258">
        <v>7.6999999999999999E-2</v>
      </c>
      <c r="F82" s="3269"/>
      <c r="G82" s="3270"/>
    </row>
    <row r="83" spans="1:7">
      <c r="A83" s="3268" t="s">
        <v>110</v>
      </c>
      <c r="B83" s="3257" t="s">
        <v>2958</v>
      </c>
      <c r="C83" s="3269"/>
      <c r="D83" s="3269"/>
      <c r="E83" s="3269"/>
      <c r="F83" s="3258">
        <v>0.1</v>
      </c>
      <c r="G83" s="3275"/>
    </row>
    <row r="84" spans="1:7">
      <c r="A84" s="3268" t="s">
        <v>110</v>
      </c>
      <c r="B84" s="3257" t="s">
        <v>2965</v>
      </c>
      <c r="C84" s="3269"/>
      <c r="D84" s="3269"/>
      <c r="E84" s="3269"/>
      <c r="F84" s="3258">
        <v>0.1</v>
      </c>
      <c r="G84" s="3275"/>
    </row>
    <row r="85" spans="1:7">
      <c r="A85" s="3268" t="s">
        <v>110</v>
      </c>
      <c r="B85" s="3257" t="s">
        <v>2972</v>
      </c>
      <c r="C85" s="3269"/>
      <c r="D85" s="3269"/>
      <c r="E85" s="3269"/>
      <c r="F85" s="3258">
        <v>0.1</v>
      </c>
      <c r="G85" s="3275"/>
    </row>
    <row r="86" spans="1:7" ht="14.25" thickBot="1">
      <c r="A86" s="3271" t="s">
        <v>110</v>
      </c>
      <c r="B86" s="3261" t="s">
        <v>2977</v>
      </c>
      <c r="C86" s="3262">
        <v>9.8000000000000004E-2</v>
      </c>
      <c r="D86" s="3262">
        <v>9.8000000000000004E-2</v>
      </c>
      <c r="E86" s="3262">
        <v>9.6000000000000002E-2</v>
      </c>
      <c r="F86" s="3272"/>
      <c r="G86" s="3264">
        <v>0.1</v>
      </c>
    </row>
    <row r="87" spans="1:7">
      <c r="A87" s="3267" t="s">
        <v>303</v>
      </c>
      <c r="B87" s="3253" t="s">
        <v>2853</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2946</v>
      </c>
      <c r="C113" s="3258">
        <v>0.1</v>
      </c>
      <c r="D113" s="3258">
        <v>0.1</v>
      </c>
      <c r="E113" s="3269"/>
      <c r="F113" s="3269"/>
      <c r="G113" s="3259">
        <v>0.1</v>
      </c>
    </row>
    <row r="114" spans="1:7">
      <c r="A114" s="3268" t="s">
        <v>303</v>
      </c>
      <c r="B114" s="3257" t="s">
        <v>2953</v>
      </c>
      <c r="C114" s="3258">
        <v>9.7000000000000003E-2</v>
      </c>
      <c r="D114" s="3258">
        <v>9.7000000000000003E-2</v>
      </c>
      <c r="E114" s="3269"/>
      <c r="F114" s="3269"/>
      <c r="G114" s="3259">
        <v>9.9000000000000005E-2</v>
      </c>
    </row>
    <row r="115" spans="1:7">
      <c r="A115" s="3268" t="s">
        <v>303</v>
      </c>
      <c r="B115" s="3257" t="s">
        <v>2959</v>
      </c>
      <c r="C115" s="3258">
        <v>0.1</v>
      </c>
      <c r="D115" s="3258">
        <v>0.1</v>
      </c>
      <c r="E115" s="3269"/>
      <c r="F115" s="3269"/>
      <c r="G115" s="3259">
        <v>0.1</v>
      </c>
    </row>
    <row r="116" spans="1:7">
      <c r="A116" s="3268" t="s">
        <v>303</v>
      </c>
      <c r="B116" s="3257" t="s">
        <v>2966</v>
      </c>
      <c r="C116" s="3258">
        <v>0.1</v>
      </c>
      <c r="D116" s="3258">
        <v>0.1</v>
      </c>
      <c r="E116" s="3269"/>
      <c r="F116" s="3269"/>
      <c r="G116" s="3259">
        <v>0.1</v>
      </c>
    </row>
    <row r="117" spans="1:7">
      <c r="A117" s="3268" t="s">
        <v>303</v>
      </c>
      <c r="B117" s="3257" t="s">
        <v>2973</v>
      </c>
      <c r="C117" s="3258">
        <v>9.7000000000000003E-2</v>
      </c>
      <c r="D117" s="3258">
        <v>9.7000000000000003E-2</v>
      </c>
      <c r="E117" s="3269"/>
      <c r="F117" s="3269"/>
      <c r="G117" s="3259">
        <v>9.7000000000000003E-2</v>
      </c>
    </row>
    <row r="118" spans="1:7">
      <c r="A118" s="3268" t="s">
        <v>303</v>
      </c>
      <c r="B118" s="3257" t="s">
        <v>2978</v>
      </c>
      <c r="C118" s="3258">
        <v>0.1</v>
      </c>
      <c r="D118" s="3258">
        <v>0.1</v>
      </c>
      <c r="E118" s="3269"/>
      <c r="F118" s="3269"/>
      <c r="G118" s="3259">
        <v>0.1</v>
      </c>
    </row>
    <row r="119" spans="1:7">
      <c r="A119" s="3268" t="s">
        <v>303</v>
      </c>
      <c r="B119" s="3257" t="s">
        <v>2982</v>
      </c>
      <c r="C119" s="3258">
        <v>5.0999999999999997E-2</v>
      </c>
      <c r="D119" s="3258">
        <v>5.1999999999999998E-2</v>
      </c>
      <c r="E119" s="3269"/>
      <c r="F119" s="3274"/>
      <c r="G119" s="3259">
        <v>0.06</v>
      </c>
    </row>
    <row r="120" spans="1:7">
      <c r="A120" s="3268" t="s">
        <v>303</v>
      </c>
      <c r="B120" s="3257" t="s">
        <v>2986</v>
      </c>
      <c r="C120" s="3269"/>
      <c r="D120" s="3269"/>
      <c r="E120" s="3269"/>
      <c r="F120" s="3258">
        <v>0.1</v>
      </c>
      <c r="G120" s="3275"/>
    </row>
    <row r="121" spans="1:7">
      <c r="A121" s="3268" t="s">
        <v>303</v>
      </c>
      <c r="B121" s="3257" t="s">
        <v>2991</v>
      </c>
      <c r="C121" s="3269"/>
      <c r="D121" s="3269"/>
      <c r="E121" s="3269"/>
      <c r="F121" s="3258">
        <v>0.1</v>
      </c>
      <c r="G121" s="3275"/>
    </row>
    <row r="122" spans="1:7">
      <c r="A122" s="3268" t="s">
        <v>303</v>
      </c>
      <c r="B122" s="3257" t="s">
        <v>2996</v>
      </c>
      <c r="C122" s="3258">
        <v>0.1</v>
      </c>
      <c r="D122" s="3258">
        <v>0.1</v>
      </c>
      <c r="E122" s="3258">
        <v>9.8000000000000004E-2</v>
      </c>
      <c r="F122" s="3258">
        <v>0.1</v>
      </c>
      <c r="G122" s="3259">
        <v>0.1</v>
      </c>
    </row>
    <row r="123" spans="1:7">
      <c r="A123" s="3268" t="s">
        <v>303</v>
      </c>
      <c r="B123" s="3257" t="s">
        <v>3001</v>
      </c>
      <c r="C123" s="3258">
        <v>0.1</v>
      </c>
      <c r="D123" s="3258">
        <v>0.1</v>
      </c>
      <c r="E123" s="3258">
        <v>9.8000000000000004E-2</v>
      </c>
      <c r="F123" s="3258">
        <v>0.1</v>
      </c>
      <c r="G123" s="3259">
        <v>0.1</v>
      </c>
    </row>
    <row r="124" spans="1:7">
      <c r="A124" s="3268" t="s">
        <v>303</v>
      </c>
      <c r="B124" s="3257" t="s">
        <v>3006</v>
      </c>
      <c r="C124" s="3258">
        <v>0.1</v>
      </c>
      <c r="D124" s="3258">
        <v>0.1</v>
      </c>
      <c r="E124" s="3258">
        <v>9.8000000000000004E-2</v>
      </c>
      <c r="F124" s="3274"/>
      <c r="G124" s="3259">
        <v>0.1</v>
      </c>
    </row>
    <row r="125" spans="1:7">
      <c r="A125" s="3268" t="s">
        <v>303</v>
      </c>
      <c r="B125" s="3257" t="s">
        <v>3011</v>
      </c>
      <c r="C125" s="3258">
        <v>9.8000000000000004E-2</v>
      </c>
      <c r="D125" s="3258">
        <v>9.8000000000000004E-2</v>
      </c>
      <c r="E125" s="3258">
        <v>9.6000000000000002E-2</v>
      </c>
      <c r="F125" s="3274"/>
      <c r="G125" s="3259">
        <v>0.1</v>
      </c>
    </row>
    <row r="126" spans="1:7" ht="14.25" thickBot="1">
      <c r="A126" s="3271" t="s">
        <v>303</v>
      </c>
      <c r="B126" s="3261" t="s">
        <v>3177</v>
      </c>
      <c r="C126" s="3262">
        <v>0.1</v>
      </c>
      <c r="D126" s="3262">
        <v>0.1</v>
      </c>
      <c r="E126" s="3262">
        <v>9.8000000000000004E-2</v>
      </c>
      <c r="F126" s="3262">
        <v>0.1</v>
      </c>
      <c r="G126" s="3264">
        <v>0.1</v>
      </c>
    </row>
    <row r="127" spans="1:7">
      <c r="A127" s="3267" t="s">
        <v>29</v>
      </c>
      <c r="B127" s="3253" t="s">
        <v>2854</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2924</v>
      </c>
      <c r="C148" s="3258">
        <v>0.13</v>
      </c>
      <c r="D148" s="3258">
        <v>0.13</v>
      </c>
      <c r="E148" s="3258">
        <v>0.13</v>
      </c>
      <c r="F148" s="3269"/>
      <c r="G148" s="3259">
        <v>0.13</v>
      </c>
    </row>
    <row r="149" spans="1:7">
      <c r="A149" s="3268" t="s">
        <v>29</v>
      </c>
      <c r="B149" s="3257" t="s">
        <v>2928</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2947</v>
      </c>
      <c r="C153" s="3258">
        <v>0.13</v>
      </c>
      <c r="D153" s="3258">
        <v>0.13</v>
      </c>
      <c r="E153" s="3258">
        <v>0.13</v>
      </c>
      <c r="F153" s="3258">
        <v>0.13</v>
      </c>
      <c r="G153" s="3259">
        <v>0.13</v>
      </c>
    </row>
    <row r="154" spans="1:7">
      <c r="A154" s="3268" t="s">
        <v>29</v>
      </c>
      <c r="B154" s="3257" t="s">
        <v>2954</v>
      </c>
      <c r="C154" s="3258">
        <v>0.121</v>
      </c>
      <c r="D154" s="3258">
        <v>0.121</v>
      </c>
      <c r="E154" s="3258">
        <v>0.105</v>
      </c>
      <c r="F154" s="3258">
        <v>0.121</v>
      </c>
      <c r="G154" s="3259">
        <v>0.123</v>
      </c>
    </row>
    <row r="155" spans="1:7">
      <c r="A155" s="3268" t="s">
        <v>29</v>
      </c>
      <c r="B155" s="3257" t="s">
        <v>2960</v>
      </c>
      <c r="C155" s="3258">
        <v>0.1</v>
      </c>
      <c r="D155" s="3258">
        <v>0.1</v>
      </c>
      <c r="E155" s="3258">
        <v>0.1</v>
      </c>
      <c r="F155" s="3258">
        <v>0.1</v>
      </c>
      <c r="G155" s="3259">
        <v>0.1</v>
      </c>
    </row>
    <row r="156" spans="1:7">
      <c r="A156" s="3268" t="s">
        <v>29</v>
      </c>
      <c r="B156" s="3257" t="s">
        <v>2967</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2987</v>
      </c>
      <c r="C160" s="3258">
        <v>0.13</v>
      </c>
      <c r="D160" s="3258">
        <v>0.13</v>
      </c>
      <c r="E160" s="3258">
        <v>0.124</v>
      </c>
      <c r="F160" s="3258">
        <v>0.126</v>
      </c>
      <c r="G160" s="3259">
        <v>0.13</v>
      </c>
    </row>
    <row r="161" spans="1:7">
      <c r="A161" s="3268" t="s">
        <v>29</v>
      </c>
      <c r="B161" s="3257" t="s">
        <v>2992</v>
      </c>
      <c r="C161" s="3258">
        <v>0.13</v>
      </c>
      <c r="D161" s="3258">
        <v>0.13</v>
      </c>
      <c r="E161" s="3258">
        <v>0.124</v>
      </c>
      <c r="F161" s="3258">
        <v>0.127</v>
      </c>
      <c r="G161" s="3259">
        <v>0.13</v>
      </c>
    </row>
    <row r="162" spans="1:7">
      <c r="A162" s="3268" t="s">
        <v>29</v>
      </c>
      <c r="B162" s="3257" t="s">
        <v>2997</v>
      </c>
      <c r="C162" s="3258">
        <v>0.1</v>
      </c>
      <c r="D162" s="3258">
        <v>0.1</v>
      </c>
      <c r="E162" s="3258">
        <v>0.1</v>
      </c>
      <c r="F162" s="3258">
        <v>0.121</v>
      </c>
      <c r="G162" s="3259">
        <v>0.105</v>
      </c>
    </row>
    <row r="163" spans="1:7">
      <c r="A163" s="3268" t="s">
        <v>29</v>
      </c>
      <c r="B163" s="3257" t="s">
        <v>3002</v>
      </c>
      <c r="C163" s="3258">
        <v>0.1</v>
      </c>
      <c r="D163" s="3258">
        <v>0.1</v>
      </c>
      <c r="E163" s="3258">
        <v>0.1</v>
      </c>
      <c r="F163" s="3258">
        <v>0.1</v>
      </c>
      <c r="G163" s="3259">
        <v>0.1</v>
      </c>
    </row>
    <row r="164" spans="1:7">
      <c r="A164" s="3268" t="s">
        <v>29</v>
      </c>
      <c r="B164" s="3257" t="s">
        <v>3007</v>
      </c>
      <c r="C164" s="3274"/>
      <c r="D164" s="3274"/>
      <c r="E164" s="3274"/>
      <c r="F164" s="3258">
        <v>0.1</v>
      </c>
      <c r="G164" s="3270"/>
    </row>
    <row r="165" spans="1:7">
      <c r="A165" s="3268" t="s">
        <v>29</v>
      </c>
      <c r="B165" s="3257" t="s">
        <v>3178</v>
      </c>
      <c r="C165" s="3258">
        <v>0.126</v>
      </c>
      <c r="D165" s="3258">
        <v>0.126</v>
      </c>
      <c r="E165" s="3258">
        <v>0.11899999999999999</v>
      </c>
      <c r="F165" s="3258">
        <v>0.13</v>
      </c>
      <c r="G165" s="3259">
        <v>0.128</v>
      </c>
    </row>
    <row r="166" spans="1:7">
      <c r="A166" s="3268" t="s">
        <v>29</v>
      </c>
      <c r="B166" s="3257" t="s">
        <v>3017</v>
      </c>
      <c r="C166" s="3258">
        <v>0.129</v>
      </c>
      <c r="D166" s="3258">
        <v>0.129</v>
      </c>
      <c r="E166" s="3258">
        <v>0.123</v>
      </c>
      <c r="F166" s="3258">
        <v>0.128</v>
      </c>
      <c r="G166" s="3259">
        <v>0.13</v>
      </c>
    </row>
    <row r="167" spans="1:7">
      <c r="A167" s="3268" t="s">
        <v>29</v>
      </c>
      <c r="B167" s="3257" t="s">
        <v>3021</v>
      </c>
      <c r="C167" s="3258">
        <v>0.125</v>
      </c>
      <c r="D167" s="3258">
        <v>0.125</v>
      </c>
      <c r="E167" s="3258">
        <v>0.11700000000000001</v>
      </c>
      <c r="F167" s="3258">
        <v>0.13</v>
      </c>
      <c r="G167" s="3259">
        <v>0.126</v>
      </c>
    </row>
    <row r="168" spans="1:7">
      <c r="A168" s="3268" t="s">
        <v>29</v>
      </c>
      <c r="B168" s="3257" t="s">
        <v>3026</v>
      </c>
      <c r="C168" s="3258">
        <v>0.128</v>
      </c>
      <c r="D168" s="3258">
        <v>0.128</v>
      </c>
      <c r="E168" s="3258">
        <v>0.123</v>
      </c>
      <c r="F168" s="3269"/>
      <c r="G168" s="3259">
        <v>0.13</v>
      </c>
    </row>
    <row r="169" spans="1:7">
      <c r="A169" s="3268" t="s">
        <v>29</v>
      </c>
      <c r="B169" s="3257" t="s">
        <v>3179</v>
      </c>
      <c r="C169" s="3274"/>
      <c r="D169" s="3274"/>
      <c r="E169" s="3274"/>
      <c r="F169" s="3258">
        <v>0.05</v>
      </c>
      <c r="G169" s="3270"/>
    </row>
    <row r="170" spans="1:7">
      <c r="A170" s="3268" t="s">
        <v>29</v>
      </c>
      <c r="B170" s="3257" t="s">
        <v>3180</v>
      </c>
      <c r="C170" s="3274"/>
      <c r="D170" s="3274"/>
      <c r="E170" s="3274"/>
      <c r="F170" s="3258">
        <v>0.05</v>
      </c>
      <c r="G170" s="3270"/>
    </row>
    <row r="171" spans="1:7">
      <c r="A171" s="3268" t="s">
        <v>29</v>
      </c>
      <c r="B171" s="3257" t="s">
        <v>3181</v>
      </c>
      <c r="C171" s="3274"/>
      <c r="D171" s="3274"/>
      <c r="E171" s="3274"/>
      <c r="F171" s="3258">
        <v>0.05</v>
      </c>
      <c r="G171" s="3275"/>
    </row>
    <row r="172" spans="1:7">
      <c r="A172" s="3268" t="s">
        <v>29</v>
      </c>
      <c r="B172" s="3257" t="s">
        <v>3182</v>
      </c>
      <c r="C172" s="3274"/>
      <c r="D172" s="3274"/>
      <c r="E172" s="3274"/>
      <c r="F172" s="3258">
        <v>0.05</v>
      </c>
      <c r="G172" s="3275"/>
    </row>
    <row r="173" spans="1:7">
      <c r="A173" s="3268" t="s">
        <v>29</v>
      </c>
      <c r="B173" s="3257" t="s">
        <v>3183</v>
      </c>
      <c r="C173" s="3274"/>
      <c r="D173" s="3274"/>
      <c r="E173" s="3274"/>
      <c r="F173" s="3258">
        <v>0.05</v>
      </c>
      <c r="G173" s="3270"/>
    </row>
    <row r="174" spans="1:7">
      <c r="A174" s="3268" t="s">
        <v>29</v>
      </c>
      <c r="B174" s="3257" t="s">
        <v>3184</v>
      </c>
      <c r="C174" s="3274"/>
      <c r="D174" s="3274"/>
      <c r="E174" s="3274"/>
      <c r="F174" s="3258">
        <v>0.05</v>
      </c>
      <c r="G174" s="3270"/>
    </row>
    <row r="175" spans="1:7">
      <c r="A175" s="3268" t="s">
        <v>29</v>
      </c>
      <c r="B175" s="3257" t="s">
        <v>3185</v>
      </c>
      <c r="C175" s="3274"/>
      <c r="D175" s="3274"/>
      <c r="E175" s="3274"/>
      <c r="F175" s="3258">
        <v>0.05</v>
      </c>
      <c r="G175" s="3270"/>
    </row>
    <row r="176" spans="1:7">
      <c r="A176" s="3268" t="s">
        <v>29</v>
      </c>
      <c r="B176" s="3257" t="s">
        <v>3186</v>
      </c>
      <c r="C176" s="3274"/>
      <c r="D176" s="3274"/>
      <c r="E176" s="3274"/>
      <c r="F176" s="3258">
        <v>0.05</v>
      </c>
      <c r="G176" s="3270"/>
    </row>
    <row r="177" spans="1:7">
      <c r="A177" s="3268" t="s">
        <v>29</v>
      </c>
      <c r="B177" s="3257" t="s">
        <v>3187</v>
      </c>
      <c r="C177" s="3269"/>
      <c r="D177" s="3269"/>
      <c r="E177" s="3269"/>
      <c r="F177" s="3258">
        <v>0.05</v>
      </c>
      <c r="G177" s="3275"/>
    </row>
    <row r="178" spans="1:7">
      <c r="A178" s="3268" t="s">
        <v>29</v>
      </c>
      <c r="B178" s="3257" t="s">
        <v>3188</v>
      </c>
      <c r="C178" s="3269"/>
      <c r="D178" s="3269"/>
      <c r="E178" s="3269"/>
      <c r="F178" s="3258">
        <v>0.05</v>
      </c>
      <c r="G178" s="3275"/>
    </row>
    <row r="179" spans="1:7">
      <c r="A179" s="3268" t="s">
        <v>29</v>
      </c>
      <c r="B179" s="3257" t="s">
        <v>3189</v>
      </c>
      <c r="C179" s="3269"/>
      <c r="D179" s="3269"/>
      <c r="E179" s="3269"/>
      <c r="F179" s="3258">
        <v>0.05</v>
      </c>
      <c r="G179" s="3275"/>
    </row>
    <row r="180" spans="1:7">
      <c r="A180" s="3268" t="s">
        <v>29</v>
      </c>
      <c r="B180" s="3257" t="s">
        <v>3190</v>
      </c>
      <c r="C180" s="3269"/>
      <c r="D180" s="3269"/>
      <c r="E180" s="3269"/>
      <c r="F180" s="3258">
        <v>0.05</v>
      </c>
      <c r="G180" s="3275"/>
    </row>
    <row r="181" spans="1:7">
      <c r="A181" s="3268" t="s">
        <v>29</v>
      </c>
      <c r="B181" s="3257" t="s">
        <v>3191</v>
      </c>
      <c r="C181" s="3269"/>
      <c r="D181" s="3269"/>
      <c r="E181" s="3269"/>
      <c r="F181" s="3258">
        <v>0.05</v>
      </c>
      <c r="G181" s="3275"/>
    </row>
    <row r="182" spans="1:7">
      <c r="A182" s="3268" t="s">
        <v>29</v>
      </c>
      <c r="B182" s="3257" t="s">
        <v>3192</v>
      </c>
      <c r="C182" s="3269"/>
      <c r="D182" s="3269"/>
      <c r="E182" s="3269"/>
      <c r="F182" s="3258">
        <v>0.05</v>
      </c>
      <c r="G182" s="3275"/>
    </row>
    <row r="183" spans="1:7">
      <c r="A183" s="3268" t="s">
        <v>29</v>
      </c>
      <c r="B183" s="3257" t="s">
        <v>3193</v>
      </c>
      <c r="C183" s="3269"/>
      <c r="D183" s="3269"/>
      <c r="E183" s="3269"/>
      <c r="F183" s="3258">
        <v>0.05</v>
      </c>
      <c r="G183" s="3275"/>
    </row>
    <row r="184" spans="1:7">
      <c r="A184" s="3268" t="s">
        <v>29</v>
      </c>
      <c r="B184" s="3257" t="s">
        <v>3194</v>
      </c>
      <c r="C184" s="3269"/>
      <c r="D184" s="3269"/>
      <c r="E184" s="3269"/>
      <c r="F184" s="3258">
        <v>0.05</v>
      </c>
      <c r="G184" s="3275"/>
    </row>
    <row r="185" spans="1:7">
      <c r="A185" s="3268" t="s">
        <v>29</v>
      </c>
      <c r="B185" s="3257" t="s">
        <v>3195</v>
      </c>
      <c r="C185" s="3269"/>
      <c r="D185" s="3269"/>
      <c r="E185" s="3269"/>
      <c r="F185" s="3258">
        <v>0.05</v>
      </c>
      <c r="G185" s="3275"/>
    </row>
    <row r="186" spans="1:7">
      <c r="A186" s="3268" t="s">
        <v>29</v>
      </c>
      <c r="B186" s="3257" t="s">
        <v>3196</v>
      </c>
      <c r="C186" s="3269"/>
      <c r="D186" s="3269"/>
      <c r="E186" s="3269"/>
      <c r="F186" s="3258">
        <v>0.05</v>
      </c>
      <c r="G186" s="3275"/>
    </row>
    <row r="187" spans="1:7">
      <c r="A187" s="3268" t="s">
        <v>29</v>
      </c>
      <c r="B187" s="3257" t="s">
        <v>3197</v>
      </c>
      <c r="C187" s="3269"/>
      <c r="D187" s="3269"/>
      <c r="E187" s="3269"/>
      <c r="F187" s="3258">
        <v>0.05</v>
      </c>
      <c r="G187" s="3275"/>
    </row>
    <row r="188" spans="1:7">
      <c r="A188" s="3268" t="s">
        <v>29</v>
      </c>
      <c r="B188" s="3257" t="s">
        <v>3198</v>
      </c>
      <c r="C188" s="3269"/>
      <c r="D188" s="3269"/>
      <c r="E188" s="3269"/>
      <c r="F188" s="3258">
        <v>0.05</v>
      </c>
      <c r="G188" s="3275"/>
    </row>
    <row r="189" spans="1:7" ht="14.25" thickBot="1">
      <c r="A189" s="3271" t="s">
        <v>29</v>
      </c>
      <c r="B189" s="3261" t="s">
        <v>3199</v>
      </c>
      <c r="C189" s="3263"/>
      <c r="D189" s="3263"/>
      <c r="E189" s="3263"/>
      <c r="F189" s="3262">
        <v>0.05</v>
      </c>
      <c r="G189" s="3276"/>
    </row>
    <row r="190" spans="1:7">
      <c r="A190" s="3267" t="s">
        <v>304</v>
      </c>
      <c r="B190" s="3253" t="s">
        <v>2855</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2891</v>
      </c>
      <c r="C199" s="3258">
        <v>0.13</v>
      </c>
      <c r="D199" s="3258">
        <v>0.13</v>
      </c>
      <c r="E199" s="3258">
        <v>0.13</v>
      </c>
      <c r="F199" s="3258">
        <v>0.13</v>
      </c>
      <c r="G199" s="3259">
        <v>0.13</v>
      </c>
    </row>
    <row r="200" spans="1:7">
      <c r="A200" s="3268" t="s">
        <v>304</v>
      </c>
      <c r="B200" s="3257" t="s">
        <v>2894</v>
      </c>
      <c r="C200" s="3274"/>
      <c r="D200" s="3274"/>
      <c r="E200" s="3274"/>
      <c r="F200" s="3258">
        <v>0.13</v>
      </c>
      <c r="G200" s="3270"/>
    </row>
    <row r="201" spans="1:7">
      <c r="A201" s="3268" t="s">
        <v>304</v>
      </c>
      <c r="B201" s="3257" t="s">
        <v>2899</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2902</v>
      </c>
      <c r="C203" s="3258">
        <v>0.129</v>
      </c>
      <c r="D203" s="3258">
        <v>0.129</v>
      </c>
      <c r="E203" s="3258">
        <v>0.13</v>
      </c>
      <c r="F203" s="3258">
        <v>0.13</v>
      </c>
      <c r="G203" s="3259">
        <v>0.13</v>
      </c>
    </row>
    <row r="204" spans="1:7">
      <c r="A204" s="3268" t="s">
        <v>304</v>
      </c>
      <c r="B204" s="3257" t="s">
        <v>2905</v>
      </c>
      <c r="C204" s="3258">
        <v>0.129</v>
      </c>
      <c r="D204" s="3258">
        <v>0.129</v>
      </c>
      <c r="E204" s="3258">
        <v>0.123</v>
      </c>
      <c r="F204" s="3258">
        <v>0.13</v>
      </c>
      <c r="G204" s="3259">
        <v>0.13</v>
      </c>
    </row>
    <row r="205" spans="1:7">
      <c r="A205" s="3268" t="s">
        <v>304</v>
      </c>
      <c r="B205" s="3257" t="s">
        <v>2907</v>
      </c>
      <c r="C205" s="3258">
        <v>0.13</v>
      </c>
      <c r="D205" s="3258">
        <v>0.13</v>
      </c>
      <c r="E205" s="3258">
        <v>0.13</v>
      </c>
      <c r="F205" s="3258">
        <v>0.13</v>
      </c>
      <c r="G205" s="3259">
        <v>0.13</v>
      </c>
    </row>
    <row r="206" spans="1:7">
      <c r="A206" s="3268" t="s">
        <v>304</v>
      </c>
      <c r="B206" s="3257" t="s">
        <v>2910</v>
      </c>
      <c r="C206" s="3258">
        <v>0.13</v>
      </c>
      <c r="D206" s="3258">
        <v>0.13</v>
      </c>
      <c r="E206" s="3258">
        <v>0.13</v>
      </c>
      <c r="F206" s="3258">
        <v>0.128</v>
      </c>
      <c r="G206" s="3259">
        <v>0.13</v>
      </c>
    </row>
    <row r="207" spans="1:7">
      <c r="A207" s="3268" t="s">
        <v>304</v>
      </c>
      <c r="B207" s="3257" t="s">
        <v>2912</v>
      </c>
      <c r="C207" s="3258">
        <v>0.13</v>
      </c>
      <c r="D207" s="3258">
        <v>0.13</v>
      </c>
      <c r="E207" s="3258">
        <v>0.13</v>
      </c>
      <c r="F207" s="3258">
        <v>0.13</v>
      </c>
      <c r="G207" s="3259">
        <v>0.13</v>
      </c>
    </row>
    <row r="208" spans="1:7">
      <c r="A208" s="3268" t="s">
        <v>304</v>
      </c>
      <c r="B208" s="3257" t="s">
        <v>2915</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2922</v>
      </c>
      <c r="C210" s="3258">
        <v>0.121</v>
      </c>
      <c r="D210" s="3258">
        <v>0.121</v>
      </c>
      <c r="E210" s="3258">
        <v>0.125</v>
      </c>
      <c r="F210" s="3258">
        <v>0.13</v>
      </c>
      <c r="G210" s="3259">
        <v>0.123</v>
      </c>
    </row>
    <row r="211" spans="1:7">
      <c r="A211" s="3268" t="s">
        <v>304</v>
      </c>
      <c r="B211" s="3257" t="s">
        <v>2925</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2937</v>
      </c>
      <c r="C214" s="3258">
        <v>0.128</v>
      </c>
      <c r="D214" s="3258">
        <v>0.128</v>
      </c>
      <c r="E214" s="3258">
        <v>0.13</v>
      </c>
      <c r="F214" s="3258">
        <v>0.13</v>
      </c>
      <c r="G214" s="3259">
        <v>0.13</v>
      </c>
    </row>
    <row r="215" spans="1:7">
      <c r="A215" s="3268" t="s">
        <v>304</v>
      </c>
      <c r="B215" s="3257" t="s">
        <v>2941</v>
      </c>
      <c r="C215" s="3258">
        <v>0.13</v>
      </c>
      <c r="D215" s="3258">
        <v>0.13</v>
      </c>
      <c r="E215" s="3258">
        <v>0.13</v>
      </c>
      <c r="F215" s="3258">
        <v>0.129</v>
      </c>
      <c r="G215" s="3259">
        <v>0.13</v>
      </c>
    </row>
    <row r="216" spans="1:7">
      <c r="A216" s="3268" t="s">
        <v>304</v>
      </c>
      <c r="B216" s="3257" t="s">
        <v>2948</v>
      </c>
      <c r="C216" s="3258">
        <v>0.13</v>
      </c>
      <c r="D216" s="3258">
        <v>0.13</v>
      </c>
      <c r="E216" s="3258">
        <v>0.13</v>
      </c>
      <c r="F216" s="3258">
        <v>0.13</v>
      </c>
      <c r="G216" s="3259">
        <v>0.13</v>
      </c>
    </row>
    <row r="217" spans="1:7">
      <c r="A217" s="3268" t="s">
        <v>304</v>
      </c>
      <c r="B217" s="3257" t="s">
        <v>2955</v>
      </c>
      <c r="C217" s="3258">
        <v>0.129</v>
      </c>
      <c r="D217" s="3258">
        <v>0.129</v>
      </c>
      <c r="E217" s="3258">
        <v>0.13</v>
      </c>
      <c r="F217" s="3258">
        <v>0.13</v>
      </c>
      <c r="G217" s="3259">
        <v>0.13</v>
      </c>
    </row>
    <row r="218" spans="1:7">
      <c r="A218" s="3268" t="s">
        <v>304</v>
      </c>
      <c r="B218" s="3257" t="s">
        <v>2961</v>
      </c>
      <c r="C218" s="3269"/>
      <c r="D218" s="3269"/>
      <c r="E218" s="3269"/>
      <c r="F218" s="3258">
        <v>0.05</v>
      </c>
      <c r="G218" s="3275"/>
    </row>
    <row r="219" spans="1:7">
      <c r="A219" s="3268" t="s">
        <v>304</v>
      </c>
      <c r="B219" s="3257" t="s">
        <v>2968</v>
      </c>
      <c r="C219" s="3269"/>
      <c r="D219" s="3269"/>
      <c r="E219" s="3269"/>
      <c r="F219" s="3258">
        <v>0.05</v>
      </c>
      <c r="G219" s="3275"/>
    </row>
    <row r="220" spans="1:7">
      <c r="A220" s="3268" t="s">
        <v>304</v>
      </c>
      <c r="B220" s="3257" t="s">
        <v>2974</v>
      </c>
      <c r="C220" s="3269"/>
      <c r="D220" s="3269"/>
      <c r="E220" s="3269"/>
      <c r="F220" s="3258">
        <v>0.05</v>
      </c>
      <c r="G220" s="3275"/>
    </row>
    <row r="221" spans="1:7">
      <c r="A221" s="3268" t="s">
        <v>304</v>
      </c>
      <c r="B221" s="3257" t="s">
        <v>2979</v>
      </c>
      <c r="C221" s="3269"/>
      <c r="D221" s="3269"/>
      <c r="E221" s="3269"/>
      <c r="F221" s="3258">
        <v>0.05</v>
      </c>
      <c r="G221" s="3275"/>
    </row>
    <row r="222" spans="1:7">
      <c r="A222" s="3268" t="s">
        <v>304</v>
      </c>
      <c r="B222" s="3257" t="s">
        <v>2983</v>
      </c>
      <c r="C222" s="3269"/>
      <c r="D222" s="3269"/>
      <c r="E222" s="3269"/>
      <c r="F222" s="3258">
        <v>0.05</v>
      </c>
      <c r="G222" s="3275"/>
    </row>
    <row r="223" spans="1:7">
      <c r="A223" s="3268" t="s">
        <v>304</v>
      </c>
      <c r="B223" s="3257" t="s">
        <v>2988</v>
      </c>
      <c r="C223" s="3269"/>
      <c r="D223" s="3269"/>
      <c r="E223" s="3269"/>
      <c r="F223" s="3258">
        <v>0.05</v>
      </c>
      <c r="G223" s="3275"/>
    </row>
    <row r="224" spans="1:7">
      <c r="A224" s="3268" t="s">
        <v>304</v>
      </c>
      <c r="B224" s="3257" t="s">
        <v>2993</v>
      </c>
      <c r="C224" s="3269"/>
      <c r="D224" s="3269"/>
      <c r="E224" s="3269"/>
      <c r="F224" s="3258">
        <v>0.05</v>
      </c>
      <c r="G224" s="3275"/>
    </row>
    <row r="225" spans="1:7">
      <c r="A225" s="3268" t="s">
        <v>304</v>
      </c>
      <c r="B225" s="3257" t="s">
        <v>2998</v>
      </c>
      <c r="C225" s="3269"/>
      <c r="D225" s="3269"/>
      <c r="E225" s="3269"/>
      <c r="F225" s="3258">
        <v>0.05</v>
      </c>
      <c r="G225" s="3275"/>
    </row>
    <row r="226" spans="1:7">
      <c r="A226" s="3268" t="s">
        <v>304</v>
      </c>
      <c r="B226" s="3257" t="s">
        <v>3200</v>
      </c>
      <c r="C226" s="3269"/>
      <c r="D226" s="3269"/>
      <c r="E226" s="3269"/>
      <c r="F226" s="3258">
        <v>0.05</v>
      </c>
      <c r="G226" s="3275"/>
    </row>
    <row r="227" spans="1:7">
      <c r="A227" s="3268" t="s">
        <v>304</v>
      </c>
      <c r="B227" s="3257" t="s">
        <v>3201</v>
      </c>
      <c r="C227" s="3269"/>
      <c r="D227" s="3269"/>
      <c r="E227" s="3269"/>
      <c r="F227" s="3258">
        <v>0.05</v>
      </c>
      <c r="G227" s="3275"/>
    </row>
    <row r="228" spans="1:7">
      <c r="A228" s="3268" t="s">
        <v>304</v>
      </c>
      <c r="B228" s="3257" t="s">
        <v>3202</v>
      </c>
      <c r="C228" s="3269"/>
      <c r="D228" s="3269"/>
      <c r="E228" s="3269"/>
      <c r="F228" s="3258">
        <v>0.05</v>
      </c>
      <c r="G228" s="3275"/>
    </row>
    <row r="229" spans="1:7">
      <c r="A229" s="3268" t="s">
        <v>304</v>
      </c>
      <c r="B229" s="3257" t="s">
        <v>3203</v>
      </c>
      <c r="C229" s="3269"/>
      <c r="D229" s="3269"/>
      <c r="E229" s="3269"/>
      <c r="F229" s="3258">
        <v>0.05</v>
      </c>
      <c r="G229" s="3275"/>
    </row>
    <row r="230" spans="1:7">
      <c r="A230" s="3268" t="s">
        <v>304</v>
      </c>
      <c r="B230" s="3257" t="s">
        <v>3204</v>
      </c>
      <c r="C230" s="3269"/>
      <c r="D230" s="3269"/>
      <c r="E230" s="3269"/>
      <c r="F230" s="3258">
        <v>0.05</v>
      </c>
      <c r="G230" s="3275"/>
    </row>
    <row r="231" spans="1:7">
      <c r="A231" s="3268" t="s">
        <v>304</v>
      </c>
      <c r="B231" s="3257" t="s">
        <v>3205</v>
      </c>
      <c r="C231" s="3269"/>
      <c r="D231" s="3269"/>
      <c r="E231" s="3269"/>
      <c r="F231" s="3258">
        <v>0.05</v>
      </c>
      <c r="G231" s="3275"/>
    </row>
    <row r="232" spans="1:7">
      <c r="A232" s="3268" t="s">
        <v>304</v>
      </c>
      <c r="B232" s="3257" t="s">
        <v>3206</v>
      </c>
      <c r="C232" s="3269"/>
      <c r="D232" s="3269"/>
      <c r="E232" s="3269"/>
      <c r="F232" s="3258">
        <v>0.05</v>
      </c>
      <c r="G232" s="3275"/>
    </row>
    <row r="233" spans="1:7" ht="14.25" thickBot="1">
      <c r="A233" s="3271" t="s">
        <v>304</v>
      </c>
      <c r="B233" s="3261" t="s">
        <v>3207</v>
      </c>
      <c r="C233" s="3263"/>
      <c r="D233" s="3263"/>
      <c r="E233" s="3263"/>
      <c r="F233" s="3262">
        <v>0.05</v>
      </c>
      <c r="G233" s="3276"/>
    </row>
    <row r="234" spans="1:7">
      <c r="A234" s="3267" t="s">
        <v>305</v>
      </c>
      <c r="B234" s="3253" t="s">
        <v>2856</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2876</v>
      </c>
      <c r="C238" s="3258">
        <v>0.14899999999999999</v>
      </c>
      <c r="D238" s="3258">
        <v>0.14899999999999999</v>
      </c>
      <c r="E238" s="3258">
        <v>0.15</v>
      </c>
      <c r="F238" s="3258">
        <v>0.15</v>
      </c>
      <c r="G238" s="3259">
        <v>0.15</v>
      </c>
    </row>
    <row r="239" spans="1:7">
      <c r="A239" s="3268" t="s">
        <v>305</v>
      </c>
      <c r="B239" s="3257" t="s">
        <v>2880</v>
      </c>
      <c r="C239" s="3258">
        <v>0.15</v>
      </c>
      <c r="D239" s="3258">
        <v>0.15</v>
      </c>
      <c r="E239" s="3258">
        <v>0.15</v>
      </c>
      <c r="F239" s="3258">
        <v>0.15</v>
      </c>
      <c r="G239" s="3259">
        <v>0.15</v>
      </c>
    </row>
    <row r="240" spans="1:7">
      <c r="A240" s="3268" t="s">
        <v>305</v>
      </c>
      <c r="B240" s="3257" t="s">
        <v>2885</v>
      </c>
      <c r="C240" s="3258">
        <v>0.15</v>
      </c>
      <c r="D240" s="3258">
        <v>0.15</v>
      </c>
      <c r="E240" s="3258">
        <v>0.15</v>
      </c>
      <c r="F240" s="3258">
        <v>0.15</v>
      </c>
      <c r="G240" s="3259">
        <v>0.15</v>
      </c>
    </row>
    <row r="241" spans="1:7">
      <c r="A241" s="3268" t="s">
        <v>305</v>
      </c>
      <c r="B241" s="3257" t="s">
        <v>2889</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2895</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2903</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2908</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2916</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2929</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2938</v>
      </c>
      <c r="C258" s="3258">
        <v>0.14299999999999999</v>
      </c>
      <c r="D258" s="3258">
        <v>0.14299999999999999</v>
      </c>
      <c r="E258" s="3258">
        <v>0.15</v>
      </c>
      <c r="F258" s="3258">
        <v>0.14799999999999999</v>
      </c>
      <c r="G258" s="3259">
        <v>0.14599999999999999</v>
      </c>
    </row>
    <row r="259" spans="1:7">
      <c r="A259" s="3268" t="s">
        <v>305</v>
      </c>
      <c r="B259" s="3257" t="s">
        <v>2942</v>
      </c>
      <c r="C259" s="3258">
        <v>0.14399999999999999</v>
      </c>
      <c r="D259" s="3258">
        <v>0.14399999999999999</v>
      </c>
      <c r="E259" s="3258">
        <v>0.14899999999999999</v>
      </c>
      <c r="F259" s="3258">
        <v>0.14699999999999999</v>
      </c>
      <c r="G259" s="3259">
        <v>0.14599999999999999</v>
      </c>
    </row>
    <row r="260" spans="1:7">
      <c r="A260" s="3268" t="s">
        <v>305</v>
      </c>
      <c r="B260" s="3257" t="s">
        <v>2949</v>
      </c>
      <c r="C260" s="3258">
        <v>0.109</v>
      </c>
      <c r="D260" s="3258">
        <v>0.111</v>
      </c>
      <c r="E260" s="3258">
        <v>0.13100000000000001</v>
      </c>
      <c r="F260" s="3258">
        <v>0.126</v>
      </c>
      <c r="G260" s="3259">
        <v>0.11899999999999999</v>
      </c>
    </row>
    <row r="261" spans="1:7">
      <c r="A261" s="3268" t="s">
        <v>305</v>
      </c>
      <c r="B261" s="3257" t="s">
        <v>2956</v>
      </c>
      <c r="C261" s="3258">
        <v>0.1</v>
      </c>
      <c r="D261" s="3258">
        <v>0.1</v>
      </c>
      <c r="E261" s="3258">
        <v>0.11799999999999999</v>
      </c>
      <c r="F261" s="3258">
        <v>0.108</v>
      </c>
      <c r="G261" s="3259">
        <v>0.107</v>
      </c>
    </row>
    <row r="262" spans="1:7">
      <c r="A262" s="3268" t="s">
        <v>305</v>
      </c>
      <c r="B262" s="3257" t="s">
        <v>2962</v>
      </c>
      <c r="C262" s="3258">
        <v>0.1</v>
      </c>
      <c r="D262" s="3258">
        <v>0.1</v>
      </c>
      <c r="E262" s="3258">
        <v>0.1</v>
      </c>
      <c r="F262" s="3258">
        <v>0.14099999999999999</v>
      </c>
      <c r="G262" s="3259">
        <v>0.1</v>
      </c>
    </row>
    <row r="263" spans="1:7">
      <c r="A263" s="3268" t="s">
        <v>305</v>
      </c>
      <c r="B263" s="3257" t="s">
        <v>2969</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2980</v>
      </c>
      <c r="C265" s="3269"/>
      <c r="D265" s="3269"/>
      <c r="E265" s="3269"/>
      <c r="F265" s="3258">
        <v>0.05</v>
      </c>
      <c r="G265" s="3275"/>
    </row>
    <row r="266" spans="1:7">
      <c r="A266" s="3268" t="s">
        <v>305</v>
      </c>
      <c r="B266" s="3257" t="s">
        <v>2984</v>
      </c>
      <c r="C266" s="3269"/>
      <c r="D266" s="3269"/>
      <c r="E266" s="3269"/>
      <c r="F266" s="3258">
        <v>0.05</v>
      </c>
      <c r="G266" s="3275"/>
    </row>
    <row r="267" spans="1:7">
      <c r="A267" s="3268" t="s">
        <v>305</v>
      </c>
      <c r="B267" s="3257" t="s">
        <v>2989</v>
      </c>
      <c r="C267" s="3269"/>
      <c r="D267" s="3269"/>
      <c r="E267" s="3269"/>
      <c r="F267" s="3258">
        <v>0.05</v>
      </c>
      <c r="G267" s="3275"/>
    </row>
    <row r="268" spans="1:7">
      <c r="A268" s="3268" t="s">
        <v>305</v>
      </c>
      <c r="B268" s="3257" t="s">
        <v>2994</v>
      </c>
      <c r="C268" s="3269"/>
      <c r="D268" s="3269"/>
      <c r="E268" s="3269"/>
      <c r="F268" s="3258">
        <v>0.05</v>
      </c>
      <c r="G268" s="3275"/>
    </row>
    <row r="269" spans="1:7">
      <c r="A269" s="3268" t="s">
        <v>305</v>
      </c>
      <c r="B269" s="3257" t="s">
        <v>2999</v>
      </c>
      <c r="C269" s="3269"/>
      <c r="D269" s="3269"/>
      <c r="E269" s="3269"/>
      <c r="F269" s="3258">
        <v>0.05</v>
      </c>
      <c r="G269" s="3275"/>
    </row>
    <row r="270" spans="1:7">
      <c r="A270" s="3268" t="s">
        <v>305</v>
      </c>
      <c r="B270" s="3257" t="s">
        <v>3004</v>
      </c>
      <c r="C270" s="3269"/>
      <c r="D270" s="3269"/>
      <c r="E270" s="3269"/>
      <c r="F270" s="3258">
        <v>0.05</v>
      </c>
      <c r="G270" s="3275"/>
    </row>
    <row r="271" spans="1:7">
      <c r="A271" s="3268" t="s">
        <v>305</v>
      </c>
      <c r="B271" s="3257" t="s">
        <v>3208</v>
      </c>
      <c r="C271" s="3269"/>
      <c r="D271" s="3269"/>
      <c r="E271" s="3269"/>
      <c r="F271" s="3258">
        <v>0.05</v>
      </c>
      <c r="G271" s="3275"/>
    </row>
    <row r="272" spans="1:7">
      <c r="A272" s="3268" t="s">
        <v>305</v>
      </c>
      <c r="B272" s="3257" t="s">
        <v>3209</v>
      </c>
      <c r="C272" s="3269"/>
      <c r="D272" s="3269"/>
      <c r="E272" s="3269"/>
      <c r="F272" s="3258">
        <v>0.05</v>
      </c>
      <c r="G272" s="3275"/>
    </row>
    <row r="273" spans="1:7">
      <c r="A273" s="3268" t="s">
        <v>305</v>
      </c>
      <c r="B273" s="3257" t="s">
        <v>3210</v>
      </c>
      <c r="C273" s="3269"/>
      <c r="D273" s="3269"/>
      <c r="E273" s="3269"/>
      <c r="F273" s="3258">
        <v>0.05</v>
      </c>
      <c r="G273" s="3275"/>
    </row>
    <row r="274" spans="1:7">
      <c r="A274" s="3268" t="s">
        <v>305</v>
      </c>
      <c r="B274" s="3257" t="s">
        <v>3211</v>
      </c>
      <c r="C274" s="3269"/>
      <c r="D274" s="3269"/>
      <c r="E274" s="3269"/>
      <c r="F274" s="3258">
        <v>0.05</v>
      </c>
      <c r="G274" s="3275"/>
    </row>
    <row r="275" spans="1:7">
      <c r="A275" s="3268" t="s">
        <v>305</v>
      </c>
      <c r="B275" s="3257" t="s">
        <v>3212</v>
      </c>
      <c r="C275" s="3269"/>
      <c r="D275" s="3269"/>
      <c r="E275" s="3269"/>
      <c r="F275" s="3258">
        <v>0.05</v>
      </c>
      <c r="G275" s="3275"/>
    </row>
    <row r="276" spans="1:7" ht="14.25" thickBot="1">
      <c r="A276" s="3271" t="s">
        <v>305</v>
      </c>
      <c r="B276" s="3261" t="s">
        <v>3213</v>
      </c>
      <c r="C276" s="3263"/>
      <c r="D276" s="3263"/>
      <c r="E276" s="3263"/>
      <c r="F276" s="3262">
        <v>0.05</v>
      </c>
      <c r="G276" s="3276"/>
    </row>
    <row r="277" spans="1:7">
      <c r="A277" s="3267" t="s">
        <v>306</v>
      </c>
      <c r="B277" s="3253" t="s">
        <v>2857</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2869</v>
      </c>
      <c r="C279" s="3258">
        <v>0.15</v>
      </c>
      <c r="D279" s="3258">
        <v>0.15</v>
      </c>
      <c r="E279" s="3258">
        <v>0.15</v>
      </c>
      <c r="F279" s="3258">
        <v>0.15</v>
      </c>
      <c r="G279" s="3259">
        <v>0.15</v>
      </c>
    </row>
    <row r="280" spans="1:7">
      <c r="A280" s="3268" t="s">
        <v>306</v>
      </c>
      <c r="B280" s="3257" t="s">
        <v>2873</v>
      </c>
      <c r="C280" s="3258">
        <v>0.15</v>
      </c>
      <c r="D280" s="3258">
        <v>0.15</v>
      </c>
      <c r="E280" s="3258">
        <v>0.15</v>
      </c>
      <c r="F280" s="3258">
        <v>0.15</v>
      </c>
      <c r="G280" s="3259">
        <v>0.15</v>
      </c>
    </row>
    <row r="281" spans="1:7">
      <c r="A281" s="3268" t="s">
        <v>306</v>
      </c>
      <c r="B281" s="3257" t="s">
        <v>2877</v>
      </c>
      <c r="C281" s="3258">
        <v>0.15</v>
      </c>
      <c r="D281" s="3258">
        <v>0.15</v>
      </c>
      <c r="E281" s="3258">
        <v>0.15</v>
      </c>
      <c r="F281" s="3258">
        <v>0.15</v>
      </c>
      <c r="G281" s="3259">
        <v>0.15</v>
      </c>
    </row>
    <row r="282" spans="1:7">
      <c r="A282" s="3268" t="s">
        <v>306</v>
      </c>
      <c r="B282" s="3257" t="s">
        <v>2881</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2896</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2901</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2911</v>
      </c>
      <c r="C293" s="3258">
        <v>0.15</v>
      </c>
      <c r="D293" s="3258">
        <v>0.15</v>
      </c>
      <c r="E293" s="3258">
        <v>0.15</v>
      </c>
      <c r="F293" s="3258">
        <v>0.14499999999999999</v>
      </c>
      <c r="G293" s="3259">
        <v>0.15</v>
      </c>
    </row>
    <row r="294" spans="1:7">
      <c r="A294" s="3268" t="s">
        <v>306</v>
      </c>
      <c r="B294" s="3257" t="s">
        <v>2913</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2930</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2943</v>
      </c>
      <c r="C302" s="3258">
        <v>0.15</v>
      </c>
      <c r="D302" s="3258">
        <v>0.15</v>
      </c>
      <c r="E302" s="3258">
        <v>0.15</v>
      </c>
      <c r="F302" s="3258">
        <v>0.14699999999999999</v>
      </c>
      <c r="G302" s="3259">
        <v>0.15</v>
      </c>
    </row>
    <row r="303" spans="1:7">
      <c r="A303" s="3268" t="s">
        <v>306</v>
      </c>
      <c r="B303" s="3257" t="s">
        <v>2950</v>
      </c>
      <c r="C303" s="3258">
        <v>0.15</v>
      </c>
      <c r="D303" s="3258">
        <v>0.15</v>
      </c>
      <c r="E303" s="3258">
        <v>0.15</v>
      </c>
      <c r="F303" s="3258">
        <v>0.14199999999999999</v>
      </c>
      <c r="G303" s="3259">
        <v>0.15</v>
      </c>
    </row>
    <row r="304" spans="1:7">
      <c r="A304" s="3268" t="s">
        <v>306</v>
      </c>
      <c r="B304" s="3257" t="s">
        <v>2957</v>
      </c>
      <c r="C304" s="3258">
        <v>0.15</v>
      </c>
      <c r="D304" s="3258">
        <v>0.15</v>
      </c>
      <c r="E304" s="3258">
        <v>0.15</v>
      </c>
      <c r="F304" s="3258">
        <v>0.14499999999999999</v>
      </c>
      <c r="G304" s="3259">
        <v>0.15</v>
      </c>
    </row>
    <row r="305" spans="1:7">
      <c r="A305" s="3268" t="s">
        <v>306</v>
      </c>
      <c r="B305" s="3257" t="s">
        <v>2963</v>
      </c>
      <c r="C305" s="3258">
        <v>0.15</v>
      </c>
      <c r="D305" s="3258">
        <v>0.15</v>
      </c>
      <c r="E305" s="3258">
        <v>0.15</v>
      </c>
      <c r="F305" s="3258">
        <v>0.111</v>
      </c>
      <c r="G305" s="3259">
        <v>0.15</v>
      </c>
    </row>
    <row r="306" spans="1:7">
      <c r="A306" s="3268" t="s">
        <v>306</v>
      </c>
      <c r="B306" s="3257" t="s">
        <v>2970</v>
      </c>
      <c r="C306" s="3258">
        <v>0.15</v>
      </c>
      <c r="D306" s="3258">
        <v>0.15</v>
      </c>
      <c r="E306" s="3258">
        <v>0.15</v>
      </c>
      <c r="F306" s="3258">
        <v>0.126</v>
      </c>
      <c r="G306" s="3259">
        <v>0.15</v>
      </c>
    </row>
    <row r="307" spans="1:7">
      <c r="A307" s="3268" t="s">
        <v>306</v>
      </c>
      <c r="B307" s="3257" t="s">
        <v>2975</v>
      </c>
      <c r="C307" s="3258">
        <v>0.15</v>
      </c>
      <c r="D307" s="3258">
        <v>0.15</v>
      </c>
      <c r="E307" s="3258">
        <v>0.15</v>
      </c>
      <c r="F307" s="3258">
        <v>0.12</v>
      </c>
      <c r="G307" s="3259">
        <v>0.15</v>
      </c>
    </row>
    <row r="308" spans="1:7">
      <c r="A308" s="3268" t="s">
        <v>306</v>
      </c>
      <c r="B308" s="3257" t="s">
        <v>2981</v>
      </c>
      <c r="C308" s="3258">
        <v>0.15</v>
      </c>
      <c r="D308" s="3258">
        <v>0.15</v>
      </c>
      <c r="E308" s="3258">
        <v>0.15</v>
      </c>
      <c r="F308" s="3258">
        <v>0.13</v>
      </c>
      <c r="G308" s="3259">
        <v>0.15</v>
      </c>
    </row>
    <row r="309" spans="1:7">
      <c r="A309" s="3268" t="s">
        <v>306</v>
      </c>
      <c r="B309" s="3257" t="s">
        <v>2985</v>
      </c>
      <c r="C309" s="3258">
        <v>0.15</v>
      </c>
      <c r="D309" s="3258">
        <v>0.15</v>
      </c>
      <c r="E309" s="3258">
        <v>0.15</v>
      </c>
      <c r="F309" s="3258">
        <v>0.14099999999999999</v>
      </c>
      <c r="G309" s="3259">
        <v>0.15</v>
      </c>
    </row>
    <row r="310" spans="1:7">
      <c r="A310" s="3268" t="s">
        <v>306</v>
      </c>
      <c r="B310" s="3257" t="s">
        <v>2990</v>
      </c>
      <c r="C310" s="3258">
        <v>0.15</v>
      </c>
      <c r="D310" s="3258">
        <v>0.15</v>
      </c>
      <c r="E310" s="3258">
        <v>0.15</v>
      </c>
      <c r="F310" s="3258">
        <v>0.15</v>
      </c>
      <c r="G310" s="3259">
        <v>0.15</v>
      </c>
    </row>
    <row r="311" spans="1:7">
      <c r="A311" s="3268" t="s">
        <v>306</v>
      </c>
      <c r="B311" s="3257" t="s">
        <v>2995</v>
      </c>
      <c r="C311" s="3258">
        <v>0.13200000000000001</v>
      </c>
      <c r="D311" s="3258">
        <v>0.13300000000000001</v>
      </c>
      <c r="E311" s="3258">
        <v>0.14499999999999999</v>
      </c>
      <c r="F311" s="3258">
        <v>0.14199999999999999</v>
      </c>
      <c r="G311" s="3259">
        <v>0.14000000000000001</v>
      </c>
    </row>
    <row r="312" spans="1:7">
      <c r="A312" s="3268" t="s">
        <v>306</v>
      </c>
      <c r="B312" s="3257" t="s">
        <v>3000</v>
      </c>
      <c r="C312" s="3258">
        <v>0.13800000000000001</v>
      </c>
      <c r="D312" s="3258">
        <v>0.14000000000000001</v>
      </c>
      <c r="E312" s="3258">
        <v>0.14599999999999999</v>
      </c>
      <c r="F312" s="3258">
        <v>0.14899999999999999</v>
      </c>
      <c r="G312" s="3259">
        <v>0.14199999999999999</v>
      </c>
    </row>
    <row r="313" spans="1:7">
      <c r="A313" s="3268" t="s">
        <v>306</v>
      </c>
      <c r="B313" s="3257" t="s">
        <v>3005</v>
      </c>
      <c r="C313" s="3258">
        <v>0.125</v>
      </c>
      <c r="D313" s="3258">
        <v>0.127</v>
      </c>
      <c r="E313" s="3258">
        <v>0.14399999999999999</v>
      </c>
      <c r="F313" s="3258">
        <v>0.115</v>
      </c>
      <c r="G313" s="3259">
        <v>0.13600000000000001</v>
      </c>
    </row>
    <row r="314" spans="1:7">
      <c r="A314" s="3268" t="s">
        <v>306</v>
      </c>
      <c r="B314" s="3257" t="s">
        <v>3214</v>
      </c>
      <c r="C314" s="3274"/>
      <c r="D314" s="3274"/>
      <c r="E314" s="3274"/>
      <c r="F314" s="3258">
        <v>0.05</v>
      </c>
      <c r="G314" s="3275"/>
    </row>
    <row r="315" spans="1:7">
      <c r="A315" s="3268" t="s">
        <v>306</v>
      </c>
      <c r="B315" s="3257" t="s">
        <v>3215</v>
      </c>
      <c r="C315" s="3274"/>
      <c r="D315" s="3274"/>
      <c r="E315" s="3274"/>
      <c r="F315" s="3258">
        <v>0.05</v>
      </c>
      <c r="G315" s="3275"/>
    </row>
    <row r="316" spans="1:7">
      <c r="A316" s="3268" t="s">
        <v>306</v>
      </c>
      <c r="B316" s="3257" t="s">
        <v>3216</v>
      </c>
      <c r="C316" s="3269"/>
      <c r="D316" s="3269"/>
      <c r="E316" s="3269"/>
      <c r="F316" s="3258">
        <v>0.05</v>
      </c>
      <c r="G316" s="3275"/>
    </row>
    <row r="317" spans="1:7">
      <c r="A317" s="3268" t="s">
        <v>306</v>
      </c>
      <c r="B317" s="3257" t="s">
        <v>3217</v>
      </c>
      <c r="C317" s="3269"/>
      <c r="D317" s="3269"/>
      <c r="E317" s="3269"/>
      <c r="F317" s="3258">
        <v>0.05</v>
      </c>
      <c r="G317" s="3275"/>
    </row>
    <row r="318" spans="1:7">
      <c r="A318" s="3268" t="s">
        <v>306</v>
      </c>
      <c r="B318" s="3257" t="s">
        <v>3218</v>
      </c>
      <c r="C318" s="3269"/>
      <c r="D318" s="3269"/>
      <c r="E318" s="3269"/>
      <c r="F318" s="3258">
        <v>0.05</v>
      </c>
      <c r="G318" s="3275"/>
    </row>
    <row r="319" spans="1:7">
      <c r="A319" s="3268" t="s">
        <v>306</v>
      </c>
      <c r="B319" s="3257" t="s">
        <v>3219</v>
      </c>
      <c r="C319" s="3269"/>
      <c r="D319" s="3269"/>
      <c r="E319" s="3269"/>
      <c r="F319" s="3258">
        <v>0.05</v>
      </c>
      <c r="G319" s="3275"/>
    </row>
    <row r="320" spans="1:7">
      <c r="A320" s="3268" t="s">
        <v>306</v>
      </c>
      <c r="B320" s="3257" t="s">
        <v>3220</v>
      </c>
      <c r="C320" s="3269"/>
      <c r="D320" s="3269"/>
      <c r="E320" s="3269"/>
      <c r="F320" s="3258">
        <v>0.05</v>
      </c>
      <c r="G320" s="3275"/>
    </row>
    <row r="321" spans="1:7">
      <c r="A321" s="3268" t="s">
        <v>306</v>
      </c>
      <c r="B321" s="3257" t="s">
        <v>3221</v>
      </c>
      <c r="C321" s="3269"/>
      <c r="D321" s="3269"/>
      <c r="E321" s="3269"/>
      <c r="F321" s="3258">
        <v>0.05</v>
      </c>
      <c r="G321" s="3275"/>
    </row>
    <row r="322" spans="1:7">
      <c r="A322" s="3268" t="s">
        <v>306</v>
      </c>
      <c r="B322" s="3257" t="s">
        <v>3222</v>
      </c>
      <c r="C322" s="3269"/>
      <c r="D322" s="3269"/>
      <c r="E322" s="3269"/>
      <c r="F322" s="3258">
        <v>0.05</v>
      </c>
      <c r="G322" s="3275"/>
    </row>
    <row r="323" spans="1:7">
      <c r="A323" s="3268" t="s">
        <v>306</v>
      </c>
      <c r="B323" s="3257" t="s">
        <v>3223</v>
      </c>
      <c r="C323" s="3269"/>
      <c r="D323" s="3269"/>
      <c r="E323" s="3269"/>
      <c r="F323" s="3258">
        <v>0.05</v>
      </c>
      <c r="G323" s="3275"/>
    </row>
    <row r="324" spans="1:7">
      <c r="A324" s="3268" t="s">
        <v>306</v>
      </c>
      <c r="B324" s="3257" t="s">
        <v>3224</v>
      </c>
      <c r="C324" s="3269"/>
      <c r="D324" s="3269"/>
      <c r="E324" s="3269"/>
      <c r="F324" s="3258">
        <v>0.05</v>
      </c>
      <c r="G324" s="3275"/>
    </row>
    <row r="325" spans="1:7">
      <c r="A325" s="3268" t="s">
        <v>306</v>
      </c>
      <c r="B325" s="3257" t="s">
        <v>3225</v>
      </c>
      <c r="C325" s="3269"/>
      <c r="D325" s="3269"/>
      <c r="E325" s="3269"/>
      <c r="F325" s="3258">
        <v>0.05</v>
      </c>
      <c r="G325" s="3275"/>
    </row>
    <row r="326" spans="1:7" ht="14.25" thickBot="1">
      <c r="A326" s="3271" t="s">
        <v>306</v>
      </c>
      <c r="B326" s="3261" t="s">
        <v>3226</v>
      </c>
      <c r="C326" s="3263"/>
      <c r="D326" s="3263"/>
      <c r="E326" s="3263"/>
      <c r="F326" s="3262">
        <v>0.05</v>
      </c>
      <c r="G326" s="3276"/>
    </row>
    <row r="327" spans="1:7">
      <c r="A327" s="3267" t="s">
        <v>307</v>
      </c>
      <c r="B327" s="3253" t="s">
        <v>2858</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2870</v>
      </c>
      <c r="C329" s="3258">
        <v>0.15</v>
      </c>
      <c r="D329" s="3258">
        <v>0.15</v>
      </c>
      <c r="E329" s="3258">
        <v>0.15</v>
      </c>
      <c r="F329" s="3258">
        <v>0.15</v>
      </c>
      <c r="G329" s="3259">
        <v>0.15</v>
      </c>
    </row>
    <row r="330" spans="1:7">
      <c r="A330" s="3268" t="s">
        <v>307</v>
      </c>
      <c r="B330" s="3257" t="s">
        <v>2874</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2882</v>
      </c>
      <c r="C332" s="3258">
        <v>0.15</v>
      </c>
      <c r="D332" s="3258">
        <v>0.15</v>
      </c>
      <c r="E332" s="3258">
        <v>0.15</v>
      </c>
      <c r="F332" s="3258">
        <v>0.15</v>
      </c>
      <c r="G332" s="3259">
        <v>0.15</v>
      </c>
    </row>
    <row r="333" spans="1:7">
      <c r="A333" s="3268" t="s">
        <v>307</v>
      </c>
      <c r="B333" s="3257" t="s">
        <v>2886</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2892</v>
      </c>
      <c r="C336" s="3258">
        <v>0.15</v>
      </c>
      <c r="D336" s="3258">
        <v>0.15</v>
      </c>
      <c r="E336" s="3258">
        <v>0.15</v>
      </c>
      <c r="F336" s="3258">
        <v>0.14199999999999999</v>
      </c>
      <c r="G336" s="3259">
        <v>0.15</v>
      </c>
    </row>
    <row r="337" spans="1:7">
      <c r="A337" s="3268" t="s">
        <v>307</v>
      </c>
      <c r="B337" s="3257" t="s">
        <v>2897</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2904</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2909</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2917</v>
      </c>
      <c r="C345" s="3258">
        <v>0.15</v>
      </c>
      <c r="D345" s="3258">
        <v>0.15</v>
      </c>
      <c r="E345" s="3258">
        <v>0.15</v>
      </c>
      <c r="F345" s="3258">
        <v>0.13800000000000001</v>
      </c>
      <c r="G345" s="3259">
        <v>0.15</v>
      </c>
    </row>
    <row r="346" spans="1:7">
      <c r="A346" s="3268" t="s">
        <v>307</v>
      </c>
      <c r="B346" s="3257" t="s">
        <v>2919</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2926</v>
      </c>
      <c r="C348" s="3258">
        <v>0.15</v>
      </c>
      <c r="D348" s="3258">
        <v>0.15</v>
      </c>
      <c r="E348" s="3258">
        <v>0.15</v>
      </c>
      <c r="F348" s="3258">
        <v>0.14399999999999999</v>
      </c>
      <c r="G348" s="3259">
        <v>0.15</v>
      </c>
    </row>
    <row r="349" spans="1:7">
      <c r="A349" s="3268" t="s">
        <v>307</v>
      </c>
      <c r="B349" s="3257" t="s">
        <v>2931</v>
      </c>
      <c r="C349" s="3258">
        <v>0.15</v>
      </c>
      <c r="D349" s="3258">
        <v>0.15</v>
      </c>
      <c r="E349" s="3258">
        <v>0.15</v>
      </c>
      <c r="F349" s="3258">
        <v>0.15</v>
      </c>
      <c r="G349" s="3259">
        <v>0.15</v>
      </c>
    </row>
    <row r="350" spans="1:7">
      <c r="A350" s="3268" t="s">
        <v>307</v>
      </c>
      <c r="B350" s="3257" t="s">
        <v>2934</v>
      </c>
      <c r="C350" s="3258">
        <v>0.15</v>
      </c>
      <c r="D350" s="3258">
        <v>0.15</v>
      </c>
      <c r="E350" s="3258">
        <v>0.15</v>
      </c>
      <c r="F350" s="3258">
        <v>0.14699999999999999</v>
      </c>
      <c r="G350" s="3259">
        <v>0.15</v>
      </c>
    </row>
    <row r="351" spans="1:7">
      <c r="A351" s="3268" t="s">
        <v>307</v>
      </c>
      <c r="B351" s="3257" t="s">
        <v>2939</v>
      </c>
      <c r="C351" s="3258">
        <v>0.15</v>
      </c>
      <c r="D351" s="3258">
        <v>0.15</v>
      </c>
      <c r="E351" s="3258">
        <v>0.15</v>
      </c>
      <c r="F351" s="3258">
        <v>0.13</v>
      </c>
      <c r="G351" s="3259">
        <v>0.15</v>
      </c>
    </row>
    <row r="352" spans="1:7">
      <c r="A352" s="3268" t="s">
        <v>307</v>
      </c>
      <c r="B352" s="3257" t="s">
        <v>2944</v>
      </c>
      <c r="C352" s="3258">
        <v>0.15</v>
      </c>
      <c r="D352" s="3258">
        <v>0.15</v>
      </c>
      <c r="E352" s="3258">
        <v>0.15</v>
      </c>
      <c r="F352" s="3258">
        <v>0.14599999999999999</v>
      </c>
      <c r="G352" s="3259">
        <v>0.15</v>
      </c>
    </row>
    <row r="353" spans="1:7">
      <c r="A353" s="3268" t="s">
        <v>307</v>
      </c>
      <c r="B353" s="3257" t="s">
        <v>2951</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2964</v>
      </c>
      <c r="C355" s="3258">
        <v>0.15</v>
      </c>
      <c r="D355" s="3258">
        <v>0.15</v>
      </c>
      <c r="E355" s="3258">
        <v>0.15</v>
      </c>
      <c r="F355" s="3258">
        <v>0.15</v>
      </c>
      <c r="G355" s="3259">
        <v>0.15</v>
      </c>
    </row>
    <row r="356" spans="1:7">
      <c r="A356" s="3268" t="s">
        <v>307</v>
      </c>
      <c r="B356" s="3257" t="s">
        <v>2971</v>
      </c>
      <c r="C356" s="3258">
        <v>0.15</v>
      </c>
      <c r="D356" s="3258">
        <v>0.15</v>
      </c>
      <c r="E356" s="3258">
        <v>0.15</v>
      </c>
      <c r="F356" s="3258">
        <v>0.15</v>
      </c>
      <c r="G356" s="3259">
        <v>0.15</v>
      </c>
    </row>
    <row r="357" spans="1:7" ht="14.25" thickBot="1">
      <c r="A357" s="3271" t="s">
        <v>307</v>
      </c>
      <c r="B357" s="3261" t="s">
        <v>2976</v>
      </c>
      <c r="C357" s="3262">
        <v>0.126</v>
      </c>
      <c r="D357" s="3262">
        <v>0.127</v>
      </c>
      <c r="E357" s="3262">
        <v>0.14299999999999999</v>
      </c>
      <c r="F357" s="3262">
        <v>0.125</v>
      </c>
      <c r="G357" s="3264">
        <v>0.129</v>
      </c>
    </row>
    <row r="358" spans="1:7">
      <c r="A358" s="3267" t="s">
        <v>2845</v>
      </c>
      <c r="B358" s="3253" t="s">
        <v>2859</v>
      </c>
      <c r="C358" s="3254">
        <v>0.15</v>
      </c>
      <c r="D358" s="3254">
        <v>0.15</v>
      </c>
      <c r="E358" s="3254">
        <v>0.15</v>
      </c>
      <c r="F358" s="3254">
        <v>0.15</v>
      </c>
      <c r="G358" s="3255">
        <v>0.15</v>
      </c>
    </row>
    <row r="359" spans="1:7">
      <c r="A359" s="3268" t="s">
        <v>2845</v>
      </c>
      <c r="B359" s="3257" t="s">
        <v>2865</v>
      </c>
      <c r="C359" s="3258">
        <v>0.1</v>
      </c>
      <c r="D359" s="3258">
        <v>0.1</v>
      </c>
      <c r="E359" s="3258">
        <v>0.1</v>
      </c>
      <c r="F359" s="3258">
        <v>0.1</v>
      </c>
      <c r="G359" s="3259">
        <v>0.1</v>
      </c>
    </row>
    <row r="360" spans="1:7">
      <c r="A360" s="3268" t="s">
        <v>2845</v>
      </c>
      <c r="B360" s="3257" t="s">
        <v>2871</v>
      </c>
      <c r="C360" s="3258">
        <v>0.15</v>
      </c>
      <c r="D360" s="3258">
        <v>0.15</v>
      </c>
      <c r="E360" s="3258">
        <v>0.15</v>
      </c>
      <c r="F360" s="3258">
        <v>0.14899999999999999</v>
      </c>
      <c r="G360" s="3259">
        <v>0.15</v>
      </c>
    </row>
    <row r="361" spans="1:7">
      <c r="A361" s="3268" t="s">
        <v>2845</v>
      </c>
      <c r="B361" s="3257" t="s">
        <v>153</v>
      </c>
      <c r="C361" s="3258">
        <v>0.15</v>
      </c>
      <c r="D361" s="3258">
        <v>0.15</v>
      </c>
      <c r="E361" s="3258">
        <v>0.15</v>
      </c>
      <c r="F361" s="3258">
        <v>0.115</v>
      </c>
      <c r="G361" s="3259">
        <v>0.15</v>
      </c>
    </row>
    <row r="362" spans="1:7">
      <c r="A362" s="3268" t="s">
        <v>2845</v>
      </c>
      <c r="B362" s="3257" t="s">
        <v>2878</v>
      </c>
      <c r="C362" s="3258">
        <v>0.15</v>
      </c>
      <c r="D362" s="3258">
        <v>0.15</v>
      </c>
      <c r="E362" s="3258">
        <v>0.15</v>
      </c>
      <c r="F362" s="3258">
        <v>0.106</v>
      </c>
      <c r="G362" s="3259">
        <v>0.15</v>
      </c>
    </row>
    <row r="363" spans="1:7">
      <c r="A363" s="3268" t="s">
        <v>2845</v>
      </c>
      <c r="B363" s="3257" t="s">
        <v>2883</v>
      </c>
      <c r="C363" s="3258">
        <v>0.15</v>
      </c>
      <c r="D363" s="3258">
        <v>0.15</v>
      </c>
      <c r="E363" s="3258">
        <v>0.15</v>
      </c>
      <c r="F363" s="3258">
        <v>0.14699999999999999</v>
      </c>
      <c r="G363" s="3259">
        <v>0.15</v>
      </c>
    </row>
    <row r="364" spans="1:7">
      <c r="A364" s="3268" t="s">
        <v>2845</v>
      </c>
      <c r="B364" s="3257" t="s">
        <v>2887</v>
      </c>
      <c r="C364" s="3258">
        <v>0.15</v>
      </c>
      <c r="D364" s="3258">
        <v>0.15</v>
      </c>
      <c r="E364" s="3258">
        <v>0.15</v>
      </c>
      <c r="F364" s="3258">
        <v>0.14799999999999999</v>
      </c>
      <c r="G364" s="3259">
        <v>0.15</v>
      </c>
    </row>
    <row r="365" spans="1:7">
      <c r="A365" s="3268" t="s">
        <v>2845</v>
      </c>
      <c r="B365" s="3257" t="s">
        <v>200</v>
      </c>
      <c r="C365" s="3258">
        <v>0.15</v>
      </c>
      <c r="D365" s="3258">
        <v>0.15</v>
      </c>
      <c r="E365" s="3258">
        <v>0.15</v>
      </c>
      <c r="F365" s="3258">
        <v>0.15</v>
      </c>
      <c r="G365" s="3259">
        <v>0.15</v>
      </c>
    </row>
    <row r="366" spans="1:7">
      <c r="A366" s="3268" t="s">
        <v>2845</v>
      </c>
      <c r="B366" s="3257" t="s">
        <v>2890</v>
      </c>
      <c r="C366" s="3258">
        <v>0.15</v>
      </c>
      <c r="D366" s="3258">
        <v>0.15</v>
      </c>
      <c r="E366" s="3258">
        <v>0.15</v>
      </c>
      <c r="F366" s="3258">
        <v>0.15</v>
      </c>
      <c r="G366" s="3259">
        <v>0.15</v>
      </c>
    </row>
    <row r="367" spans="1:7">
      <c r="A367" s="3268" t="s">
        <v>2845</v>
      </c>
      <c r="B367" s="3257" t="s">
        <v>2893</v>
      </c>
      <c r="C367" s="3258">
        <v>0.15</v>
      </c>
      <c r="D367" s="3258">
        <v>0.15</v>
      </c>
      <c r="E367" s="3258">
        <v>0.15</v>
      </c>
      <c r="F367" s="3258">
        <v>0.14699999999999999</v>
      </c>
      <c r="G367" s="3259">
        <v>0.15</v>
      </c>
    </row>
    <row r="368" spans="1:7">
      <c r="A368" s="3268" t="s">
        <v>2845</v>
      </c>
      <c r="B368" s="3257" t="s">
        <v>2898</v>
      </c>
      <c r="C368" s="3258">
        <v>0.15</v>
      </c>
      <c r="D368" s="3258">
        <v>0.15</v>
      </c>
      <c r="E368" s="3258">
        <v>0.15</v>
      </c>
      <c r="F368" s="3258">
        <v>0.13600000000000001</v>
      </c>
      <c r="G368" s="3259">
        <v>0.15</v>
      </c>
    </row>
    <row r="369" spans="1:7">
      <c r="A369" s="3268" t="s">
        <v>2845</v>
      </c>
      <c r="B369" s="3257" t="s">
        <v>214</v>
      </c>
      <c r="C369" s="3258">
        <v>0.15</v>
      </c>
      <c r="D369" s="3258">
        <v>0.15</v>
      </c>
      <c r="E369" s="3258">
        <v>0.15</v>
      </c>
      <c r="F369" s="3258">
        <v>0.14399999999999999</v>
      </c>
      <c r="G369" s="3259">
        <v>0.15</v>
      </c>
    </row>
    <row r="370" spans="1:7">
      <c r="A370" s="3268" t="s">
        <v>2845</v>
      </c>
      <c r="B370" s="3257" t="s">
        <v>221</v>
      </c>
      <c r="C370" s="3258">
        <v>0.15</v>
      </c>
      <c r="D370" s="3258">
        <v>0.15</v>
      </c>
      <c r="E370" s="3258">
        <v>0.15</v>
      </c>
      <c r="F370" s="3258">
        <v>0.14599999999999999</v>
      </c>
      <c r="G370" s="3259">
        <v>0.15</v>
      </c>
    </row>
    <row r="371" spans="1:7">
      <c r="A371" s="3268" t="s">
        <v>2845</v>
      </c>
      <c r="B371" s="3257" t="s">
        <v>229</v>
      </c>
      <c r="C371" s="3258">
        <v>0.15</v>
      </c>
      <c r="D371" s="3258">
        <v>0.15</v>
      </c>
      <c r="E371" s="3258">
        <v>0.15</v>
      </c>
      <c r="F371" s="3258">
        <v>0.12</v>
      </c>
      <c r="G371" s="3259">
        <v>0.15</v>
      </c>
    </row>
    <row r="372" spans="1:7">
      <c r="A372" s="3268" t="s">
        <v>2845</v>
      </c>
      <c r="B372" s="3257" t="s">
        <v>2906</v>
      </c>
      <c r="C372" s="3258">
        <v>0.15</v>
      </c>
      <c r="D372" s="3258">
        <v>0.15</v>
      </c>
      <c r="E372" s="3258">
        <v>0.15</v>
      </c>
      <c r="F372" s="3258">
        <v>0.14299999999999999</v>
      </c>
      <c r="G372" s="3259">
        <v>0.15</v>
      </c>
    </row>
    <row r="373" spans="1:7">
      <c r="A373" s="3268" t="s">
        <v>2845</v>
      </c>
      <c r="B373" s="3257" t="s">
        <v>258</v>
      </c>
      <c r="C373" s="3258">
        <v>0.15</v>
      </c>
      <c r="D373" s="3258">
        <v>0.15</v>
      </c>
      <c r="E373" s="3258">
        <v>0.15</v>
      </c>
      <c r="F373" s="3258">
        <v>0.14599999999999999</v>
      </c>
      <c r="G373" s="3259">
        <v>0.15</v>
      </c>
    </row>
    <row r="374" spans="1:7">
      <c r="A374" s="3268" t="s">
        <v>2845</v>
      </c>
      <c r="B374" s="3257" t="s">
        <v>266</v>
      </c>
      <c r="C374" s="3258">
        <v>0.15</v>
      </c>
      <c r="D374" s="3258">
        <v>0.15</v>
      </c>
      <c r="E374" s="3258">
        <v>0.15</v>
      </c>
      <c r="F374" s="3258">
        <v>0.14399999999999999</v>
      </c>
      <c r="G374" s="3259">
        <v>0.15</v>
      </c>
    </row>
    <row r="375" spans="1:7">
      <c r="A375" s="3268" t="s">
        <v>2845</v>
      </c>
      <c r="B375" s="3257" t="s">
        <v>2914</v>
      </c>
      <c r="C375" s="3258">
        <v>0.15</v>
      </c>
      <c r="D375" s="3258">
        <v>0.15</v>
      </c>
      <c r="E375" s="3258">
        <v>0.15</v>
      </c>
      <c r="F375" s="3258">
        <v>0.13</v>
      </c>
      <c r="G375" s="3259">
        <v>0.15</v>
      </c>
    </row>
    <row r="376" spans="1:7">
      <c r="A376" s="3268" t="s">
        <v>2845</v>
      </c>
      <c r="B376" s="3257" t="s">
        <v>277</v>
      </c>
      <c r="C376" s="3258">
        <v>0.15</v>
      </c>
      <c r="D376" s="3258">
        <v>0.15</v>
      </c>
      <c r="E376" s="3258">
        <v>0.15</v>
      </c>
      <c r="F376" s="3258">
        <v>0.14199999999999999</v>
      </c>
      <c r="G376" s="3259">
        <v>0.15</v>
      </c>
    </row>
    <row r="377" spans="1:7" ht="14.25" thickBot="1">
      <c r="A377" s="3271" t="s">
        <v>2845</v>
      </c>
      <c r="B377" s="3261" t="s">
        <v>2920</v>
      </c>
      <c r="C377" s="3262">
        <v>0.15</v>
      </c>
      <c r="D377" s="3262">
        <v>0.15</v>
      </c>
      <c r="E377" s="3262">
        <v>0.15</v>
      </c>
      <c r="F377" s="3262">
        <v>0.14000000000000001</v>
      </c>
      <c r="G377" s="3264">
        <v>0.15</v>
      </c>
    </row>
    <row r="378" spans="1:7">
      <c r="A378" s="3267" t="s">
        <v>2846</v>
      </c>
      <c r="B378" s="3253" t="s">
        <v>2860</v>
      </c>
      <c r="C378" s="3254">
        <v>0.15</v>
      </c>
      <c r="D378" s="3254">
        <v>0.15</v>
      </c>
      <c r="E378" s="3254">
        <v>0.15</v>
      </c>
      <c r="F378" s="3254">
        <v>0.107</v>
      </c>
      <c r="G378" s="3255">
        <v>0.15</v>
      </c>
    </row>
    <row r="379" spans="1:7">
      <c r="A379" s="3268" t="s">
        <v>2846</v>
      </c>
      <c r="B379" s="3257" t="s">
        <v>2866</v>
      </c>
      <c r="C379" s="3258">
        <v>0.15</v>
      </c>
      <c r="D379" s="3258">
        <v>0.15</v>
      </c>
      <c r="E379" s="3258">
        <v>0.15</v>
      </c>
      <c r="F379" s="3258">
        <v>0.115</v>
      </c>
      <c r="G379" s="3259">
        <v>0.14899999999999999</v>
      </c>
    </row>
    <row r="380" spans="1:7">
      <c r="A380" s="3268" t="s">
        <v>2846</v>
      </c>
      <c r="B380" s="3257" t="s">
        <v>2872</v>
      </c>
      <c r="C380" s="3258">
        <v>0.15</v>
      </c>
      <c r="D380" s="3258">
        <v>0.15</v>
      </c>
      <c r="E380" s="3258">
        <v>0.15</v>
      </c>
      <c r="F380" s="3258">
        <v>0.1</v>
      </c>
      <c r="G380" s="3259">
        <v>0.14799999999999999</v>
      </c>
    </row>
    <row r="381" spans="1:7">
      <c r="A381" s="3268" t="s">
        <v>2846</v>
      </c>
      <c r="B381" s="3257" t="s">
        <v>2875</v>
      </c>
      <c r="C381" s="3258">
        <v>0.15</v>
      </c>
      <c r="D381" s="3258">
        <v>0.15</v>
      </c>
      <c r="E381" s="3258">
        <v>0.15</v>
      </c>
      <c r="F381" s="3258">
        <v>0.126</v>
      </c>
      <c r="G381" s="3259">
        <v>0.15</v>
      </c>
    </row>
    <row r="382" spans="1:7">
      <c r="A382" s="3268" t="s">
        <v>2846</v>
      </c>
      <c r="B382" s="3257" t="s">
        <v>2879</v>
      </c>
      <c r="C382" s="3258">
        <v>0.15</v>
      </c>
      <c r="D382" s="3258">
        <v>0.15</v>
      </c>
      <c r="E382" s="3258">
        <v>0.15</v>
      </c>
      <c r="F382" s="3258">
        <v>0.15</v>
      </c>
      <c r="G382" s="3259">
        <v>0.15</v>
      </c>
    </row>
    <row r="383" spans="1:7">
      <c r="A383" s="3268" t="s">
        <v>2846</v>
      </c>
      <c r="B383" s="3257" t="s">
        <v>2884</v>
      </c>
      <c r="C383" s="3258">
        <v>0.15</v>
      </c>
      <c r="D383" s="3258">
        <v>0.15</v>
      </c>
      <c r="E383" s="3258">
        <v>0.15</v>
      </c>
      <c r="F383" s="3258">
        <v>0.14699999999999999</v>
      </c>
      <c r="G383" s="3259">
        <v>0.15</v>
      </c>
    </row>
    <row r="384" spans="1:7" ht="14.25" thickBot="1">
      <c r="A384" s="3278" t="s">
        <v>2846</v>
      </c>
      <c r="B384" s="3279" t="s">
        <v>2888</v>
      </c>
      <c r="C384" s="3280">
        <v>0.15</v>
      </c>
      <c r="D384" s="3280">
        <v>0.15</v>
      </c>
      <c r="E384" s="3280">
        <v>0.15</v>
      </c>
      <c r="F384" s="3280">
        <v>0.15</v>
      </c>
      <c r="G384" s="3281">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774" t="s">
        <v>3227</v>
      </c>
      <c r="B1" s="3774"/>
      <c r="C1" s="3774"/>
      <c r="D1" s="3774"/>
      <c r="E1" s="3774"/>
      <c r="F1" s="3775"/>
    </row>
    <row r="2" spans="1:6">
      <c r="A2" s="3284" t="s">
        <v>3228</v>
      </c>
      <c r="B2" s="3285"/>
      <c r="C2" s="3285"/>
      <c r="D2" s="3285"/>
      <c r="E2" s="3285"/>
      <c r="F2" s="3285"/>
    </row>
    <row r="3" spans="1:6">
      <c r="A3" s="3284" t="s">
        <v>3229</v>
      </c>
      <c r="B3" s="3285"/>
      <c r="C3" s="3285"/>
      <c r="D3" s="3285"/>
      <c r="E3" s="3285"/>
      <c r="F3" s="3286" t="s">
        <v>3230</v>
      </c>
    </row>
    <row r="4" spans="1:6">
      <c r="A4" s="3287" t="s">
        <v>672</v>
      </c>
      <c r="B4" s="3287" t="s">
        <v>673</v>
      </c>
      <c r="C4" s="3287" t="s">
        <v>21</v>
      </c>
      <c r="D4" s="3287" t="s">
        <v>674</v>
      </c>
      <c r="E4" s="3287" t="s">
        <v>3</v>
      </c>
      <c r="F4" s="3287" t="s">
        <v>3231</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45160</v>
      </c>
      <c r="B1" s="3203" t="s">
        <v>2833</v>
      </c>
      <c r="C1" s="3204"/>
      <c r="D1" s="3204"/>
      <c r="E1" s="3204"/>
      <c r="F1" s="3204"/>
      <c r="G1" s="3204"/>
      <c r="H1" s="3204"/>
      <c r="I1" s="3204"/>
      <c r="J1" s="3158"/>
      <c r="K1" s="3204" t="s">
        <v>454</v>
      </c>
      <c r="L1" s="3204"/>
      <c r="M1" s="3204"/>
      <c r="N1" s="3204"/>
      <c r="O1" s="3204"/>
      <c r="P1" s="3204"/>
      <c r="Q1" s="3158"/>
      <c r="R1" s="3776" t="s">
        <v>456</v>
      </c>
      <c r="S1" s="3777"/>
      <c r="T1" s="3777"/>
      <c r="U1" s="3777"/>
      <c r="V1" s="3777"/>
      <c r="W1" s="3777"/>
      <c r="X1" s="3158"/>
      <c r="Y1" s="3776" t="s">
        <v>457</v>
      </c>
      <c r="Z1" s="3777"/>
      <c r="AA1" s="3777"/>
      <c r="AB1" s="3777"/>
      <c r="AC1" s="3777"/>
      <c r="AD1" s="3777"/>
    </row>
    <row r="2" spans="1:30" s="3136" customFormat="1" ht="14.25" thickBot="1">
      <c r="B2" s="3137"/>
      <c r="C2" s="3138"/>
      <c r="D2" s="3139" t="s">
        <v>2803</v>
      </c>
      <c r="E2" s="3140" t="s">
        <v>2804</v>
      </c>
      <c r="F2" s="3140" t="s">
        <v>2805</v>
      </c>
      <c r="G2" s="3140" t="s">
        <v>2806</v>
      </c>
      <c r="H2" s="3140" t="s">
        <v>2807</v>
      </c>
      <c r="I2" s="3140" t="s">
        <v>2624</v>
      </c>
      <c r="J2" s="3141"/>
      <c r="K2" s="3139" t="s">
        <v>2803</v>
      </c>
      <c r="L2" s="3140" t="s">
        <v>2804</v>
      </c>
      <c r="M2" s="3140" t="s">
        <v>2805</v>
      </c>
      <c r="N2" s="3140" t="s">
        <v>2806</v>
      </c>
      <c r="O2" s="3140" t="s">
        <v>2808</v>
      </c>
      <c r="P2" s="3140" t="s">
        <v>2624</v>
      </c>
      <c r="Q2" s="3141"/>
      <c r="R2" s="3139" t="s">
        <v>2803</v>
      </c>
      <c r="S2" s="3140" t="s">
        <v>2804</v>
      </c>
      <c r="T2" s="3140" t="s">
        <v>2805</v>
      </c>
      <c r="U2" s="3140" t="s">
        <v>2809</v>
      </c>
      <c r="V2" s="3140" t="s">
        <v>2810</v>
      </c>
      <c r="W2" s="3140" t="s">
        <v>2624</v>
      </c>
      <c r="X2" s="3141"/>
      <c r="Y2" s="3139" t="s">
        <v>2803</v>
      </c>
      <c r="Z2" s="3140" t="s">
        <v>2804</v>
      </c>
      <c r="AA2" s="3140" t="s">
        <v>2805</v>
      </c>
      <c r="AB2" s="3140" t="s">
        <v>2811</v>
      </c>
      <c r="AC2" s="3140" t="s">
        <v>2810</v>
      </c>
      <c r="AD2" s="3140" t="s">
        <v>2624</v>
      </c>
    </row>
    <row r="3" spans="1:30" s="3154" customFormat="1" ht="12.75">
      <c r="A3" s="3142" t="s">
        <v>2812</v>
      </c>
      <c r="B3" s="3143"/>
      <c r="C3" s="3144"/>
      <c r="D3" s="3144">
        <f>ROUND(AVERAGEIF(D4:D16,"&lt;&gt;0"),2)</f>
        <v>0.83</v>
      </c>
      <c r="E3" s="3144">
        <f t="shared" ref="E3:H3" si="0">ROUND(AVERAGEIF(E4:E16,"&lt;&gt;0"),2)</f>
        <v>0.4</v>
      </c>
      <c r="F3" s="3144">
        <f t="shared" si="0"/>
        <v>0.22</v>
      </c>
      <c r="G3" s="3144">
        <f t="shared" si="0"/>
        <v>0.9</v>
      </c>
      <c r="H3" s="3144">
        <f t="shared" si="0"/>
        <v>0.65</v>
      </c>
      <c r="I3" s="3144">
        <f>F3</f>
        <v>0.22</v>
      </c>
      <c r="J3" s="3145"/>
      <c r="K3" s="3146">
        <f>ROUND(AVERAGEIF(K4:K16,"&lt;&gt;0"),4)</f>
        <v>8.3000000000000001E-3</v>
      </c>
      <c r="L3" s="3147">
        <f t="shared" ref="L3:O3" si="1">ROUND(AVERAGEIF(L4:L16,"&lt;&gt;0"),4)</f>
        <v>4.0000000000000001E-3</v>
      </c>
      <c r="M3" s="3147">
        <f t="shared" si="1"/>
        <v>2.2000000000000001E-3</v>
      </c>
      <c r="N3" s="3147">
        <f t="shared" si="1"/>
        <v>8.9999999999999993E-3</v>
      </c>
      <c r="O3" s="3147">
        <f t="shared" si="1"/>
        <v>6.4999999999999997E-3</v>
      </c>
      <c r="P3" s="3147">
        <f>M3</f>
        <v>2.2000000000000001E-3</v>
      </c>
      <c r="Q3" s="3145"/>
      <c r="R3" s="3148">
        <f>ROUND(SUMPRODUCT(PRODUCT(1+K4:K16)),4)</f>
        <v>1.0860000000000001</v>
      </c>
      <c r="S3" s="3149">
        <f t="shared" ref="S3:V3" si="2">ROUND(SUMPRODUCT(PRODUCT(1+L4:L16)),4)</f>
        <v>1.0410999999999999</v>
      </c>
      <c r="T3" s="3149">
        <f t="shared" si="2"/>
        <v>1.0225</v>
      </c>
      <c r="U3" s="3149">
        <f t="shared" si="2"/>
        <v>1.0938000000000001</v>
      </c>
      <c r="V3" s="3149">
        <f t="shared" si="2"/>
        <v>1.0668</v>
      </c>
      <c r="W3" s="3148">
        <f>T3</f>
        <v>1.0225</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3363</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1.0755999999999999</v>
      </c>
      <c r="S5" s="3176">
        <f>ROUND(IF(项目基本情况!$B$8="出让",SUMPRODUCT(PRODUCT(1+L5:$L$16)),SUMPRODUCT(PRODUCT(1+L5:$L$15))),4)</f>
        <v>1.0395000000000001</v>
      </c>
      <c r="T5" s="3176">
        <f>ROUND(IF(项目基本情况!$B$8="出让",SUMPRODUCT(PRODUCT(1+M5:$M$16)),SUMPRODUCT(PRODUCT(1+M5:$M$15))),4)</f>
        <v>1.0250999999999999</v>
      </c>
      <c r="U5" s="3176">
        <f>ROUND(IF(项目基本情况!$B$8="出让",SUMPRODUCT(PRODUCT(1+N5:$N$16)),SUMPRODUCT(PRODUCT(1+N5:$N$15))),4)</f>
        <v>1.0818000000000001</v>
      </c>
      <c r="V5" s="3176">
        <f>ROUND(IF(项目基本情况!$B$8="出让",SUMPRODUCT(PRODUCT(1+O5:$O$16)),SUMPRODUCT(PRODUCT(1+O5:$O$15))),4)</f>
        <v>1.0629999999999999</v>
      </c>
      <c r="W5" s="3176">
        <f>T5</f>
        <v>1.0250999999999999</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3364</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1.0755999999999999</v>
      </c>
      <c r="S6" s="3176">
        <f>ROUND(IF(项目基本情况!$B$8="出让",SUMPRODUCT(PRODUCT(1+L6:$L$16)),SUMPRODUCT(PRODUCT(1+L6:$L$15))),4)</f>
        <v>1.0395000000000001</v>
      </c>
      <c r="T6" s="3176">
        <f>ROUND(IF(项目基本情况!$B$8="出让",SUMPRODUCT(PRODUCT(1+M6:$M$16)),SUMPRODUCT(PRODUCT(1+M6:$M$15))),4)</f>
        <v>1.0250999999999999</v>
      </c>
      <c r="U6" s="3176">
        <f>ROUND(IF(项目基本情况!$B$8="出让",SUMPRODUCT(PRODUCT(1+N6:$N$16)),SUMPRODUCT(PRODUCT(1+N6:$N$15))),4)</f>
        <v>1.0818000000000001</v>
      </c>
      <c r="V6" s="3176">
        <f>ROUND(IF(项目基本情况!$B$8="出让",SUMPRODUCT(PRODUCT(1+O6:$O$16)),SUMPRODUCT(PRODUCT(1+O6:$O$15))),4)</f>
        <v>1.0629999999999999</v>
      </c>
      <c r="W6" s="3176">
        <f t="shared" ref="W6:W8" si="14">T6</f>
        <v>1.0250999999999999</v>
      </c>
      <c r="X6" s="3174"/>
      <c r="Y6" s="3177"/>
      <c r="Z6" s="3177"/>
      <c r="AA6" s="3177"/>
      <c r="AB6" s="3177"/>
      <c r="AC6" s="3177"/>
      <c r="AD6" s="3177"/>
    </row>
    <row r="7" spans="1:30" s="3188" customFormat="1" ht="12.75">
      <c r="A7" s="3179" t="s">
        <v>3368</v>
      </c>
      <c r="B7" s="3180">
        <v>2023</v>
      </c>
      <c r="C7" s="3181">
        <v>2</v>
      </c>
      <c r="D7" s="3182">
        <v>0.91</v>
      </c>
      <c r="E7" s="3182">
        <v>0.66</v>
      </c>
      <c r="F7" s="3182">
        <v>0.47</v>
      </c>
      <c r="G7" s="3182">
        <v>0.96</v>
      </c>
      <c r="H7" s="3183">
        <v>0.71</v>
      </c>
      <c r="I7" s="3184">
        <f t="shared" si="4"/>
        <v>0.47</v>
      </c>
      <c r="J7" s="3185"/>
      <c r="K7" s="3186">
        <f t="shared" si="8"/>
        <v>9.1000000000000004E-3</v>
      </c>
      <c r="L7" s="3187">
        <f t="shared" si="9"/>
        <v>6.6E-3</v>
      </c>
      <c r="M7" s="3187">
        <f t="shared" si="10"/>
        <v>4.6999999999999993E-3</v>
      </c>
      <c r="N7" s="3187">
        <f t="shared" si="11"/>
        <v>9.5999999999999992E-3</v>
      </c>
      <c r="O7" s="3187">
        <f t="shared" si="12"/>
        <v>7.0999999999999995E-3</v>
      </c>
      <c r="P7" s="3187">
        <f t="shared" si="13"/>
        <v>4.6999999999999993E-3</v>
      </c>
      <c r="Q7" s="3185"/>
      <c r="R7" s="3185">
        <f>ROUND(IF(项目基本情况!$B$8="出让",SUMPRODUCT(PRODUCT(1+K7:$K$16)),SUMPRODUCT(PRODUCT(1+K7:$K$15))),4)</f>
        <v>1.0755999999999999</v>
      </c>
      <c r="S7" s="3185">
        <f>ROUND(IF(项目基本情况!$B$8="出让",SUMPRODUCT(PRODUCT(1+L7:$L$16)),SUMPRODUCT(PRODUCT(1+L7:$L$15))),4)</f>
        <v>1.0395000000000001</v>
      </c>
      <c r="T7" s="3185">
        <f>ROUND(IF(项目基本情况!$B$8="出让",SUMPRODUCT(PRODUCT(1+M7:$M$16)),SUMPRODUCT(PRODUCT(1+M7:$M$15))),4)</f>
        <v>1.0250999999999999</v>
      </c>
      <c r="U7" s="3185">
        <f>ROUND(IF(项目基本情况!$B$8="出让",SUMPRODUCT(PRODUCT(1+N7:$N$16)),SUMPRODUCT(PRODUCT(1+N7:$N$15))),4)</f>
        <v>1.0818000000000001</v>
      </c>
      <c r="V7" s="3185">
        <f>ROUND(IF(项目基本情况!$B$8="出让",SUMPRODUCT(PRODUCT(1+O7:$O$16)),SUMPRODUCT(PRODUCT(1+O7:$O$15))),4)</f>
        <v>1.0629999999999999</v>
      </c>
      <c r="W7" s="3185">
        <f t="shared" si="14"/>
        <v>1.0250999999999999</v>
      </c>
      <c r="X7" s="3185"/>
      <c r="Y7" s="3187"/>
      <c r="Z7" s="3187"/>
      <c r="AA7" s="3187"/>
      <c r="AB7" s="3187"/>
      <c r="AC7" s="3187"/>
      <c r="AD7" s="3187"/>
    </row>
    <row r="8" spans="1:30" s="3178" customFormat="1" ht="12.75">
      <c r="A8" s="3169" t="s">
        <v>3367</v>
      </c>
      <c r="B8" s="3170">
        <v>2023</v>
      </c>
      <c r="C8" s="3171">
        <v>1</v>
      </c>
      <c r="D8" s="3172">
        <v>0.89</v>
      </c>
      <c r="E8" s="3172">
        <v>0.74</v>
      </c>
      <c r="F8" s="3172">
        <v>0.56999999999999995</v>
      </c>
      <c r="G8" s="3172">
        <v>0.92</v>
      </c>
      <c r="H8" s="3189">
        <v>0.5</v>
      </c>
      <c r="I8" s="3173">
        <f t="shared" si="4"/>
        <v>0.56999999999999995</v>
      </c>
      <c r="J8" s="3174"/>
      <c r="K8" s="3175">
        <f t="shared" si="8"/>
        <v>8.8999999999999999E-3</v>
      </c>
      <c r="L8" s="3165">
        <f t="shared" si="9"/>
        <v>7.4000000000000003E-3</v>
      </c>
      <c r="M8" s="3165">
        <f t="shared" si="10"/>
        <v>5.6999999999999993E-3</v>
      </c>
      <c r="N8" s="3165">
        <f t="shared" si="11"/>
        <v>9.1999999999999998E-3</v>
      </c>
      <c r="O8" s="3165">
        <f t="shared" si="12"/>
        <v>5.0000000000000001E-3</v>
      </c>
      <c r="P8" s="3165">
        <f t="shared" si="13"/>
        <v>5.6999999999999993E-3</v>
      </c>
      <c r="Q8" s="3174"/>
      <c r="R8" s="3176">
        <f>ROUND(IF(项目基本情况!$B$8="出让",SUMPRODUCT(PRODUCT(1+K8:$K$16)),SUMPRODUCT(PRODUCT(1+K8:$K$15))),4)</f>
        <v>1.0659000000000001</v>
      </c>
      <c r="S8" s="3176">
        <f>ROUND(IF(项目基本情况!$B$8="出让",SUMPRODUCT(PRODUCT(1+L8:$L$16)),SUMPRODUCT(PRODUCT(1+L8:$L$15))),4)</f>
        <v>1.0326</v>
      </c>
      <c r="T8" s="3176">
        <f>ROUND(IF(项目基本情况!$B$8="出让",SUMPRODUCT(PRODUCT(1+M8:$M$16)),SUMPRODUCT(PRODUCT(1+M8:$M$15))),4)</f>
        <v>1.0203</v>
      </c>
      <c r="U8" s="3176">
        <f>ROUND(IF(项目基本情况!$B$8="出让",SUMPRODUCT(PRODUCT(1+N8:$N$16)),SUMPRODUCT(PRODUCT(1+N8:$N$15))),4)</f>
        <v>1.0714999999999999</v>
      </c>
      <c r="V8" s="3176">
        <f>ROUND(IF(项目基本情况!$B$8="出让",SUMPRODUCT(PRODUCT(1+O8:$O$16)),SUMPRODUCT(PRODUCT(1+O8:$O$15))),4)</f>
        <v>1.0555000000000001</v>
      </c>
      <c r="W8" s="3176">
        <f t="shared" si="14"/>
        <v>1.0203</v>
      </c>
      <c r="X8" s="3174"/>
      <c r="Y8" s="3177"/>
      <c r="Z8" s="3177"/>
      <c r="AA8" s="3177"/>
      <c r="AB8" s="3177"/>
      <c r="AC8" s="3177"/>
      <c r="AD8" s="3177"/>
    </row>
    <row r="9" spans="1:30" s="3178" customFormat="1" ht="12.75">
      <c r="A9" s="3169" t="s">
        <v>3365</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ROUND(IF([2]项目基本情况!B8="出让",SUMPRODUCT(PRODUCT(1+K9:K16)),SUMPRODUCT(PRODUCT(1+K9:K15))),4)</f>
        <v>1.0565</v>
      </c>
      <c r="S9" s="3176">
        <f>ROUND(IF([2]项目基本情况!B8="出让",SUMPRODUCT(PRODUCT(1+L9:L16)),SUMPRODUCT(PRODUCT(1+L9:L15))),4)</f>
        <v>1.0250999999999999</v>
      </c>
      <c r="T9" s="3176">
        <f>ROUND(IF([2]项目基本情况!B8="出让",SUMPRODUCT(PRODUCT(1+M9:M16)),SUMPRODUCT(PRODUCT(1+M9:M15))),4)</f>
        <v>1.0145</v>
      </c>
      <c r="U9" s="3176">
        <f>ROUND(IF([2]项目基本情况!B8="出让",SUMPRODUCT(PRODUCT(1+N9:N16)),SUMPRODUCT(PRODUCT(1+N9:N15))),4)</f>
        <v>1.0618000000000001</v>
      </c>
      <c r="V9" s="3176">
        <f>ROUND(IF([2]项目基本情况!B8="出让",SUMPRODUCT(PRODUCT(1+O9:O16)),SUMPRODUCT(PRODUCT(1+O9:O15))),4)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3359</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3350</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2813</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2814</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2815</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2816</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2817</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3361</v>
      </c>
    </row>
    <row r="19" spans="1:30" s="3002" customFormat="1">
      <c r="I19" s="3201" t="s">
        <v>2818</v>
      </c>
    </row>
    <row r="20" spans="1:30" s="3002" customFormat="1"/>
    <row r="21" spans="1:30" s="3202" customFormat="1" ht="12.75">
      <c r="B21" s="3203" t="s">
        <v>2819</v>
      </c>
      <c r="C21" s="3204"/>
      <c r="D21" s="3204"/>
      <c r="E21" s="3204"/>
      <c r="F21" s="3204"/>
      <c r="G21" s="3204"/>
      <c r="H21" s="3204"/>
      <c r="I21" s="3204"/>
      <c r="J21" s="3158"/>
      <c r="K21" s="3204" t="s">
        <v>2820</v>
      </c>
      <c r="L21" s="3204"/>
      <c r="M21" s="3204"/>
      <c r="N21" s="3204"/>
      <c r="O21" s="3204"/>
      <c r="P21" s="3204"/>
      <c r="Q21" s="3158"/>
      <c r="R21" s="3776" t="s">
        <v>2821</v>
      </c>
      <c r="S21" s="3777"/>
      <c r="T21" s="3777"/>
      <c r="U21" s="3777"/>
      <c r="V21" s="3777"/>
      <c r="W21" s="3777"/>
      <c r="X21" s="3158"/>
      <c r="Y21" s="3776" t="s">
        <v>2822</v>
      </c>
      <c r="Z21" s="3777"/>
      <c r="AA21" s="3777"/>
      <c r="AB21" s="3777"/>
      <c r="AC21" s="3777"/>
      <c r="AD21" s="3777"/>
    </row>
    <row r="22" spans="1:30" s="3136" customFormat="1" ht="14.25" thickBot="1">
      <c r="B22" s="3137"/>
      <c r="C22" s="3138"/>
      <c r="D22" s="3139" t="s">
        <v>2823</v>
      </c>
      <c r="E22" s="3140" t="s">
        <v>2824</v>
      </c>
      <c r="F22" s="3140" t="s">
        <v>2825</v>
      </c>
      <c r="G22" s="3140" t="s">
        <v>2826</v>
      </c>
      <c r="H22" s="3140"/>
      <c r="I22" s="3140" t="s">
        <v>2827</v>
      </c>
      <c r="J22" s="3141"/>
      <c r="K22" s="3139" t="s">
        <v>2823</v>
      </c>
      <c r="L22" s="3140" t="s">
        <v>2824</v>
      </c>
      <c r="M22" s="3140" t="s">
        <v>2825</v>
      </c>
      <c r="N22" s="3140" t="s">
        <v>2826</v>
      </c>
      <c r="O22" s="3140"/>
      <c r="P22" s="3140" t="s">
        <v>2827</v>
      </c>
      <c r="Q22" s="3141"/>
      <c r="R22" s="3139" t="s">
        <v>2823</v>
      </c>
      <c r="S22" s="3140" t="s">
        <v>2824</v>
      </c>
      <c r="T22" s="3140" t="s">
        <v>2825</v>
      </c>
      <c r="U22" s="3140" t="s">
        <v>2826</v>
      </c>
      <c r="V22" s="3140"/>
      <c r="W22" s="3140" t="s">
        <v>2827</v>
      </c>
      <c r="X22" s="3141"/>
      <c r="Y22" s="3139" t="s">
        <v>2823</v>
      </c>
      <c r="Z22" s="3140" t="s">
        <v>2824</v>
      </c>
      <c r="AA22" s="3140" t="s">
        <v>2825</v>
      </c>
      <c r="AB22" s="3140" t="s">
        <v>2826</v>
      </c>
      <c r="AC22" s="3140"/>
      <c r="AD22" s="3140" t="s">
        <v>2827</v>
      </c>
    </row>
    <row r="23" spans="1:30" s="3154" customFormat="1" ht="12.75">
      <c r="A23" s="3142" t="s">
        <v>2828</v>
      </c>
      <c r="B23" s="3143"/>
      <c r="C23" s="3144"/>
      <c r="D23" s="3144"/>
      <c r="E23" s="3144">
        <f t="shared" ref="E23:G23" si="22">ROUND(AVERAGEIF(E24:E36,"&lt;&gt;0"),2)</f>
        <v>0.42</v>
      </c>
      <c r="F23" s="3144">
        <f t="shared" si="22"/>
        <v>0.32</v>
      </c>
      <c r="G23" s="3144">
        <f t="shared" si="22"/>
        <v>0.75</v>
      </c>
      <c r="H23" s="3144"/>
      <c r="I23" s="3144">
        <f>F23</f>
        <v>0.32</v>
      </c>
      <c r="J23" s="3145"/>
      <c r="K23" s="3146"/>
      <c r="L23" s="3147">
        <f t="shared" ref="L23:N23" si="23">ROUND(AVERAGEIF(L24:L36,"&lt;&gt;0"),4)</f>
        <v>4.1999999999999997E-3</v>
      </c>
      <c r="M23" s="3147">
        <f t="shared" si="23"/>
        <v>3.2000000000000002E-3</v>
      </c>
      <c r="N23" s="3147">
        <f t="shared" si="23"/>
        <v>7.4999999999999997E-3</v>
      </c>
      <c r="O23" s="3147"/>
      <c r="P23" s="3147">
        <f>M23</f>
        <v>3.2000000000000002E-3</v>
      </c>
      <c r="Q23" s="3145"/>
      <c r="R23" s="3148"/>
      <c r="S23" s="3149">
        <f>ROUND(SUMPRODUCT(PRODUCT(1+L24:L36)),4)</f>
        <v>1.0431999999999999</v>
      </c>
      <c r="T23" s="3149">
        <f t="shared" ref="T23:U23" si="24">ROUND(SUMPRODUCT(PRODUCT(1+M24:M36)),4)</f>
        <v>1.0319</v>
      </c>
      <c r="U23" s="3149">
        <f t="shared" si="24"/>
        <v>1.0771999999999999</v>
      </c>
      <c r="V23" s="3149"/>
      <c r="W23" s="3148">
        <f>T23</f>
        <v>1.0319</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3363</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1.0396000000000001</v>
      </c>
      <c r="T25" s="3176">
        <f>ROUND(IF([2]项目基本情况!$B$8="出让",SUMPRODUCT(PRODUCT(1+M25:M$36)),SUMPRODUCT(PRODUCT(1+M25:M$35))),4)</f>
        <v>1.0269999999999999</v>
      </c>
      <c r="U25" s="3176">
        <f>ROUND(IF([2]项目基本情况!$B$8="出让",SUMPRODUCT(PRODUCT(1+N25:N$36)),SUMPRODUCT(PRODUCT(1+N25:N$35))),4)</f>
        <v>1.0668</v>
      </c>
      <c r="V25" s="3176"/>
      <c r="W25" s="3176">
        <f>T25</f>
        <v>1.0269999999999999</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3364</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1.0396000000000001</v>
      </c>
      <c r="T26" s="3176">
        <f>ROUND(IF([2]项目基本情况!$B$8="出让",SUMPRODUCT(PRODUCT(1+M26:M$36)),SUMPRODUCT(PRODUCT(1+M26:M$35))),4)</f>
        <v>1.0269999999999999</v>
      </c>
      <c r="U26" s="3176">
        <f>ROUND(IF([2]项目基本情况!$B$8="出让",SUMPRODUCT(PRODUCT(1+N26:N$36)),SUMPRODUCT(PRODUCT(1+N26:N$35))),4)</f>
        <v>1.0668</v>
      </c>
      <c r="V26" s="3176"/>
      <c r="W26" s="3176">
        <f t="shared" ref="W26:W28" si="32">T26</f>
        <v>1.0269999999999999</v>
      </c>
      <c r="X26" s="3174"/>
      <c r="Y26" s="3177"/>
      <c r="Z26" s="3205"/>
      <c r="AA26" s="3442"/>
      <c r="AB26" s="3442"/>
      <c r="AC26" s="3206"/>
      <c r="AD26" s="3177"/>
    </row>
    <row r="27" spans="1:30" s="3188" customFormat="1" ht="12.75">
      <c r="A27" s="3179" t="s">
        <v>3366</v>
      </c>
      <c r="B27" s="3180">
        <v>2023</v>
      </c>
      <c r="C27" s="3181">
        <v>2</v>
      </c>
      <c r="D27" s="3182"/>
      <c r="E27" s="3182">
        <v>0.5</v>
      </c>
      <c r="F27" s="3182">
        <v>0.45</v>
      </c>
      <c r="G27" s="3182">
        <v>0.89</v>
      </c>
      <c r="H27" s="3183"/>
      <c r="I27" s="3184">
        <f t="shared" si="26"/>
        <v>0.45</v>
      </c>
      <c r="J27" s="3185"/>
      <c r="K27" s="3186"/>
      <c r="L27" s="3187">
        <f t="shared" si="28"/>
        <v>5.0000000000000001E-3</v>
      </c>
      <c r="M27" s="3187">
        <f t="shared" si="29"/>
        <v>4.5000000000000005E-3</v>
      </c>
      <c r="N27" s="3187">
        <f t="shared" si="30"/>
        <v>8.8999999999999999E-3</v>
      </c>
      <c r="O27" s="3187"/>
      <c r="P27" s="3187">
        <f t="shared" si="31"/>
        <v>4.5000000000000005E-3</v>
      </c>
      <c r="Q27" s="3185"/>
      <c r="R27" s="3185"/>
      <c r="S27" s="3185">
        <f>ROUND(IF([2]项目基本情况!$B$8="出让",SUMPRODUCT(PRODUCT(1+L27:L$36)),SUMPRODUCT(PRODUCT(1+L27:L$35))),4)</f>
        <v>1.0396000000000001</v>
      </c>
      <c r="T27" s="3185">
        <f>ROUND(IF([2]项目基本情况!$B$8="出让",SUMPRODUCT(PRODUCT(1+M27:M$36)),SUMPRODUCT(PRODUCT(1+M27:M$35))),4)</f>
        <v>1.0269999999999999</v>
      </c>
      <c r="U27" s="3185">
        <f>ROUND(IF([2]项目基本情况!$B$8="出让",SUMPRODUCT(PRODUCT(1+N27:N$36)),SUMPRODUCT(PRODUCT(1+N27:N$35))),4)</f>
        <v>1.0668</v>
      </c>
      <c r="V27" s="3185"/>
      <c r="W27" s="3185">
        <f t="shared" si="32"/>
        <v>1.0269999999999999</v>
      </c>
      <c r="X27" s="3185"/>
      <c r="Y27" s="3187"/>
      <c r="Z27" s="3208"/>
      <c r="AA27" s="3209"/>
      <c r="AB27" s="3187"/>
      <c r="AC27" s="3210"/>
      <c r="AD27" s="3187"/>
    </row>
    <row r="28" spans="1:30" s="3178" customFormat="1" ht="12.75">
      <c r="A28" s="3169" t="s">
        <v>3367</v>
      </c>
      <c r="B28" s="3170">
        <v>2023</v>
      </c>
      <c r="C28" s="3171">
        <v>1</v>
      </c>
      <c r="D28" s="3172"/>
      <c r="E28" s="3172">
        <v>0.55000000000000004</v>
      </c>
      <c r="F28" s="3172">
        <v>0.59</v>
      </c>
      <c r="G28" s="3172">
        <v>0.64</v>
      </c>
      <c r="H28" s="3189"/>
      <c r="I28" s="3173">
        <f t="shared" si="26"/>
        <v>0.59</v>
      </c>
      <c r="J28" s="3174"/>
      <c r="K28" s="3175"/>
      <c r="L28" s="3165">
        <f t="shared" si="28"/>
        <v>5.5000000000000005E-3</v>
      </c>
      <c r="M28" s="3165">
        <f t="shared" si="29"/>
        <v>5.8999999999999999E-3</v>
      </c>
      <c r="N28" s="3165">
        <f t="shared" si="30"/>
        <v>6.4000000000000003E-3</v>
      </c>
      <c r="O28" s="3165"/>
      <c r="P28" s="3165">
        <f t="shared" si="31"/>
        <v>5.8999999999999999E-3</v>
      </c>
      <c r="Q28" s="3174"/>
      <c r="R28" s="3176"/>
      <c r="S28" s="3176">
        <f>ROUND(IF([2]项目基本情况!$B$8="出让",SUMPRODUCT(PRODUCT(1+L28:L$36)),SUMPRODUCT(PRODUCT(1+L28:L$35))),4)</f>
        <v>1.0344</v>
      </c>
      <c r="T28" s="3176">
        <f>ROUND(IF([2]项目基本情况!$B$8="出让",SUMPRODUCT(PRODUCT(1+M28:M$36)),SUMPRODUCT(PRODUCT(1+M28:M$35))),4)</f>
        <v>1.0224</v>
      </c>
      <c r="U28" s="3176">
        <f>ROUND(IF([2]项目基本情况!$B$8="出让",SUMPRODUCT(PRODUCT(1+N28:N$36)),SUMPRODUCT(PRODUCT(1+N28:N$35))),4)</f>
        <v>1.0573999999999999</v>
      </c>
      <c r="V28" s="3176"/>
      <c r="W28" s="3176">
        <f t="shared" si="32"/>
        <v>1.0224</v>
      </c>
      <c r="X28" s="3174"/>
      <c r="Y28" s="3177"/>
      <c r="Z28" s="3205"/>
      <c r="AA28" s="3207"/>
      <c r="AB28" s="3177"/>
      <c r="AC28" s="3206"/>
      <c r="AD28" s="3177"/>
    </row>
    <row r="29" spans="1:30" s="3178" customFormat="1" ht="12.75">
      <c r="A29" s="3169" t="s">
        <v>3365</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ROUND(IF([2]项目基本情况!$B$8="出让",SUMPRODUCT(PRODUCT(1+L29:L$36)),SUMPRODUCT(PRODUCT(1+L29:L$35))),4)</f>
        <v>1.0286999999999999</v>
      </c>
      <c r="T29" s="3176">
        <f>ROUND(IF([2]项目基本情况!$B$8="出让",SUMPRODUCT(PRODUCT(1+M29:M$36)),SUMPRODUCT(PRODUCT(1+M29:M$35))),4)</f>
        <v>1.0164</v>
      </c>
      <c r="U29" s="3176">
        <f>ROUND(IF([2]项目基本情况!$B$8="出让",SUMPRODUCT(PRODUCT(1+N29:N$36)),SUMPRODUCT(PRODUCT(1+N29:N$35))),4)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3360</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3350</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2829</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2830</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2831</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2832</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2817</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3362</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45160</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45159</v>
      </c>
      <c r="D13" s="2815">
        <v>3.45</v>
      </c>
      <c r="E13" s="2815">
        <f>D13</f>
        <v>3.45</v>
      </c>
      <c r="F13" s="2815">
        <f>D13</f>
        <v>3.45</v>
      </c>
      <c r="G13" s="2815">
        <f>D13</f>
        <v>3.45</v>
      </c>
      <c r="H13" s="2815">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45097</v>
      </c>
      <c r="D14" s="2810">
        <v>3.55</v>
      </c>
      <c r="E14" s="2810">
        <f>D14</f>
        <v>3.55</v>
      </c>
      <c r="F14" s="2810">
        <f>D14</f>
        <v>3.55</v>
      </c>
      <c r="G14" s="2810">
        <f>D14</f>
        <v>3.55</v>
      </c>
      <c r="H14" s="2810">
        <v>4.2</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44795</v>
      </c>
      <c r="D15" s="2810">
        <v>3.65</v>
      </c>
      <c r="E15" s="2810">
        <v>3.65</v>
      </c>
      <c r="F15" s="2810">
        <v>3.65</v>
      </c>
      <c r="G15" s="2810">
        <v>3.65</v>
      </c>
      <c r="H15" s="2810">
        <v>4.3</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9"/>
      <c r="C16" s="2811">
        <v>44701</v>
      </c>
      <c r="D16" s="2810">
        <v>3.7</v>
      </c>
      <c r="E16" s="2810">
        <f>D16</f>
        <v>3.7</v>
      </c>
      <c r="F16" s="2810">
        <f>D16</f>
        <v>3.7</v>
      </c>
      <c r="G16" s="2810">
        <f>D16</f>
        <v>3.7</v>
      </c>
      <c r="H16" s="2810">
        <v>4.45</v>
      </c>
      <c r="I16" s="2815"/>
      <c r="J16" s="2815"/>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9"/>
      <c r="C17" s="2811">
        <v>44581</v>
      </c>
      <c r="D17" s="2810">
        <v>3.7</v>
      </c>
      <c r="E17" s="2810">
        <f>D17</f>
        <v>3.7</v>
      </c>
      <c r="F17" s="2810">
        <f>D17</f>
        <v>3.7</v>
      </c>
      <c r="G17" s="2810">
        <f>D17</f>
        <v>3.7</v>
      </c>
      <c r="H17" s="2810">
        <v>4.5999999999999996</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43941</v>
      </c>
      <c r="D19" s="2810">
        <v>3.85</v>
      </c>
      <c r="E19" s="2810">
        <v>3.85</v>
      </c>
      <c r="F19" s="2810">
        <v>3.85</v>
      </c>
      <c r="G19" s="2810">
        <v>3.85</v>
      </c>
      <c r="H19" s="2810">
        <v>4.6500000000000004</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43881</v>
      </c>
      <c r="D20" s="2810">
        <v>4.05</v>
      </c>
      <c r="E20" s="2810">
        <v>4.05</v>
      </c>
      <c r="F20" s="2810">
        <v>4.05</v>
      </c>
      <c r="G20" s="2810">
        <v>4.05</v>
      </c>
      <c r="H20" s="2810">
        <v>4.75</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c r="C21" s="2811">
        <v>43789</v>
      </c>
      <c r="D21" s="2810">
        <v>4.1500000000000004</v>
      </c>
      <c r="E21" s="2810">
        <v>4.1500000000000004</v>
      </c>
      <c r="F21" s="2810">
        <v>4.1500000000000004</v>
      </c>
      <c r="G21" s="2810">
        <v>4.1500000000000004</v>
      </c>
      <c r="H21" s="2810">
        <v>4.8</v>
      </c>
      <c r="I21" s="2810"/>
      <c r="J21" s="281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0"/>
      <c r="C22" s="2811">
        <v>43728</v>
      </c>
      <c r="D22" s="2810">
        <v>4.2</v>
      </c>
      <c r="E22" s="2810">
        <v>4.2</v>
      </c>
      <c r="F22" s="2810">
        <v>4.2</v>
      </c>
      <c r="G22" s="2810">
        <v>4.2</v>
      </c>
      <c r="H22" s="2810">
        <v>4.8499999999999996</v>
      </c>
      <c r="I22" s="2810"/>
      <c r="J22" s="281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6"/>
      <c r="B23" s="2809" t="s">
        <v>2302</v>
      </c>
      <c r="C23" s="2812">
        <v>43697</v>
      </c>
      <c r="D23" s="2813">
        <v>4.25</v>
      </c>
      <c r="E23" s="2813">
        <v>4.25</v>
      </c>
      <c r="F23" s="2813">
        <v>4.25</v>
      </c>
      <c r="G23" s="2813">
        <v>4.25</v>
      </c>
      <c r="H23" s="2813">
        <v>4.8499999999999996</v>
      </c>
      <c r="I23" s="2813"/>
      <c r="J23" s="281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7"/>
      <c r="C24" s="2818">
        <v>42301</v>
      </c>
      <c r="D24" s="2819">
        <v>4.3499999999999996</v>
      </c>
      <c r="E24" s="2819">
        <v>4.3499999999999996</v>
      </c>
      <c r="F24" s="2819">
        <v>4.75</v>
      </c>
      <c r="G24" s="2819">
        <v>4.75</v>
      </c>
      <c r="H24" s="2819">
        <v>4.9000000000000004</v>
      </c>
      <c r="I24" s="2819"/>
      <c r="J24" s="2819"/>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1"/>
  <sheetViews>
    <sheetView topLeftCell="D25" zoomScale="90" zoomScaleNormal="90" workbookViewId="0">
      <selection activeCell="X54" sqref="X54"/>
    </sheetView>
  </sheetViews>
  <sheetFormatPr defaultRowHeight="13.5"/>
  <cols>
    <col min="2" max="7" width="17.625" customWidth="1"/>
  </cols>
  <sheetData>
    <row r="1" spans="2:10" ht="14.25" thickBot="1"/>
    <row r="2" spans="2:10" ht="14.25">
      <c r="B2" s="3798" t="s">
        <v>3419</v>
      </c>
      <c r="C2" s="3798" t="s">
        <v>3420</v>
      </c>
      <c r="D2" s="3789" t="s">
        <v>3421</v>
      </c>
      <c r="E2" s="3789" t="s">
        <v>3423</v>
      </c>
      <c r="F2" s="3789" t="s">
        <v>3424</v>
      </c>
      <c r="G2" s="3798" t="s">
        <v>3426</v>
      </c>
    </row>
    <row r="3" spans="2:10" ht="15" thickBot="1">
      <c r="B3" s="3799"/>
      <c r="C3" s="3799"/>
      <c r="D3" s="3790" t="s">
        <v>3422</v>
      </c>
      <c r="E3" s="3790" t="s">
        <v>3422</v>
      </c>
      <c r="F3" s="3790" t="s">
        <v>3425</v>
      </c>
      <c r="G3" s="3799"/>
      <c r="H3" s="3877"/>
    </row>
    <row r="4" spans="2:10" ht="15" thickBot="1">
      <c r="B4" s="3791" t="s">
        <v>3427</v>
      </c>
      <c r="C4" s="3794" t="s">
        <v>3429</v>
      </c>
      <c r="D4" s="3790" t="s">
        <v>3431</v>
      </c>
      <c r="E4" s="3790" t="s">
        <v>3432</v>
      </c>
      <c r="F4" s="3790" t="s">
        <v>3433</v>
      </c>
      <c r="G4" s="3797">
        <v>289.60000000000002</v>
      </c>
      <c r="J4" s="3888"/>
    </row>
    <row r="5" spans="2:10" ht="15" thickBot="1">
      <c r="B5" s="3791" t="s">
        <v>3428</v>
      </c>
      <c r="C5" s="3794" t="s">
        <v>3430</v>
      </c>
      <c r="D5" s="3790" t="s">
        <v>3434</v>
      </c>
      <c r="E5" s="3790" t="s">
        <v>3435</v>
      </c>
      <c r="F5" s="3790" t="s">
        <v>3436</v>
      </c>
      <c r="G5" s="3797" t="s">
        <v>3437</v>
      </c>
      <c r="J5" s="3888"/>
    </row>
    <row r="6" spans="2:10" ht="15" thickBot="1">
      <c r="B6" s="3792"/>
      <c r="C6" s="3795"/>
      <c r="D6" s="3790" t="s">
        <v>3438</v>
      </c>
      <c r="E6" s="3790" t="s">
        <v>114</v>
      </c>
      <c r="F6" s="3798" t="s">
        <v>3439</v>
      </c>
      <c r="G6" s="3797">
        <v>1876</v>
      </c>
      <c r="J6" s="3888"/>
    </row>
    <row r="7" spans="2:10" ht="15" thickBot="1">
      <c r="B7" s="3792"/>
      <c r="C7" s="3795"/>
      <c r="D7" s="3790" t="s">
        <v>3440</v>
      </c>
      <c r="E7" s="3790" t="s">
        <v>115</v>
      </c>
      <c r="F7" s="3799"/>
      <c r="G7" s="3797">
        <v>154.19999999999999</v>
      </c>
      <c r="J7" s="3888"/>
    </row>
    <row r="8" spans="2:10" ht="15" thickBot="1">
      <c r="B8" s="3792"/>
      <c r="C8" s="3795"/>
      <c r="D8" s="3790" t="s">
        <v>3441</v>
      </c>
      <c r="E8" s="3790" t="s">
        <v>3442</v>
      </c>
      <c r="F8" s="3790" t="s">
        <v>3443</v>
      </c>
      <c r="G8" s="3797">
        <v>203.9</v>
      </c>
      <c r="J8" s="3888"/>
    </row>
    <row r="9" spans="2:10" ht="15" thickBot="1">
      <c r="B9" s="3792"/>
      <c r="C9" s="3795"/>
      <c r="D9" s="3790" t="s">
        <v>3444</v>
      </c>
      <c r="E9" s="3790" t="s">
        <v>3435</v>
      </c>
      <c r="F9" s="3790" t="s">
        <v>3436</v>
      </c>
      <c r="G9" s="3797" t="s">
        <v>3437</v>
      </c>
      <c r="J9" s="3888"/>
    </row>
    <row r="10" spans="2:10" ht="15" thickBot="1">
      <c r="B10" s="3793"/>
      <c r="C10" s="3796"/>
      <c r="D10" s="3790" t="s">
        <v>3445</v>
      </c>
      <c r="E10" s="3790" t="s">
        <v>3446</v>
      </c>
      <c r="F10" s="3790" t="s">
        <v>3447</v>
      </c>
      <c r="G10" s="3797">
        <v>340.8</v>
      </c>
      <c r="J10" s="3888"/>
    </row>
    <row r="11" spans="2:10" ht="29.25" customHeight="1" thickBot="1">
      <c r="B11" s="3791" t="s">
        <v>3427</v>
      </c>
      <c r="C11" s="3794" t="s">
        <v>3429</v>
      </c>
      <c r="D11" s="3790" t="s">
        <v>3431</v>
      </c>
      <c r="E11" s="3790" t="s">
        <v>3450</v>
      </c>
      <c r="F11" s="3790" t="s">
        <v>3451</v>
      </c>
      <c r="G11" s="3797">
        <v>986</v>
      </c>
      <c r="J11" s="3881"/>
    </row>
    <row r="12" spans="2:10" ht="29.25" customHeight="1" thickBot="1">
      <c r="B12" s="3791" t="s">
        <v>3448</v>
      </c>
      <c r="C12" s="3794" t="s">
        <v>3449</v>
      </c>
      <c r="D12" s="3790" t="s">
        <v>3434</v>
      </c>
      <c r="E12" s="3790" t="s">
        <v>3452</v>
      </c>
      <c r="F12" s="3790" t="s">
        <v>3453</v>
      </c>
      <c r="G12" s="3797">
        <v>44.6</v>
      </c>
      <c r="J12" s="3881"/>
    </row>
    <row r="13" spans="2:10" ht="15" thickBot="1">
      <c r="B13" s="3792"/>
      <c r="C13" s="3795"/>
      <c r="D13" s="3790" t="s">
        <v>3438</v>
      </c>
      <c r="E13" s="3790" t="s">
        <v>3454</v>
      </c>
      <c r="F13" s="3790" t="s">
        <v>3455</v>
      </c>
      <c r="G13" s="3797">
        <v>2335.1</v>
      </c>
      <c r="J13" s="3881"/>
    </row>
    <row r="14" spans="2:10" ht="15" thickBot="1">
      <c r="B14" s="3792"/>
      <c r="C14" s="3795"/>
      <c r="D14" s="3790" t="s">
        <v>3440</v>
      </c>
      <c r="E14" s="3790" t="s">
        <v>3456</v>
      </c>
      <c r="F14" s="3790" t="s">
        <v>3457</v>
      </c>
      <c r="G14" s="3797">
        <v>2676.5</v>
      </c>
      <c r="J14" s="3881"/>
    </row>
    <row r="15" spans="2:10" ht="15" thickBot="1">
      <c r="B15" s="3792"/>
      <c r="C15" s="3795"/>
      <c r="D15" s="3790" t="s">
        <v>3441</v>
      </c>
      <c r="E15" s="3790" t="s">
        <v>3458</v>
      </c>
      <c r="F15" s="3790" t="s">
        <v>3459</v>
      </c>
      <c r="G15" s="3797">
        <v>2171</v>
      </c>
      <c r="J15" s="3881"/>
    </row>
    <row r="16" spans="2:10" ht="15" thickBot="1">
      <c r="B16" s="3792"/>
      <c r="C16" s="3795"/>
      <c r="D16" s="3798" t="s">
        <v>3444</v>
      </c>
      <c r="E16" s="3790" t="s">
        <v>3460</v>
      </c>
      <c r="F16" s="3790" t="s">
        <v>3461</v>
      </c>
      <c r="G16" s="3800">
        <v>1877.4</v>
      </c>
      <c r="H16" s="3880"/>
      <c r="J16" s="3881"/>
    </row>
    <row r="17" spans="2:10" ht="15" thickBot="1">
      <c r="B17" s="3792"/>
      <c r="C17" s="3795"/>
      <c r="D17" s="3799"/>
      <c r="E17" s="3790" t="s">
        <v>3460</v>
      </c>
      <c r="F17" s="3790" t="s">
        <v>3462</v>
      </c>
      <c r="G17" s="3801"/>
      <c r="H17" s="3880"/>
      <c r="J17" s="3881"/>
    </row>
    <row r="18" spans="2:10" ht="15" thickBot="1">
      <c r="B18" s="3792"/>
      <c r="C18" s="3795"/>
      <c r="D18" s="3790" t="s">
        <v>3445</v>
      </c>
      <c r="E18" s="3790" t="s">
        <v>3463</v>
      </c>
      <c r="F18" s="3790" t="s">
        <v>3464</v>
      </c>
      <c r="G18" s="3797">
        <v>6172</v>
      </c>
      <c r="H18" s="3876"/>
      <c r="J18" s="3881"/>
    </row>
    <row r="19" spans="2:10" ht="15" thickBot="1">
      <c r="B19" s="3792"/>
      <c r="C19" s="3795"/>
      <c r="D19" s="3790" t="s">
        <v>3465</v>
      </c>
      <c r="E19" s="3790" t="s">
        <v>3466</v>
      </c>
      <c r="F19" s="3790" t="s">
        <v>3467</v>
      </c>
      <c r="G19" s="3797">
        <v>8228.7000000000007</v>
      </c>
      <c r="H19" s="3876"/>
      <c r="J19" s="3881"/>
    </row>
    <row r="20" spans="2:10" ht="15" thickBot="1">
      <c r="B20" s="3792"/>
      <c r="C20" s="3795"/>
      <c r="D20" s="3790" t="s">
        <v>3468</v>
      </c>
      <c r="E20" s="3790" t="s">
        <v>3435</v>
      </c>
      <c r="F20" s="3790" t="s">
        <v>3436</v>
      </c>
      <c r="G20" s="3797" t="s">
        <v>3437</v>
      </c>
      <c r="H20" s="3876"/>
      <c r="J20" s="3881"/>
    </row>
    <row r="21" spans="2:10" ht="15" thickBot="1">
      <c r="B21" s="3792"/>
      <c r="C21" s="3795"/>
      <c r="D21" s="3790" t="s">
        <v>3469</v>
      </c>
      <c r="E21" s="3790" t="s">
        <v>3435</v>
      </c>
      <c r="F21" s="3790" t="s">
        <v>3436</v>
      </c>
      <c r="G21" s="3797" t="s">
        <v>3437</v>
      </c>
      <c r="H21" s="3876"/>
      <c r="J21" s="3881"/>
    </row>
    <row r="22" spans="2:10" ht="15" thickBot="1">
      <c r="B22" s="3792"/>
      <c r="C22" s="3795"/>
      <c r="D22" s="3790" t="s">
        <v>3470</v>
      </c>
      <c r="E22" s="3790" t="s">
        <v>3435</v>
      </c>
      <c r="F22" s="3790" t="s">
        <v>3436</v>
      </c>
      <c r="G22" s="3797" t="s">
        <v>3437</v>
      </c>
      <c r="H22" s="3876"/>
      <c r="J22" s="3881"/>
    </row>
    <row r="23" spans="2:10" ht="15" thickBot="1">
      <c r="B23" s="3792"/>
      <c r="C23" s="3795"/>
      <c r="D23" s="3790" t="s">
        <v>3471</v>
      </c>
      <c r="E23" s="3790" t="s">
        <v>3472</v>
      </c>
      <c r="F23" s="3790" t="s">
        <v>3473</v>
      </c>
      <c r="G23" s="3797">
        <v>132.30000000000001</v>
      </c>
      <c r="H23" s="3876"/>
      <c r="J23" s="3881"/>
    </row>
    <row r="24" spans="2:10" ht="15" thickBot="1">
      <c r="B24" s="3792"/>
      <c r="C24" s="3795"/>
      <c r="D24" s="3790" t="s">
        <v>3474</v>
      </c>
      <c r="E24" s="3790" t="s">
        <v>3475</v>
      </c>
      <c r="F24" s="3790" t="s">
        <v>3476</v>
      </c>
      <c r="G24" s="3797">
        <v>33.299999999999997</v>
      </c>
      <c r="H24" s="3876"/>
      <c r="J24" s="3881"/>
    </row>
    <row r="25" spans="2:10" ht="15" thickBot="1">
      <c r="B25" s="3792"/>
      <c r="C25" s="3795"/>
      <c r="D25" s="3790" t="s">
        <v>3477</v>
      </c>
      <c r="E25" s="3790" t="s">
        <v>3478</v>
      </c>
      <c r="F25" s="3790" t="s">
        <v>3479</v>
      </c>
      <c r="G25" s="3797">
        <v>98.8</v>
      </c>
      <c r="H25" s="3876"/>
      <c r="J25" s="3881"/>
    </row>
    <row r="26" spans="2:10" ht="15" thickBot="1">
      <c r="B26" s="3792"/>
      <c r="C26" s="3795"/>
      <c r="D26" s="3790" t="s">
        <v>3480</v>
      </c>
      <c r="E26" s="3790" t="s">
        <v>3481</v>
      </c>
      <c r="F26" s="3790" t="s">
        <v>3482</v>
      </c>
      <c r="G26" s="3797">
        <v>1269.3</v>
      </c>
      <c r="H26" s="3876"/>
      <c r="J26" s="3881"/>
    </row>
    <row r="27" spans="2:10" ht="15" thickBot="1">
      <c r="B27" s="3792"/>
      <c r="C27" s="3795"/>
      <c r="D27" s="3790" t="s">
        <v>3483</v>
      </c>
      <c r="E27" s="3790" t="s">
        <v>3484</v>
      </c>
      <c r="F27" s="3790" t="s">
        <v>3485</v>
      </c>
      <c r="G27" s="3797">
        <v>1038.8</v>
      </c>
      <c r="H27" s="3878"/>
      <c r="J27" s="3881"/>
    </row>
    <row r="28" spans="2:10" ht="15" thickBot="1">
      <c r="B28" s="3793"/>
      <c r="C28" s="3796"/>
      <c r="D28" s="3790" t="s">
        <v>3486</v>
      </c>
      <c r="E28" s="3790" t="s">
        <v>3487</v>
      </c>
      <c r="F28" s="3790" t="s">
        <v>3488</v>
      </c>
      <c r="G28" s="3797">
        <v>138.5</v>
      </c>
      <c r="H28" s="3879"/>
      <c r="J28" s="3881"/>
    </row>
    <row r="29" spans="2:10">
      <c r="G29" s="3802">
        <f>SUM(G23:G28)+SUM(G11:G19)</f>
        <v>27202.300000000003</v>
      </c>
    </row>
    <row r="33" spans="1:22">
      <c r="A33" s="3884" t="s">
        <v>3864</v>
      </c>
      <c r="B33" s="3884" t="s">
        <v>3865</v>
      </c>
      <c r="C33" s="3884" t="s">
        <v>3866</v>
      </c>
      <c r="D33" s="3884" t="s">
        <v>3867</v>
      </c>
      <c r="E33" s="3884" t="s">
        <v>3868</v>
      </c>
      <c r="F33" s="3884" t="s">
        <v>3869</v>
      </c>
      <c r="G33" s="3884" t="s">
        <v>3870</v>
      </c>
      <c r="H33" s="3886" t="s">
        <v>2496</v>
      </c>
      <c r="I33" s="3884" t="s">
        <v>3871</v>
      </c>
      <c r="J33" s="3884" t="s">
        <v>3872</v>
      </c>
      <c r="K33" s="3886" t="s">
        <v>3873</v>
      </c>
      <c r="L33" s="3884" t="s">
        <v>3874</v>
      </c>
      <c r="M33" s="3884"/>
      <c r="N33" s="3884"/>
      <c r="O33" s="3884"/>
      <c r="P33" s="3884"/>
      <c r="Q33" s="3886"/>
      <c r="R33" s="3887" t="s">
        <v>3875</v>
      </c>
      <c r="S33" s="3887"/>
      <c r="T33" s="3887"/>
      <c r="U33" s="3887"/>
      <c r="V33" s="3887"/>
    </row>
    <row r="34" spans="1:22">
      <c r="A34" s="3884"/>
      <c r="B34" s="3884"/>
      <c r="C34" s="3884"/>
      <c r="D34" s="3884"/>
      <c r="E34" s="3884"/>
      <c r="F34" s="3884"/>
      <c r="G34" s="3884"/>
      <c r="H34" s="3886"/>
      <c r="I34" s="3884"/>
      <c r="J34" s="3884"/>
      <c r="K34" s="3886"/>
      <c r="L34" s="3890" t="s">
        <v>3876</v>
      </c>
      <c r="M34" s="3890" t="s">
        <v>3877</v>
      </c>
      <c r="N34" s="3890" t="s">
        <v>3878</v>
      </c>
      <c r="O34" s="3890" t="s">
        <v>3879</v>
      </c>
      <c r="P34" s="3890" t="s">
        <v>3880</v>
      </c>
      <c r="Q34" s="3891" t="s">
        <v>3881</v>
      </c>
      <c r="R34" s="3890" t="s">
        <v>3882</v>
      </c>
      <c r="S34" s="3889" t="s">
        <v>672</v>
      </c>
      <c r="T34" s="3890" t="s">
        <v>3880</v>
      </c>
      <c r="U34" s="3889" t="s">
        <v>3883</v>
      </c>
      <c r="V34" s="3889" t="s">
        <v>3884</v>
      </c>
    </row>
    <row r="35" spans="1:22">
      <c r="A35" s="3883" t="s">
        <v>3885</v>
      </c>
      <c r="B35" s="3883" t="s">
        <v>3886</v>
      </c>
      <c r="C35" s="3883" t="s">
        <v>3887</v>
      </c>
      <c r="D35" s="3883">
        <v>18455.759999999998</v>
      </c>
      <c r="E35" s="3883" t="s">
        <v>3888</v>
      </c>
      <c r="F35" s="3883" t="s">
        <v>3889</v>
      </c>
      <c r="G35" s="3883" t="s">
        <v>3</v>
      </c>
      <c r="H35" s="3885">
        <v>53775</v>
      </c>
      <c r="I35" s="3883" t="s">
        <v>3890</v>
      </c>
      <c r="J35" s="3883" t="s">
        <v>3886</v>
      </c>
      <c r="K35" s="3885" t="s">
        <v>3891</v>
      </c>
      <c r="L35" s="3892" t="s">
        <v>3431</v>
      </c>
      <c r="M35" s="3892" t="s">
        <v>3892</v>
      </c>
      <c r="N35" s="3892" t="s">
        <v>3893</v>
      </c>
      <c r="O35" s="3892" t="s">
        <v>3862</v>
      </c>
      <c r="P35" s="3892">
        <v>986</v>
      </c>
      <c r="Q35" s="3893"/>
      <c r="R35" s="3894" t="s">
        <v>3894</v>
      </c>
      <c r="S35" s="3895" t="s">
        <v>3895</v>
      </c>
      <c r="T35" s="3894">
        <v>986</v>
      </c>
      <c r="U35" s="3896" t="s">
        <v>3896</v>
      </c>
      <c r="V35" s="3896">
        <v>2017</v>
      </c>
    </row>
    <row r="36" spans="1:22">
      <c r="A36" s="3883"/>
      <c r="B36" s="3883"/>
      <c r="C36" s="3883"/>
      <c r="D36" s="3883"/>
      <c r="E36" s="3883"/>
      <c r="F36" s="3883"/>
      <c r="G36" s="3883"/>
      <c r="H36" s="3885"/>
      <c r="I36" s="3883"/>
      <c r="J36" s="3883"/>
      <c r="K36" s="3885"/>
      <c r="L36" s="3892" t="s">
        <v>3434</v>
      </c>
      <c r="M36" s="3892" t="s">
        <v>3892</v>
      </c>
      <c r="N36" s="3892" t="s">
        <v>3893</v>
      </c>
      <c r="O36" s="3892" t="s">
        <v>3862</v>
      </c>
      <c r="P36" s="3892">
        <v>44.6</v>
      </c>
      <c r="Q36" s="3893"/>
      <c r="R36" s="3894" t="s">
        <v>3897</v>
      </c>
      <c r="S36" s="3895" t="s">
        <v>3898</v>
      </c>
      <c r="T36" s="3894">
        <v>44.6</v>
      </c>
      <c r="U36" s="3896" t="s">
        <v>3896</v>
      </c>
      <c r="V36" s="3896">
        <v>2010</v>
      </c>
    </row>
    <row r="37" spans="1:22">
      <c r="A37" s="3883"/>
      <c r="B37" s="3883"/>
      <c r="C37" s="3883"/>
      <c r="D37" s="3883"/>
      <c r="E37" s="3883"/>
      <c r="F37" s="3883"/>
      <c r="G37" s="3883"/>
      <c r="H37" s="3885"/>
      <c r="I37" s="3883"/>
      <c r="J37" s="3883"/>
      <c r="K37" s="3885"/>
      <c r="L37" s="3892" t="s">
        <v>3438</v>
      </c>
      <c r="M37" s="3892" t="s">
        <v>3899</v>
      </c>
      <c r="N37" s="3892" t="s">
        <v>3900</v>
      </c>
      <c r="O37" s="3892" t="s">
        <v>3863</v>
      </c>
      <c r="P37" s="3892">
        <v>2335.1</v>
      </c>
      <c r="Q37" s="3893" t="s">
        <v>3901</v>
      </c>
      <c r="R37" s="3894" t="s">
        <v>3902</v>
      </c>
      <c r="S37" s="3895" t="s">
        <v>3895</v>
      </c>
      <c r="T37" s="3894">
        <v>2335.1</v>
      </c>
      <c r="U37" s="3896" t="s">
        <v>3903</v>
      </c>
      <c r="V37" s="3896">
        <v>2010</v>
      </c>
    </row>
    <row r="38" spans="1:22">
      <c r="A38" s="3883"/>
      <c r="B38" s="3883"/>
      <c r="C38" s="3883"/>
      <c r="D38" s="3883"/>
      <c r="E38" s="3883"/>
      <c r="F38" s="3883"/>
      <c r="G38" s="3883"/>
      <c r="H38" s="3885"/>
      <c r="I38" s="3883"/>
      <c r="J38" s="3883"/>
      <c r="K38" s="3885"/>
      <c r="L38" s="3892" t="s">
        <v>3440</v>
      </c>
      <c r="M38" s="3892" t="s">
        <v>3904</v>
      </c>
      <c r="N38" s="3892" t="s">
        <v>3905</v>
      </c>
      <c r="O38" s="3892" t="s">
        <v>3863</v>
      </c>
      <c r="P38" s="3892">
        <v>2676.5</v>
      </c>
      <c r="Q38" s="3893"/>
      <c r="R38" s="3894" t="s">
        <v>3906</v>
      </c>
      <c r="S38" s="3895" t="s">
        <v>3895</v>
      </c>
      <c r="T38" s="3894">
        <v>2676.5</v>
      </c>
      <c r="U38" s="3896" t="s">
        <v>3907</v>
      </c>
      <c r="V38" s="3896">
        <v>2011</v>
      </c>
    </row>
    <row r="39" spans="1:22">
      <c r="A39" s="3883"/>
      <c r="B39" s="3883"/>
      <c r="C39" s="3883"/>
      <c r="D39" s="3883"/>
      <c r="E39" s="3883"/>
      <c r="F39" s="3883"/>
      <c r="G39" s="3883"/>
      <c r="H39" s="3885"/>
      <c r="I39" s="3883"/>
      <c r="J39" s="3883"/>
      <c r="K39" s="3885"/>
      <c r="L39" s="3892" t="s">
        <v>3441</v>
      </c>
      <c r="M39" s="3892" t="s">
        <v>3908</v>
      </c>
      <c r="N39" s="3892" t="s">
        <v>3909</v>
      </c>
      <c r="O39" s="3892" t="s">
        <v>3406</v>
      </c>
      <c r="P39" s="3892">
        <v>2171</v>
      </c>
      <c r="Q39" s="3893" t="s">
        <v>3901</v>
      </c>
      <c r="R39" s="3894" t="s">
        <v>3910</v>
      </c>
      <c r="S39" s="3895" t="s">
        <v>3895</v>
      </c>
      <c r="T39" s="3894">
        <v>2171</v>
      </c>
      <c r="U39" s="3896" t="s">
        <v>3903</v>
      </c>
      <c r="V39" s="3896">
        <v>2011</v>
      </c>
    </row>
    <row r="40" spans="1:22">
      <c r="A40" s="3883"/>
      <c r="B40" s="3883"/>
      <c r="C40" s="3883"/>
      <c r="D40" s="3883"/>
      <c r="E40" s="3883"/>
      <c r="F40" s="3883"/>
      <c r="G40" s="3883"/>
      <c r="H40" s="3885"/>
      <c r="I40" s="3883"/>
      <c r="J40" s="3883"/>
      <c r="K40" s="3885"/>
      <c r="L40" s="3892" t="s">
        <v>3444</v>
      </c>
      <c r="M40" s="3892" t="s">
        <v>3892</v>
      </c>
      <c r="N40" s="3892" t="s">
        <v>3893</v>
      </c>
      <c r="O40" s="3892" t="s">
        <v>3863</v>
      </c>
      <c r="P40" s="3892">
        <v>1877.4</v>
      </c>
      <c r="Q40" s="3893"/>
      <c r="R40" s="3894" t="s">
        <v>3911</v>
      </c>
      <c r="S40" s="3895" t="s">
        <v>3895</v>
      </c>
      <c r="T40" s="3894">
        <v>1877.4</v>
      </c>
      <c r="U40" s="3896" t="s">
        <v>3912</v>
      </c>
      <c r="V40" s="3896">
        <v>2013</v>
      </c>
    </row>
    <row r="41" spans="1:22">
      <c r="A41" s="3883"/>
      <c r="B41" s="3883"/>
      <c r="C41" s="3883"/>
      <c r="D41" s="3883"/>
      <c r="E41" s="3883"/>
      <c r="F41" s="3883"/>
      <c r="G41" s="3883"/>
      <c r="H41" s="3885"/>
      <c r="I41" s="3883"/>
      <c r="J41" s="3883"/>
      <c r="K41" s="3885"/>
      <c r="L41" s="3892" t="s">
        <v>3445</v>
      </c>
      <c r="M41" s="3892" t="s">
        <v>3913</v>
      </c>
      <c r="N41" s="3892" t="s">
        <v>3914</v>
      </c>
      <c r="O41" s="3892" t="s">
        <v>3406</v>
      </c>
      <c r="P41" s="3892">
        <v>6172</v>
      </c>
      <c r="Q41" s="3893"/>
      <c r="R41" s="3894" t="s">
        <v>3915</v>
      </c>
      <c r="S41" s="3895" t="s">
        <v>3895</v>
      </c>
      <c r="T41" s="3894">
        <v>6172</v>
      </c>
      <c r="U41" s="3896" t="s">
        <v>3916</v>
      </c>
      <c r="V41" s="3896" t="s">
        <v>43</v>
      </c>
    </row>
    <row r="42" spans="1:22">
      <c r="A42" s="3883"/>
      <c r="B42" s="3883"/>
      <c r="C42" s="3883"/>
      <c r="D42" s="3883"/>
      <c r="E42" s="3883"/>
      <c r="F42" s="3883"/>
      <c r="G42" s="3883"/>
      <c r="H42" s="3885"/>
      <c r="I42" s="3883"/>
      <c r="J42" s="3883"/>
      <c r="K42" s="3885"/>
      <c r="L42" s="3892" t="s">
        <v>3465</v>
      </c>
      <c r="M42" s="3892" t="s">
        <v>3917</v>
      </c>
      <c r="N42" s="3892" t="s">
        <v>3918</v>
      </c>
      <c r="O42" s="3892" t="s">
        <v>3863</v>
      </c>
      <c r="P42" s="3892">
        <v>8228.7000000000007</v>
      </c>
      <c r="Q42" s="3893"/>
      <c r="R42" s="3894" t="s">
        <v>3919</v>
      </c>
      <c r="S42" s="3895" t="s">
        <v>3895</v>
      </c>
      <c r="T42" s="3894">
        <v>8228.7000000000007</v>
      </c>
      <c r="U42" s="3896" t="s">
        <v>3916</v>
      </c>
      <c r="V42" s="3896" t="s">
        <v>43</v>
      </c>
    </row>
    <row r="43" spans="1:22">
      <c r="A43" s="3883"/>
      <c r="B43" s="3883"/>
      <c r="C43" s="3883"/>
      <c r="D43" s="3883"/>
      <c r="E43" s="3883"/>
      <c r="F43" s="3883"/>
      <c r="G43" s="3883"/>
      <c r="H43" s="3885"/>
      <c r="I43" s="3883"/>
      <c r="J43" s="3883"/>
      <c r="K43" s="3885"/>
      <c r="L43" s="3892" t="s">
        <v>3468</v>
      </c>
      <c r="M43" s="3892" t="s">
        <v>3892</v>
      </c>
      <c r="N43" s="3892" t="s">
        <v>3893</v>
      </c>
      <c r="O43" s="3892" t="s">
        <v>3863</v>
      </c>
      <c r="P43" s="3892">
        <v>102.1</v>
      </c>
      <c r="Q43" s="3893"/>
      <c r="R43" s="3894" t="s">
        <v>43</v>
      </c>
      <c r="S43" s="3895" t="s">
        <v>43</v>
      </c>
      <c r="T43" s="3894">
        <v>0</v>
      </c>
      <c r="U43" s="3896" t="s">
        <v>43</v>
      </c>
      <c r="V43" s="3896" t="s">
        <v>3920</v>
      </c>
    </row>
    <row r="44" spans="1:22">
      <c r="A44" s="3883"/>
      <c r="B44" s="3883"/>
      <c r="C44" s="3883"/>
      <c r="D44" s="3883"/>
      <c r="E44" s="3883"/>
      <c r="F44" s="3883"/>
      <c r="G44" s="3883"/>
      <c r="H44" s="3885"/>
      <c r="I44" s="3883"/>
      <c r="J44" s="3883"/>
      <c r="K44" s="3885"/>
      <c r="L44" s="3892" t="s">
        <v>3469</v>
      </c>
      <c r="M44" s="3892" t="s">
        <v>3892</v>
      </c>
      <c r="N44" s="3892" t="s">
        <v>3893</v>
      </c>
      <c r="O44" s="3892" t="s">
        <v>3863</v>
      </c>
      <c r="P44" s="3892">
        <v>42.5</v>
      </c>
      <c r="Q44" s="3893"/>
      <c r="R44" s="3894" t="s">
        <v>43</v>
      </c>
      <c r="S44" s="3895" t="s">
        <v>43</v>
      </c>
      <c r="T44" s="3894">
        <v>0</v>
      </c>
      <c r="U44" s="3896" t="s">
        <v>43</v>
      </c>
      <c r="V44" s="3896" t="s">
        <v>3920</v>
      </c>
    </row>
    <row r="45" spans="1:22">
      <c r="A45" s="3883"/>
      <c r="B45" s="3883"/>
      <c r="C45" s="3883"/>
      <c r="D45" s="3883"/>
      <c r="E45" s="3883"/>
      <c r="F45" s="3883"/>
      <c r="G45" s="3883"/>
      <c r="H45" s="3885"/>
      <c r="I45" s="3883"/>
      <c r="J45" s="3883"/>
      <c r="K45" s="3885"/>
      <c r="L45" s="3892" t="s">
        <v>3470</v>
      </c>
      <c r="M45" s="3892" t="s">
        <v>3908</v>
      </c>
      <c r="N45" s="3892" t="s">
        <v>3909</v>
      </c>
      <c r="O45" s="3892" t="s">
        <v>3863</v>
      </c>
      <c r="P45" s="3892">
        <v>21</v>
      </c>
      <c r="Q45" s="3893"/>
      <c r="R45" s="3894" t="s">
        <v>43</v>
      </c>
      <c r="S45" s="3895" t="s">
        <v>43</v>
      </c>
      <c r="T45" s="3894">
        <v>0</v>
      </c>
      <c r="U45" s="3896" t="s">
        <v>43</v>
      </c>
      <c r="V45" s="3896" t="s">
        <v>3920</v>
      </c>
    </row>
    <row r="46" spans="1:22">
      <c r="A46" s="3883"/>
      <c r="B46" s="3883"/>
      <c r="C46" s="3883"/>
      <c r="D46" s="3883"/>
      <c r="E46" s="3883"/>
      <c r="F46" s="3883"/>
      <c r="G46" s="3883"/>
      <c r="H46" s="3885"/>
      <c r="I46" s="3883"/>
      <c r="J46" s="3883"/>
      <c r="K46" s="3885"/>
      <c r="L46" s="3892" t="s">
        <v>3471</v>
      </c>
      <c r="M46" s="3892" t="s">
        <v>3892</v>
      </c>
      <c r="N46" s="3892" t="s">
        <v>3893</v>
      </c>
      <c r="O46" s="3892" t="s">
        <v>3863</v>
      </c>
      <c r="P46" s="3892">
        <v>132.30000000000001</v>
      </c>
      <c r="Q46" s="3893"/>
      <c r="R46" s="3894" t="s">
        <v>3510</v>
      </c>
      <c r="S46" s="3895" t="s">
        <v>3895</v>
      </c>
      <c r="T46" s="3894">
        <v>132.30000000000001</v>
      </c>
      <c r="U46" s="3896" t="s">
        <v>3912</v>
      </c>
      <c r="V46" s="3896">
        <v>2011</v>
      </c>
    </row>
    <row r="47" spans="1:22">
      <c r="A47" s="3883"/>
      <c r="B47" s="3883"/>
      <c r="C47" s="3883"/>
      <c r="D47" s="3883"/>
      <c r="E47" s="3883"/>
      <c r="F47" s="3883"/>
      <c r="G47" s="3883"/>
      <c r="H47" s="3885"/>
      <c r="I47" s="3883"/>
      <c r="J47" s="3883"/>
      <c r="K47" s="3885"/>
      <c r="L47" s="3892" t="s">
        <v>3474</v>
      </c>
      <c r="M47" s="3892" t="s">
        <v>3892</v>
      </c>
      <c r="N47" s="3892" t="s">
        <v>3893</v>
      </c>
      <c r="O47" s="3892" t="s">
        <v>3863</v>
      </c>
      <c r="P47" s="3892">
        <v>33.299999999999997</v>
      </c>
      <c r="Q47" s="3893"/>
      <c r="R47" s="3894" t="s">
        <v>3921</v>
      </c>
      <c r="S47" s="3895" t="s">
        <v>3329</v>
      </c>
      <c r="T47" s="3894">
        <v>33.299999999999997</v>
      </c>
      <c r="U47" s="3896" t="s">
        <v>3912</v>
      </c>
      <c r="V47" s="3896" t="s">
        <v>43</v>
      </c>
    </row>
    <row r="48" spans="1:22">
      <c r="A48" s="3883"/>
      <c r="B48" s="3883"/>
      <c r="C48" s="3883"/>
      <c r="D48" s="3883"/>
      <c r="E48" s="3883"/>
      <c r="F48" s="3883"/>
      <c r="G48" s="3883"/>
      <c r="H48" s="3885"/>
      <c r="I48" s="3883"/>
      <c r="J48" s="3883"/>
      <c r="K48" s="3885"/>
      <c r="L48" s="3892" t="s">
        <v>3477</v>
      </c>
      <c r="M48" s="3892" t="s">
        <v>3892</v>
      </c>
      <c r="N48" s="3892" t="s">
        <v>3893</v>
      </c>
      <c r="O48" s="3892" t="s">
        <v>3863</v>
      </c>
      <c r="P48" s="3892">
        <v>98.8</v>
      </c>
      <c r="Q48" s="3893"/>
      <c r="R48" s="3894" t="s">
        <v>3922</v>
      </c>
      <c r="S48" s="3895" t="s">
        <v>3895</v>
      </c>
      <c r="T48" s="3894">
        <v>98.8</v>
      </c>
      <c r="U48" s="3896" t="s">
        <v>3912</v>
      </c>
      <c r="V48" s="3896">
        <v>2011</v>
      </c>
    </row>
    <row r="49" spans="1:22">
      <c r="A49" s="3883"/>
      <c r="B49" s="3883"/>
      <c r="C49" s="3883"/>
      <c r="D49" s="3883"/>
      <c r="E49" s="3883"/>
      <c r="F49" s="3883"/>
      <c r="G49" s="3883"/>
      <c r="H49" s="3885"/>
      <c r="I49" s="3883"/>
      <c r="J49" s="3883"/>
      <c r="K49" s="3885"/>
      <c r="L49" s="3892" t="s">
        <v>3480</v>
      </c>
      <c r="M49" s="3892" t="s">
        <v>3904</v>
      </c>
      <c r="N49" s="3892" t="s">
        <v>3905</v>
      </c>
      <c r="O49" s="3892" t="s">
        <v>3863</v>
      </c>
      <c r="P49" s="3892">
        <v>1269.3</v>
      </c>
      <c r="Q49" s="3893"/>
      <c r="R49" s="3894" t="s">
        <v>3923</v>
      </c>
      <c r="S49" s="3895" t="s">
        <v>3895</v>
      </c>
      <c r="T49" s="3894">
        <v>1269.3</v>
      </c>
      <c r="U49" s="3896" t="s">
        <v>43</v>
      </c>
      <c r="V49" s="3896" t="s">
        <v>43</v>
      </c>
    </row>
    <row r="50" spans="1:22">
      <c r="A50" s="3883"/>
      <c r="B50" s="3883"/>
      <c r="C50" s="3883"/>
      <c r="D50" s="3883"/>
      <c r="E50" s="3883"/>
      <c r="F50" s="3883"/>
      <c r="G50" s="3883"/>
      <c r="H50" s="3885"/>
      <c r="I50" s="3883"/>
      <c r="J50" s="3883"/>
      <c r="K50" s="3885"/>
      <c r="L50" s="3892" t="s">
        <v>3483</v>
      </c>
      <c r="M50" s="3892" t="s">
        <v>3924</v>
      </c>
      <c r="N50" s="3892" t="s">
        <v>3925</v>
      </c>
      <c r="O50" s="3892" t="s">
        <v>3863</v>
      </c>
      <c r="P50" s="3892">
        <v>1038.8</v>
      </c>
      <c r="Q50" s="3893"/>
      <c r="R50" s="3894" t="s">
        <v>3806</v>
      </c>
      <c r="S50" s="3895" t="s">
        <v>3895</v>
      </c>
      <c r="T50" s="3894">
        <v>1038.8</v>
      </c>
      <c r="U50" s="3896" t="s">
        <v>43</v>
      </c>
      <c r="V50" s="3896">
        <v>2012</v>
      </c>
    </row>
    <row r="51" spans="1:22">
      <c r="A51" s="3883"/>
      <c r="B51" s="3883"/>
      <c r="C51" s="3883"/>
      <c r="D51" s="3883"/>
      <c r="E51" s="3883"/>
      <c r="F51" s="3883"/>
      <c r="G51" s="3883"/>
      <c r="H51" s="3885"/>
      <c r="I51" s="3883"/>
      <c r="J51" s="3883"/>
      <c r="K51" s="3885"/>
      <c r="L51" s="3892" t="s">
        <v>3486</v>
      </c>
      <c r="M51" s="3892" t="s">
        <v>3892</v>
      </c>
      <c r="N51" s="3892" t="s">
        <v>3893</v>
      </c>
      <c r="O51" s="3892" t="s">
        <v>3863</v>
      </c>
      <c r="P51" s="3892">
        <v>138.5</v>
      </c>
      <c r="Q51" s="3893"/>
      <c r="R51" s="3894" t="s">
        <v>3926</v>
      </c>
      <c r="S51" s="3895" t="s">
        <v>3895</v>
      </c>
      <c r="T51" s="3894">
        <v>138.5</v>
      </c>
      <c r="U51" s="3896" t="s">
        <v>3907</v>
      </c>
      <c r="V51" s="3896">
        <v>2011</v>
      </c>
    </row>
    <row r="52" spans="1:22">
      <c r="A52" s="3897" t="s">
        <v>3927</v>
      </c>
      <c r="B52" s="3897"/>
      <c r="C52" s="3897"/>
      <c r="D52" s="3897">
        <v>18455.759999999998</v>
      </c>
      <c r="E52" s="3897"/>
      <c r="F52" s="3897"/>
      <c r="G52" s="3897"/>
      <c r="H52" s="3898"/>
      <c r="I52" s="3897"/>
      <c r="J52" s="3897"/>
      <c r="K52" s="3898"/>
      <c r="L52" s="3897"/>
      <c r="M52" s="3897"/>
      <c r="N52" s="3897"/>
      <c r="O52" s="3897"/>
      <c r="P52" s="3897">
        <v>27367.899999999998</v>
      </c>
      <c r="Q52" s="3898"/>
      <c r="R52" s="3897"/>
      <c r="S52" s="3899"/>
      <c r="T52" s="3897">
        <v>27202.3</v>
      </c>
      <c r="U52" s="3899"/>
      <c r="V52" s="3899"/>
    </row>
    <row r="53" spans="1:22">
      <c r="A53" s="3883" t="s">
        <v>3928</v>
      </c>
      <c r="B53" s="3883" t="s">
        <v>3886</v>
      </c>
      <c r="C53" s="3883" t="s">
        <v>3929</v>
      </c>
      <c r="D53" s="3883">
        <v>4638.1000000000004</v>
      </c>
      <c r="E53" s="3883" t="s">
        <v>3930</v>
      </c>
      <c r="F53" s="3883" t="s">
        <v>3889</v>
      </c>
      <c r="G53" s="3883" t="s">
        <v>3</v>
      </c>
      <c r="H53" s="3885">
        <v>58034</v>
      </c>
      <c r="I53" s="3883" t="s">
        <v>3931</v>
      </c>
      <c r="J53" s="3883" t="s">
        <v>3886</v>
      </c>
      <c r="K53" s="3885" t="s">
        <v>3932</v>
      </c>
      <c r="L53" s="3892" t="s">
        <v>3431</v>
      </c>
      <c r="M53" s="3892" t="s">
        <v>3892</v>
      </c>
      <c r="N53" s="3892" t="s">
        <v>3892</v>
      </c>
      <c r="O53" s="3892" t="s">
        <v>3862</v>
      </c>
      <c r="P53" s="3892">
        <v>289.60000000000002</v>
      </c>
      <c r="Q53" s="3893"/>
      <c r="R53" s="3894" t="s">
        <v>3933</v>
      </c>
      <c r="S53" s="3895" t="s">
        <v>3895</v>
      </c>
      <c r="T53" s="3894">
        <v>289.60000000000002</v>
      </c>
      <c r="U53" s="3896" t="s">
        <v>43</v>
      </c>
      <c r="V53" s="3896" t="s">
        <v>43</v>
      </c>
    </row>
    <row r="54" spans="1:22">
      <c r="A54" s="3883"/>
      <c r="B54" s="3883"/>
      <c r="C54" s="3883"/>
      <c r="D54" s="3883"/>
      <c r="E54" s="3883"/>
      <c r="F54" s="3883"/>
      <c r="G54" s="3883"/>
      <c r="H54" s="3885"/>
      <c r="I54" s="3883"/>
      <c r="J54" s="3883"/>
      <c r="K54" s="3885"/>
      <c r="L54" s="3892" t="s">
        <v>3434</v>
      </c>
      <c r="M54" s="3892" t="s">
        <v>3899</v>
      </c>
      <c r="N54" s="3892" t="s">
        <v>3934</v>
      </c>
      <c r="O54" s="3892" t="s">
        <v>3863</v>
      </c>
      <c r="P54" s="3892">
        <v>1284.8</v>
      </c>
      <c r="Q54" s="3893"/>
      <c r="R54" s="3894" t="s">
        <v>43</v>
      </c>
      <c r="S54" s="3895" t="s">
        <v>43</v>
      </c>
      <c r="T54" s="3894">
        <v>0</v>
      </c>
      <c r="U54" s="3896" t="s">
        <v>43</v>
      </c>
      <c r="V54" s="3896" t="s">
        <v>3920</v>
      </c>
    </row>
    <row r="55" spans="1:22">
      <c r="A55" s="3883"/>
      <c r="B55" s="3883"/>
      <c r="C55" s="3883"/>
      <c r="D55" s="3883"/>
      <c r="E55" s="3883"/>
      <c r="F55" s="3883"/>
      <c r="G55" s="3883"/>
      <c r="H55" s="3885"/>
      <c r="I55" s="3883"/>
      <c r="J55" s="3883"/>
      <c r="K55" s="3885"/>
      <c r="L55" s="3892" t="s">
        <v>3438</v>
      </c>
      <c r="M55" s="3892" t="s">
        <v>3899</v>
      </c>
      <c r="N55" s="3892" t="s">
        <v>3934</v>
      </c>
      <c r="O55" s="3892" t="s">
        <v>3863</v>
      </c>
      <c r="P55" s="3892">
        <v>1876</v>
      </c>
      <c r="Q55" s="3893"/>
      <c r="R55" s="3894" t="s">
        <v>3935</v>
      </c>
      <c r="S55" s="3895" t="s">
        <v>3895</v>
      </c>
      <c r="T55" s="3894">
        <v>1876</v>
      </c>
      <c r="U55" s="3896" t="s">
        <v>3916</v>
      </c>
      <c r="V55" s="3896">
        <v>2010</v>
      </c>
    </row>
    <row r="56" spans="1:22">
      <c r="A56" s="3883"/>
      <c r="B56" s="3883"/>
      <c r="C56" s="3883"/>
      <c r="D56" s="3883"/>
      <c r="E56" s="3883"/>
      <c r="F56" s="3883"/>
      <c r="G56" s="3883"/>
      <c r="H56" s="3885"/>
      <c r="I56" s="3883"/>
      <c r="J56" s="3883"/>
      <c r="K56" s="3885"/>
      <c r="L56" s="3892" t="s">
        <v>3440</v>
      </c>
      <c r="M56" s="3892" t="s">
        <v>3892</v>
      </c>
      <c r="N56" s="3892" t="s">
        <v>3892</v>
      </c>
      <c r="O56" s="3892" t="s">
        <v>3862</v>
      </c>
      <c r="P56" s="3892">
        <v>154.19999999999999</v>
      </c>
      <c r="Q56" s="3893"/>
      <c r="R56" s="3894" t="s">
        <v>3844</v>
      </c>
      <c r="S56" s="3895" t="s">
        <v>3895</v>
      </c>
      <c r="T56" s="3894">
        <v>154.19999999999999</v>
      </c>
      <c r="U56" s="3896" t="s">
        <v>43</v>
      </c>
      <c r="V56" s="3896">
        <v>2010</v>
      </c>
    </row>
    <row r="57" spans="1:22">
      <c r="A57" s="3883"/>
      <c r="B57" s="3883"/>
      <c r="C57" s="3883"/>
      <c r="D57" s="3883"/>
      <c r="E57" s="3883"/>
      <c r="F57" s="3883"/>
      <c r="G57" s="3883"/>
      <c r="H57" s="3885"/>
      <c r="I57" s="3883"/>
      <c r="J57" s="3883"/>
      <c r="K57" s="3885"/>
      <c r="L57" s="3892" t="s">
        <v>3441</v>
      </c>
      <c r="M57" s="3892" t="s">
        <v>3892</v>
      </c>
      <c r="N57" s="3892" t="s">
        <v>3892</v>
      </c>
      <c r="O57" s="3892" t="s">
        <v>3862</v>
      </c>
      <c r="P57" s="3892">
        <v>203.9</v>
      </c>
      <c r="Q57" s="3893"/>
      <c r="R57" s="3894" t="s">
        <v>3844</v>
      </c>
      <c r="S57" s="3895" t="s">
        <v>3895</v>
      </c>
      <c r="T57" s="3894">
        <v>203.9</v>
      </c>
      <c r="U57" s="3896" t="s">
        <v>43</v>
      </c>
      <c r="V57" s="3896">
        <v>2012</v>
      </c>
    </row>
    <row r="58" spans="1:22">
      <c r="A58" s="3883"/>
      <c r="B58" s="3883"/>
      <c r="C58" s="3883"/>
      <c r="D58" s="3883"/>
      <c r="E58" s="3883"/>
      <c r="F58" s="3883"/>
      <c r="G58" s="3883"/>
      <c r="H58" s="3885"/>
      <c r="I58" s="3883"/>
      <c r="J58" s="3883"/>
      <c r="K58" s="3885"/>
      <c r="L58" s="3892" t="s">
        <v>3444</v>
      </c>
      <c r="M58" s="3892" t="s">
        <v>3892</v>
      </c>
      <c r="N58" s="3892" t="s">
        <v>3892</v>
      </c>
      <c r="O58" s="3892" t="s">
        <v>3862</v>
      </c>
      <c r="P58" s="3892">
        <v>57.7</v>
      </c>
      <c r="Q58" s="3893"/>
      <c r="R58" s="3894" t="s">
        <v>43</v>
      </c>
      <c r="S58" s="3895" t="s">
        <v>43</v>
      </c>
      <c r="T58" s="3894">
        <v>0</v>
      </c>
      <c r="U58" s="3896" t="s">
        <v>43</v>
      </c>
      <c r="V58" s="3896" t="s">
        <v>3920</v>
      </c>
    </row>
    <row r="59" spans="1:22">
      <c r="A59" s="3883"/>
      <c r="B59" s="3883"/>
      <c r="C59" s="3883"/>
      <c r="D59" s="3883"/>
      <c r="E59" s="3883"/>
      <c r="F59" s="3883"/>
      <c r="G59" s="3883"/>
      <c r="H59" s="3885"/>
      <c r="I59" s="3883"/>
      <c r="J59" s="3883"/>
      <c r="K59" s="3885"/>
      <c r="L59" s="3892" t="s">
        <v>3445</v>
      </c>
      <c r="M59" s="3892" t="s">
        <v>3892</v>
      </c>
      <c r="N59" s="3892" t="s">
        <v>3892</v>
      </c>
      <c r="O59" s="3892" t="s">
        <v>3862</v>
      </c>
      <c r="P59" s="3892">
        <v>340.8</v>
      </c>
      <c r="Q59" s="3893"/>
      <c r="R59" s="3894" t="s">
        <v>3936</v>
      </c>
      <c r="S59" s="3895" t="s">
        <v>3895</v>
      </c>
      <c r="T59" s="3894">
        <v>340.8</v>
      </c>
      <c r="U59" s="3896" t="s">
        <v>43</v>
      </c>
      <c r="V59" s="3896">
        <v>2013</v>
      </c>
    </row>
    <row r="60" spans="1:22">
      <c r="A60" s="3897" t="s">
        <v>3927</v>
      </c>
      <c r="B60" s="3897"/>
      <c r="C60" s="3897"/>
      <c r="D60" s="3897">
        <v>4638.1000000000004</v>
      </c>
      <c r="E60" s="3897"/>
      <c r="F60" s="3897"/>
      <c r="G60" s="3897"/>
      <c r="H60" s="3898"/>
      <c r="I60" s="3897"/>
      <c r="J60" s="3897"/>
      <c r="K60" s="3898"/>
      <c r="L60" s="3897"/>
      <c r="M60" s="3897"/>
      <c r="N60" s="3897"/>
      <c r="O60" s="3897"/>
      <c r="P60" s="3897">
        <v>4207</v>
      </c>
      <c r="Q60" s="3898"/>
      <c r="R60" s="3897"/>
      <c r="S60" s="3900"/>
      <c r="T60" s="3897">
        <v>2864.5</v>
      </c>
      <c r="U60" s="3901"/>
      <c r="V60" s="3901"/>
    </row>
    <row r="61" spans="1:22">
      <c r="A61" s="3889" t="s">
        <v>3937</v>
      </c>
      <c r="B61" s="3889"/>
      <c r="C61" s="3889"/>
      <c r="D61" s="3889">
        <v>23093.86</v>
      </c>
      <c r="E61" s="3889"/>
      <c r="F61" s="3889"/>
      <c r="G61" s="3889"/>
      <c r="H61" s="3902"/>
      <c r="I61" s="3889"/>
      <c r="J61" s="3889"/>
      <c r="K61" s="3902"/>
      <c r="L61" s="3889"/>
      <c r="M61" s="3889"/>
      <c r="N61" s="3889"/>
      <c r="O61" s="3889"/>
      <c r="P61" s="3889">
        <v>31574.899999999998</v>
      </c>
      <c r="Q61" s="3902"/>
      <c r="R61" s="3889"/>
      <c r="S61" s="3889"/>
      <c r="T61" s="3889">
        <v>30066.799999999999</v>
      </c>
      <c r="U61" s="3889"/>
      <c r="V61" s="3889"/>
    </row>
  </sheetData>
  <mergeCells count="42">
    <mergeCell ref="F53:F59"/>
    <mergeCell ref="C35:C51"/>
    <mergeCell ref="B35:B51"/>
    <mergeCell ref="D35:D51"/>
    <mergeCell ref="B53:B59"/>
    <mergeCell ref="C53:C59"/>
    <mergeCell ref="D53:D59"/>
    <mergeCell ref="E53:E59"/>
    <mergeCell ref="H53:H59"/>
    <mergeCell ref="A33:A34"/>
    <mergeCell ref="B33:B34"/>
    <mergeCell ref="C33:C34"/>
    <mergeCell ref="D33:D34"/>
    <mergeCell ref="E33:E34"/>
    <mergeCell ref="F33:F34"/>
    <mergeCell ref="G33:G34"/>
    <mergeCell ref="H33:H34"/>
    <mergeCell ref="H35:H51"/>
    <mergeCell ref="A35:A51"/>
    <mergeCell ref="A53:A59"/>
    <mergeCell ref="G53:G59"/>
    <mergeCell ref="G35:G51"/>
    <mergeCell ref="F35:F51"/>
    <mergeCell ref="E35:E51"/>
    <mergeCell ref="R33:V33"/>
    <mergeCell ref="I53:I59"/>
    <mergeCell ref="J53:J59"/>
    <mergeCell ref="K53:K59"/>
    <mergeCell ref="I33:I34"/>
    <mergeCell ref="J33:J34"/>
    <mergeCell ref="K33:K34"/>
    <mergeCell ref="H16:H17"/>
    <mergeCell ref="L33:Q33"/>
    <mergeCell ref="I35:I51"/>
    <mergeCell ref="J35:J51"/>
    <mergeCell ref="K35:K51"/>
    <mergeCell ref="B2:B3"/>
    <mergeCell ref="C2:C3"/>
    <mergeCell ref="G2:G3"/>
    <mergeCell ref="F6:F7"/>
    <mergeCell ref="D16:D17"/>
    <mergeCell ref="G16:G17"/>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估价结果一览表</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房地产市场价值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北京市朝阳区郎家园6号10幢等17幢房地产</v>
      </c>
      <c r="B4" s="854">
        <f>项目基本情况!C17</f>
        <v>27202.300000000003</v>
      </c>
      <c r="C4" s="854">
        <f>项目基本情况!C18</f>
        <v>18455.759999999998</v>
      </c>
      <c r="D4" s="854" t="e">
        <f ca="1">结果表!D118</f>
        <v>#REF!</v>
      </c>
      <c r="E4" s="854" t="e">
        <f ca="1">结果表!E118</f>
        <v>#REF!</v>
      </c>
      <c r="F4" s="854" t="e">
        <f ca="1">结果表!F118</f>
        <v>#REF!</v>
      </c>
      <c r="G4" s="854" t="e">
        <f ca="1">结果表!G118</f>
        <v>#REF!</v>
      </c>
      <c r="H4" s="854">
        <f ca="1">结果表!H118</f>
        <v>74426</v>
      </c>
      <c r="I4" s="854">
        <f ca="1">结果表!I118</f>
        <v>27360</v>
      </c>
    </row>
    <row r="5" spans="1:9" ht="30" customHeight="1">
      <c r="A5" s="3463" t="s">
        <v>927</v>
      </c>
      <c r="B5" s="3463"/>
      <c r="C5" s="3463"/>
      <c r="D5" s="3463" t="e">
        <f ca="1">结果表!D119</f>
        <v>#REF!</v>
      </c>
      <c r="E5" s="3463"/>
      <c r="F5" s="3463" t="e">
        <f ca="1">结果表!F119</f>
        <v>#REF!</v>
      </c>
      <c r="G5" s="3463"/>
      <c r="H5" s="3463" t="str">
        <f ca="1">结果表!H119</f>
        <v>柒亿肆仟肆佰贰拾陆万元整</v>
      </c>
      <c r="I5" s="3463"/>
    </row>
    <row r="6" spans="1:9" ht="15.75">
      <c r="A6" s="3464" t="str">
        <f>结果表!A120</f>
        <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
      </c>
      <c r="B8" s="3464"/>
      <c r="C8" s="3464"/>
      <c r="D8" s="3464">
        <f ca="1">结果表!D122</f>
        <v>74426</v>
      </c>
      <c r="E8" s="3464"/>
      <c r="F8" s="3464"/>
      <c r="G8" s="3464"/>
      <c r="H8" s="3464"/>
      <c r="I8" s="3464"/>
    </row>
    <row r="9" spans="1:9" ht="15">
      <c r="A9" s="3463" t="s">
        <v>927</v>
      </c>
      <c r="B9" s="3463"/>
      <c r="C9" s="3463"/>
      <c r="D9" s="3463" t="str">
        <f ca="1">结果表!D123</f>
        <v>柒亿肆仟肆佰贰拾陆万元整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45161</v>
      </c>
      <c r="C2" s="2338" t="s">
        <v>2139</v>
      </c>
      <c r="D2" s="2338"/>
      <c r="E2" s="2338"/>
      <c r="F2" s="2334"/>
      <c r="G2" s="2334"/>
      <c r="H2" s="2334"/>
    </row>
    <row r="3" spans="1:8" ht="24" customHeight="1">
      <c r="A3" s="2339" t="s">
        <v>2140</v>
      </c>
      <c r="B3" s="2340" t="s">
        <v>2141</v>
      </c>
      <c r="C3" s="2340" t="s">
        <v>2142</v>
      </c>
      <c r="D3" s="2341" t="s">
        <v>2143</v>
      </c>
      <c r="E3" s="2342" t="s">
        <v>2144</v>
      </c>
      <c r="F3" s="1304" t="s">
        <v>2145</v>
      </c>
      <c r="G3" s="2340" t="s">
        <v>2142</v>
      </c>
      <c r="H3" s="2341" t="s">
        <v>2146</v>
      </c>
    </row>
    <row r="4" spans="1:8" ht="24" customHeight="1">
      <c r="A4" s="1304" t="s">
        <v>2147</v>
      </c>
      <c r="B4" s="1304">
        <f ca="1">IF(C4&lt;B2,"已过期",1119970066)</f>
        <v>1119970066</v>
      </c>
      <c r="C4" s="2343">
        <v>45937</v>
      </c>
      <c r="D4" s="2344" t="str">
        <f ca="1">A4&amp;"（注册号："&amp;B4&amp;"）"</f>
        <v>梁津（注册号：1119970066）</v>
      </c>
      <c r="E4" s="2345" t="s">
        <v>2147</v>
      </c>
      <c r="F4" s="1304">
        <f ca="1">IF(G4&lt;B2,"已过期",96010014)</f>
        <v>96010014</v>
      </c>
      <c r="G4" s="2346">
        <v>47118</v>
      </c>
      <c r="H4" s="2347" t="str">
        <f ca="1">E4&amp;"（注册号："&amp;F4&amp;"）"</f>
        <v>梁津（注册号：96010014）</v>
      </c>
    </row>
    <row r="5" spans="1:8" ht="24" customHeight="1">
      <c r="A5" s="1304" t="s">
        <v>2148</v>
      </c>
      <c r="B5" s="1304">
        <f ca="1">IF(C5&lt;B2,"已过期",1119970111)</f>
        <v>1119970111</v>
      </c>
      <c r="C5" s="2343">
        <v>45937</v>
      </c>
      <c r="D5" s="2344" t="str">
        <f t="shared" ref="D5:D15" ca="1" si="0">A5&amp;"（注册号："&amp;B5&amp;"）"</f>
        <v>叶凌（注册号：1119970111）</v>
      </c>
      <c r="E5" s="2345" t="s">
        <v>2148</v>
      </c>
      <c r="F5" s="1304">
        <f ca="1">IF(G5&lt;B2,"已过期",94010078)</f>
        <v>94010078</v>
      </c>
      <c r="G5" s="2346">
        <v>46387</v>
      </c>
      <c r="H5" s="2347" t="str">
        <f t="shared" ref="H5:H16" ca="1" si="1">E5&amp;"（注册号："&amp;F5&amp;"）"</f>
        <v>叶凌（注册号：94010078）</v>
      </c>
    </row>
    <row r="6" spans="1:8" ht="24" customHeight="1">
      <c r="A6" s="1304" t="s">
        <v>2149</v>
      </c>
      <c r="B6" s="1304">
        <f ca="1">IF(C6&lt;B2,"已过期",1120050019)</f>
        <v>1120050019</v>
      </c>
      <c r="C6" s="2343">
        <v>45410</v>
      </c>
      <c r="D6" s="2344" t="str">
        <f t="shared" ca="1" si="0"/>
        <v>王鹏（注册号：1120050019）</v>
      </c>
      <c r="E6" s="2345" t="s">
        <v>2149</v>
      </c>
      <c r="F6" s="1304">
        <f ca="1">IF(G6&lt;B2,"已过期",2002110030)</f>
        <v>2002110030</v>
      </c>
      <c r="G6" s="2346">
        <v>46387</v>
      </c>
      <c r="H6" s="2347" t="str">
        <f t="shared" ca="1" si="1"/>
        <v>王鹏（注册号：2002110030）</v>
      </c>
    </row>
    <row r="7" spans="1:8" ht="24" customHeight="1">
      <c r="A7" s="1304" t="s">
        <v>2150</v>
      </c>
      <c r="B7" s="1304">
        <f ca="1">IF(C7&lt;B2,"已过期",1120000080)</f>
        <v>1120000080</v>
      </c>
      <c r="C7" s="2343">
        <v>45937</v>
      </c>
      <c r="D7" s="2344" t="str">
        <f t="shared" ca="1" si="0"/>
        <v>欧红伟（注册号：1120000080）</v>
      </c>
      <c r="E7" s="2345" t="s">
        <v>2150</v>
      </c>
      <c r="F7" s="1304">
        <f ca="1">IF(G7&lt;B2,"已过期",2000110082)</f>
        <v>2000110082</v>
      </c>
      <c r="G7" s="2346">
        <v>46387</v>
      </c>
      <c r="H7" s="2347" t="str">
        <f t="shared" ca="1" si="1"/>
        <v>欧红伟（注册号：2000110082）</v>
      </c>
    </row>
    <row r="8" spans="1:8" ht="24" customHeight="1">
      <c r="A8" s="1304" t="s">
        <v>2151</v>
      </c>
      <c r="B8" s="1304">
        <f ca="1">IF(C8&lt;B2,"已过期",1419970001)</f>
        <v>1419970001</v>
      </c>
      <c r="C8" s="2343">
        <v>45937</v>
      </c>
      <c r="D8" s="2344" t="str">
        <f t="shared" ca="1" si="0"/>
        <v>吴薇（注册号：1419970001）</v>
      </c>
      <c r="E8" s="2345" t="s">
        <v>2151</v>
      </c>
      <c r="F8" s="1304">
        <f ca="1">IF(G8&lt;B2,"已过期",2002110125)</f>
        <v>2002110125</v>
      </c>
      <c r="G8" s="2346">
        <v>47118</v>
      </c>
      <c r="H8" s="2347" t="str">
        <f t="shared" ca="1" si="1"/>
        <v>吴薇（注册号：2002110125）</v>
      </c>
    </row>
    <row r="9" spans="1:8" ht="24" customHeight="1">
      <c r="A9" s="1304" t="s">
        <v>2152</v>
      </c>
      <c r="B9" s="1304">
        <f ca="1">IF(C9&lt;B2,"已过期",1120060040)</f>
        <v>1120060040</v>
      </c>
      <c r="C9" s="2348">
        <v>45592</v>
      </c>
      <c r="D9" s="2344" t="str">
        <f t="shared" ca="1" si="0"/>
        <v>陈颖（注册号：1120060040）</v>
      </c>
      <c r="E9" s="2345" t="s">
        <v>2152</v>
      </c>
      <c r="F9" s="1304">
        <f ca="1">IF(G9&lt;B2,"已过期",2004110096)</f>
        <v>2004110096</v>
      </c>
      <c r="G9" s="2346">
        <v>47118</v>
      </c>
      <c r="H9" s="2347" t="str">
        <f t="shared" ca="1" si="1"/>
        <v>陈颖（注册号：2004110096）</v>
      </c>
    </row>
    <row r="10" spans="1:8" ht="24" customHeight="1">
      <c r="A10" s="1304" t="s">
        <v>2153</v>
      </c>
      <c r="B10" s="1304">
        <f ca="1">IF(C10&lt;B2,"已过期",1120100036)</f>
        <v>1120100036</v>
      </c>
      <c r="C10" s="2348">
        <v>45752</v>
      </c>
      <c r="D10" s="2344" t="str">
        <f t="shared" ca="1" si="0"/>
        <v>崔锴（注册号：1120100036）</v>
      </c>
      <c r="E10" s="2345" t="s">
        <v>2153</v>
      </c>
      <c r="F10" s="1304">
        <f ca="1">IF(G10&lt;B2,"已过期",2010110070)</f>
        <v>2010110070</v>
      </c>
      <c r="G10" s="2346">
        <v>47907</v>
      </c>
      <c r="H10" s="2347" t="str">
        <f t="shared" ca="1" si="1"/>
        <v>崔锴（注册号：2010110070）</v>
      </c>
    </row>
    <row r="11" spans="1:8" ht="24" customHeight="1">
      <c r="A11" s="1304" t="s">
        <v>2154</v>
      </c>
      <c r="B11" s="1304">
        <f ca="1">IF(C11&lt;B2,"已过期",1120070131)</f>
        <v>1120070131</v>
      </c>
      <c r="C11" s="2343">
        <v>45937</v>
      </c>
      <c r="D11" s="2344" t="str">
        <f t="shared" ca="1" si="0"/>
        <v>郑燚（注册号：1120070131）</v>
      </c>
      <c r="E11" s="2345" t="s">
        <v>2154</v>
      </c>
      <c r="F11" s="1304">
        <f ca="1">IF(G11&lt;B2,"已过期",2014110011)</f>
        <v>2014110011</v>
      </c>
      <c r="G11" s="2346">
        <v>49302</v>
      </c>
      <c r="H11" s="2347" t="str">
        <f t="shared" ca="1" si="1"/>
        <v>郑燚（注册号：2014110011）</v>
      </c>
    </row>
    <row r="12" spans="1:8" ht="24" customHeight="1">
      <c r="A12" s="1304" t="s">
        <v>2155</v>
      </c>
      <c r="B12" s="1304">
        <f ca="1">IF(C12&lt;B2,"已过期",1120040230)</f>
        <v>1120040230</v>
      </c>
      <c r="C12" s="2348">
        <v>45937</v>
      </c>
      <c r="D12" s="2344" t="str">
        <f t="shared" ca="1" si="0"/>
        <v>苏海（注册号：1120040230）</v>
      </c>
      <c r="E12" s="2345" t="s">
        <v>2155</v>
      </c>
      <c r="F12" s="1304">
        <f ca="1">IF(G12&lt;B2,"已过期",98030020)</f>
        <v>98030020</v>
      </c>
      <c r="G12" s="2346">
        <v>47118</v>
      </c>
      <c r="H12" s="2347" t="str">
        <f t="shared" ca="1" si="1"/>
        <v>苏海（注册号：98030020）</v>
      </c>
    </row>
    <row r="13" spans="1:8" ht="24" customHeight="1">
      <c r="A13" s="1304" t="s">
        <v>2156</v>
      </c>
      <c r="B13" s="1304">
        <f ca="1">IF(C13&lt;B2,"已过期",1120020033)</f>
        <v>1120020033</v>
      </c>
      <c r="C13" s="2343">
        <v>45375</v>
      </c>
      <c r="D13" s="2344" t="str">
        <f t="shared" ca="1" si="0"/>
        <v>刘敬东（注册号：1120020033）</v>
      </c>
      <c r="E13" s="2345" t="s">
        <v>2156</v>
      </c>
      <c r="F13" s="1304">
        <f ca="1">IF(G13&lt;B2,"已过期",2000110137)</f>
        <v>2000110137</v>
      </c>
      <c r="G13" s="2346">
        <v>46387</v>
      </c>
      <c r="H13" s="2347" t="str">
        <f t="shared" ca="1" si="1"/>
        <v>刘敬东（注册号：2000110137）</v>
      </c>
    </row>
    <row r="14" spans="1:8" ht="24" customHeight="1">
      <c r="A14" s="1304" t="s">
        <v>2157</v>
      </c>
      <c r="B14" s="1304" t="str">
        <f ca="1">IF(C14&lt;B2,"已过期",1119980106)</f>
        <v>已过期</v>
      </c>
      <c r="C14" s="2348">
        <v>44969</v>
      </c>
      <c r="D14" s="2344" t="str">
        <f t="shared" ca="1" si="0"/>
        <v>刘俊财（注册号：已过期）</v>
      </c>
      <c r="E14" s="2345" t="s">
        <v>2157</v>
      </c>
      <c r="F14" s="1304">
        <f ca="1">IF(G14&lt;B2,"已过期",96010063)</f>
        <v>96010063</v>
      </c>
      <c r="G14" s="2346">
        <v>47483</v>
      </c>
      <c r="H14" s="2347" t="str">
        <f t="shared" ca="1" si="1"/>
        <v>刘俊财（注册号：96010063）</v>
      </c>
    </row>
    <row r="15" spans="1:8" ht="24" customHeight="1">
      <c r="A15" s="1304" t="s">
        <v>2430</v>
      </c>
      <c r="B15" s="1304">
        <v>1120210056</v>
      </c>
      <c r="C15" s="2348">
        <v>45410</v>
      </c>
      <c r="D15" s="2344" t="str">
        <f t="shared" si="0"/>
        <v>宁小鳗（注册号：1120210056）</v>
      </c>
      <c r="E15" s="2345" t="s">
        <v>2158</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487" t="s">
        <v>2159</v>
      </c>
      <c r="B17" s="3487"/>
      <c r="C17" s="3487"/>
      <c r="D17" s="3487"/>
      <c r="E17" s="3487"/>
      <c r="F17" s="3487"/>
      <c r="G17" s="3487"/>
      <c r="H17" s="3487"/>
    </row>
    <row r="18" spans="1:8" ht="24" customHeight="1">
      <c r="A18" s="3488" t="s">
        <v>2160</v>
      </c>
      <c r="B18" s="3488"/>
      <c r="C18" s="3488"/>
      <c r="D18" s="2341"/>
      <c r="E18" s="3489" t="s">
        <v>2161</v>
      </c>
      <c r="F18" s="3488"/>
      <c r="G18" s="3488"/>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租赁情况</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面积表</vt:lpstr>
      <vt:lpstr>面积表!_Hlk484976287</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2023-08-23T05:05:07Z</dcterms:modified>
</cp:coreProperties>
</file>